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defaultThemeVersion="124226"/>
  <bookViews>
    <workbookView xWindow="0" yWindow="0" windowWidth="19320" windowHeight="7065" tabRatio="895"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抵押物清单" sheetId="79" r:id="rId17"/>
    <sheet name="系统读取表" sheetId="74" r:id="rId18"/>
    <sheet name="结果表" sheetId="9" r:id="rId19"/>
    <sheet name="成本法" sheetId="68" r:id="rId20"/>
    <sheet name="成本法 (元)" sheetId="69" state="hidden" r:id="rId21"/>
    <sheet name="假设开发法" sheetId="12" r:id="rId22"/>
    <sheet name="收益法（车库）" sheetId="15" r:id="rId23"/>
    <sheet name="收益法 (元)" sheetId="67" state="hidden" r:id="rId24"/>
    <sheet name="收益法（汇总）" sheetId="70" state="hidden" r:id="rId25"/>
    <sheet name="酒店收入计算" sheetId="66" state="hidden" r:id="rId26"/>
    <sheet name="比较法-高层" sheetId="80" r:id="rId27"/>
    <sheet name="比较法-叠拼"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'比较法-叠拼'!$A$1:$L$49</definedName>
    <definedName name="_xlnm._FilterDatabase" localSheetId="26" hidden="1">'比较法-高层'!$A$1:$L$49</definedName>
    <definedName name="_xlnm._FilterDatabase" localSheetId="30" hidden="1">'比较法-工业'!$A$1:$L$43</definedName>
    <definedName name="_xlnm._FilterDatabase" localSheetId="28" hidden="1">'比较法-商业'!$A$1:$L$49</definedName>
    <definedName name="_xlnm._FilterDatabase" localSheetId="16" hidden="1">抵押物清单!$A$2:$O$116</definedName>
    <definedName name="_xlnm._FilterDatabase" localSheetId="11" hidden="1">'数据-基础表'!$A$12:$AT$587</definedName>
    <definedName name="_xlnm._FilterDatabase" localSheetId="34" hidden="1">土地案例!$A$1:$AS$42</definedName>
    <definedName name="_xlnm._FilterDatabase" localSheetId="35"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'比较法-高层'!$B$88:$M$88</definedName>
    <definedName name="住宅朝向">'比较法-叠拼'!$B$88:$M$88</definedName>
    <definedName name="住宅房型" localSheetId="26">'比较法-高层'!$B$118:$M$118</definedName>
    <definedName name="住宅房型">'比较法-叠拼'!$B$118:$M$118</definedName>
    <definedName name="住宅公共部分装修" localSheetId="26">'比较法-高层'!$B$109:$M$109</definedName>
    <definedName name="住宅公共部分装修">'比较法-叠拼'!$B$109:$M$109</definedName>
    <definedName name="住宅基础设施水平" localSheetId="26">'比较法-高层'!$B$116:$M$116</definedName>
    <definedName name="住宅基础设施水平">'比较法-叠拼'!$B$116:$M$116</definedName>
    <definedName name="住宅建筑结构" localSheetId="26">'比较法-高层'!$B$105:$M$105</definedName>
    <definedName name="住宅建筑结构">'比较法-叠拼'!$B$105:$M$105</definedName>
    <definedName name="住宅建筑类型" localSheetId="26">'比较法-高层'!$B$100:$M$100</definedName>
    <definedName name="住宅建筑类型">'比较法-叠拼'!$B$100:$M$100</definedName>
    <definedName name="住宅建筑品质" localSheetId="26">'比较法-高层'!$B$107:$M$107</definedName>
    <definedName name="住宅建筑品质">'比较法-叠拼'!$B$107:$M$107</definedName>
    <definedName name="住宅交易情况" localSheetId="26">'比较法-高层'!$A$61:$M$61</definedName>
    <definedName name="住宅交易情况">'比较法-叠拼'!$A$61:$M$61</definedName>
    <definedName name="住宅楼层" localSheetId="26">'比较法-高层'!$B$86:$M$86</definedName>
    <definedName name="住宅楼层">'比较法-叠拼'!$B$86:$M$86</definedName>
    <definedName name="住宅内部装修" localSheetId="26">'比较法-高层'!$B$122:$M$122</definedName>
    <definedName name="住宅内部装修">'比较法-叠拼'!$B$122:$M$122</definedName>
    <definedName name="住宅物业管理" localSheetId="26">'比较法-高层'!$B$114:$M$114</definedName>
    <definedName name="住宅物业管理">'比较法-叠拼'!$B$114:$M$114</definedName>
    <definedName name="住宅用途" localSheetId="26">'比较法-高层'!$B$63:$M$63</definedName>
    <definedName name="住宅用途">'比较法-叠拼'!$B$63:$M$63</definedName>
    <definedName name="住宅主力户型面积" localSheetId="26">'比较法-高层'!$B$120:$M$120</definedName>
    <definedName name="住宅主力户型面积">'比较法-叠拼'!$B$120:$M$120</definedName>
    <definedName name="注册房地产估价师">估价师及机构信息!$A$3:$A$24</definedName>
  </definedNames>
  <calcPr calcId="125725"/>
</workbook>
</file>

<file path=xl/calcChain.xml><?xml version="1.0" encoding="utf-8"?>
<calcChain xmlns="http://schemas.openxmlformats.org/spreadsheetml/2006/main">
  <c r="I114" i="79"/>
  <c r="I109"/>
  <c r="I108"/>
  <c r="I103"/>
  <c r="I98"/>
  <c r="I97"/>
  <c r="I92"/>
  <c r="I88"/>
  <c r="I84"/>
  <c r="I83"/>
  <c r="I81"/>
  <c r="I80"/>
  <c r="I76"/>
  <c r="I75"/>
  <c r="I70"/>
  <c r="I67"/>
  <c r="I63"/>
  <c r="I62"/>
  <c r="I58"/>
  <c r="I57"/>
  <c r="I52"/>
  <c r="I51"/>
  <c r="I49"/>
  <c r="I48"/>
  <c r="I36"/>
  <c r="I33"/>
  <c r="I32"/>
  <c r="I27"/>
  <c r="I16"/>
  <c r="I17"/>
  <c r="I15"/>
  <c r="I9"/>
  <c r="I10"/>
  <c r="I11"/>
  <c r="I12"/>
  <c r="I8"/>
  <c r="Q9" i="1"/>
  <c r="L9"/>
  <c r="G22" i="6"/>
  <c r="O13" i="3"/>
  <c r="J116" i="79"/>
  <c r="F7"/>
  <c r="F5"/>
  <c r="F6"/>
  <c r="G7"/>
  <c r="G6"/>
  <c r="G5"/>
  <c r="F14"/>
  <c r="F13"/>
  <c r="G14"/>
  <c r="G13"/>
  <c r="H13"/>
  <c r="J13" s="1"/>
  <c r="I13" s="1"/>
  <c r="F18"/>
  <c r="G18"/>
  <c r="F20"/>
  <c r="F19"/>
  <c r="G20"/>
  <c r="H20" s="1"/>
  <c r="J20" s="1"/>
  <c r="I20" s="1"/>
  <c r="G19"/>
  <c r="F25"/>
  <c r="F23"/>
  <c r="F22"/>
  <c r="F21"/>
  <c r="F24"/>
  <c r="G22"/>
  <c r="G21"/>
  <c r="H22"/>
  <c r="G25"/>
  <c r="G24"/>
  <c r="G23"/>
  <c r="F26"/>
  <c r="G26"/>
  <c r="F31"/>
  <c r="F30"/>
  <c r="H30" s="1"/>
  <c r="J30" s="1"/>
  <c r="I30" s="1"/>
  <c r="F29"/>
  <c r="F28"/>
  <c r="H28"/>
  <c r="J28" s="1"/>
  <c r="I28" s="1"/>
  <c r="G31"/>
  <c r="G30"/>
  <c r="G29"/>
  <c r="G28"/>
  <c r="F34"/>
  <c r="H34" s="1"/>
  <c r="J34" s="1"/>
  <c r="I34" s="1"/>
  <c r="G34"/>
  <c r="F38"/>
  <c r="F37"/>
  <c r="F35"/>
  <c r="H35" s="1"/>
  <c r="J35" s="1"/>
  <c r="I35" s="1"/>
  <c r="G38"/>
  <c r="G37"/>
  <c r="G35"/>
  <c r="F39"/>
  <c r="G39"/>
  <c r="F113"/>
  <c r="F112"/>
  <c r="F107"/>
  <c r="F106"/>
  <c r="F102"/>
  <c r="F101"/>
  <c r="F96"/>
  <c r="F95"/>
  <c r="F91"/>
  <c r="F90"/>
  <c r="H91"/>
  <c r="J91" s="1"/>
  <c r="I91" s="1"/>
  <c r="F111"/>
  <c r="F110"/>
  <c r="H110" s="1"/>
  <c r="J110" s="1"/>
  <c r="I110" s="1"/>
  <c r="H107"/>
  <c r="J107" s="1"/>
  <c r="I107" s="1"/>
  <c r="F105"/>
  <c r="F104"/>
  <c r="F100"/>
  <c r="F99"/>
  <c r="F94"/>
  <c r="F93"/>
  <c r="H93" s="1"/>
  <c r="J93" s="1"/>
  <c r="I93" s="1"/>
  <c r="F89"/>
  <c r="G113"/>
  <c r="G112"/>
  <c r="G111"/>
  <c r="G110"/>
  <c r="G107"/>
  <c r="G106"/>
  <c r="G105"/>
  <c r="G104"/>
  <c r="G102"/>
  <c r="G101"/>
  <c r="H101" s="1"/>
  <c r="J101" s="1"/>
  <c r="I101" s="1"/>
  <c r="G100"/>
  <c r="G99"/>
  <c r="G96"/>
  <c r="H96" s="1"/>
  <c r="J96" s="1"/>
  <c r="I96" s="1"/>
  <c r="G95"/>
  <c r="G94"/>
  <c r="H94" s="1"/>
  <c r="J94" s="1"/>
  <c r="I94" s="1"/>
  <c r="G93"/>
  <c r="G91"/>
  <c r="G90"/>
  <c r="G89"/>
  <c r="H89" s="1"/>
  <c r="J89" s="1"/>
  <c r="I89" s="1"/>
  <c r="F87"/>
  <c r="F86"/>
  <c r="F85"/>
  <c r="F82"/>
  <c r="F79"/>
  <c r="F78"/>
  <c r="F77"/>
  <c r="G87"/>
  <c r="G86"/>
  <c r="G85"/>
  <c r="G82"/>
  <c r="G79"/>
  <c r="G78"/>
  <c r="H78" s="1"/>
  <c r="G77"/>
  <c r="H77"/>
  <c r="F74"/>
  <c r="F73"/>
  <c r="F69"/>
  <c r="F61"/>
  <c r="F60"/>
  <c r="F66"/>
  <c r="F65"/>
  <c r="F72"/>
  <c r="H72" s="1"/>
  <c r="J72" s="1"/>
  <c r="I72" s="1"/>
  <c r="F71"/>
  <c r="F68"/>
  <c r="H66"/>
  <c r="J66" s="1"/>
  <c r="I66" s="1"/>
  <c r="F64"/>
  <c r="F59"/>
  <c r="G74"/>
  <c r="G73"/>
  <c r="G72"/>
  <c r="G71"/>
  <c r="G69"/>
  <c r="G68"/>
  <c r="G66"/>
  <c r="G65"/>
  <c r="G64"/>
  <c r="G61"/>
  <c r="G60"/>
  <c r="G59"/>
  <c r="F56"/>
  <c r="F55"/>
  <c r="F50"/>
  <c r="F53"/>
  <c r="F54"/>
  <c r="H55"/>
  <c r="J55" s="1"/>
  <c r="I55" s="1"/>
  <c r="G55"/>
  <c r="G56"/>
  <c r="G54"/>
  <c r="G53"/>
  <c r="G50"/>
  <c r="F47"/>
  <c r="G47"/>
  <c r="F46"/>
  <c r="G46"/>
  <c r="H6"/>
  <c r="J6" s="1"/>
  <c r="I6" s="1"/>
  <c r="H7"/>
  <c r="J7" s="1"/>
  <c r="I7" s="1"/>
  <c r="H8"/>
  <c r="H9"/>
  <c r="H10"/>
  <c r="H11"/>
  <c r="H12"/>
  <c r="H14"/>
  <c r="J14" s="1"/>
  <c r="I14" s="1"/>
  <c r="H15"/>
  <c r="H16"/>
  <c r="H17"/>
  <c r="H18"/>
  <c r="J18" s="1"/>
  <c r="I18" s="1"/>
  <c r="H19"/>
  <c r="J19" s="1"/>
  <c r="I19" s="1"/>
  <c r="H21"/>
  <c r="J21" s="1"/>
  <c r="I21" s="1"/>
  <c r="J22"/>
  <c r="I22" s="1"/>
  <c r="H23"/>
  <c r="J23" s="1"/>
  <c r="I23" s="1"/>
  <c r="H24"/>
  <c r="J24" s="1"/>
  <c r="I24" s="1"/>
  <c r="H25"/>
  <c r="J25" s="1"/>
  <c r="I25" s="1"/>
  <c r="H26"/>
  <c r="J26" s="1"/>
  <c r="I26" s="1"/>
  <c r="H27"/>
  <c r="H29"/>
  <c r="J29" s="1"/>
  <c r="I29" s="1"/>
  <c r="H31"/>
  <c r="J31" s="1"/>
  <c r="I31" s="1"/>
  <c r="H32"/>
  <c r="H33"/>
  <c r="H36"/>
  <c r="H37"/>
  <c r="J37" s="1"/>
  <c r="I37" s="1"/>
  <c r="H38"/>
  <c r="J38" s="1"/>
  <c r="I38" s="1"/>
  <c r="H39"/>
  <c r="J39" s="1"/>
  <c r="I39" s="1"/>
  <c r="H40"/>
  <c r="H41"/>
  <c r="H42"/>
  <c r="H43"/>
  <c r="H44"/>
  <c r="H45"/>
  <c r="H46"/>
  <c r="J46" s="1"/>
  <c r="I46" s="1"/>
  <c r="H47"/>
  <c r="J47" s="1"/>
  <c r="I47" s="1"/>
  <c r="H50"/>
  <c r="J50" s="1"/>
  <c r="I50" s="1"/>
  <c r="H53"/>
  <c r="J53" s="1"/>
  <c r="I53" s="1"/>
  <c r="H54"/>
  <c r="J54" s="1"/>
  <c r="I54" s="1"/>
  <c r="H56"/>
  <c r="H59"/>
  <c r="H60"/>
  <c r="J60" s="1"/>
  <c r="I60" s="1"/>
  <c r="H61"/>
  <c r="J61" s="1"/>
  <c r="I61" s="1"/>
  <c r="H64"/>
  <c r="J64" s="1"/>
  <c r="I64" s="1"/>
  <c r="H68"/>
  <c r="J68" s="1"/>
  <c r="I68" s="1"/>
  <c r="H69"/>
  <c r="J69" s="1"/>
  <c r="I69" s="1"/>
  <c r="H71"/>
  <c r="J71" s="1"/>
  <c r="I71" s="1"/>
  <c r="H73"/>
  <c r="J73" s="1"/>
  <c r="I73" s="1"/>
  <c r="H74"/>
  <c r="J74" s="1"/>
  <c r="I74" s="1"/>
  <c r="H79"/>
  <c r="H85"/>
  <c r="J85" s="1"/>
  <c r="I85" s="1"/>
  <c r="H86"/>
  <c r="J86" s="1"/>
  <c r="I86" s="1"/>
  <c r="H87"/>
  <c r="J87" s="1"/>
  <c r="I87" s="1"/>
  <c r="H90"/>
  <c r="J90" s="1"/>
  <c r="I90" s="1"/>
  <c r="H95"/>
  <c r="J95" s="1"/>
  <c r="I95" s="1"/>
  <c r="H99"/>
  <c r="J99" s="1"/>
  <c r="I99" s="1"/>
  <c r="H100"/>
  <c r="J100" s="1"/>
  <c r="I100" s="1"/>
  <c r="H102"/>
  <c r="J102" s="1"/>
  <c r="I102" s="1"/>
  <c r="H104"/>
  <c r="J104" s="1"/>
  <c r="I104" s="1"/>
  <c r="H105"/>
  <c r="J105" s="1"/>
  <c r="I105" s="1"/>
  <c r="H106"/>
  <c r="J106" s="1"/>
  <c r="I106" s="1"/>
  <c r="H111"/>
  <c r="J111" s="1"/>
  <c r="I111" s="1"/>
  <c r="H112"/>
  <c r="J112" s="1"/>
  <c r="I112" s="1"/>
  <c r="H113"/>
  <c r="J113" s="1"/>
  <c r="I113" s="1"/>
  <c r="H3"/>
  <c r="H4"/>
  <c r="H5"/>
  <c r="J5" s="1"/>
  <c r="I5" s="1"/>
  <c r="I116" l="1"/>
  <c r="I13" i="3" s="1"/>
  <c r="J78" i="79"/>
  <c r="I78" s="1"/>
  <c r="H82"/>
  <c r="J82" s="1"/>
  <c r="I82" s="1"/>
  <c r="J79"/>
  <c r="I79" s="1"/>
  <c r="J77"/>
  <c r="I77" s="1"/>
  <c r="H65"/>
  <c r="J65" s="1"/>
  <c r="I65" s="1"/>
  <c r="J59"/>
  <c r="I59" s="1"/>
  <c r="J56"/>
  <c r="I56" s="1"/>
  <c r="E118" i="39"/>
  <c r="F118"/>
  <c r="G118" s="1"/>
  <c r="H118" s="1"/>
  <c r="I118" s="1"/>
  <c r="D118"/>
  <c r="E117"/>
  <c r="F117"/>
  <c r="G117" s="1"/>
  <c r="H117" s="1"/>
  <c r="I117" s="1"/>
  <c r="D117"/>
  <c r="I11"/>
  <c r="G11"/>
  <c r="E11"/>
  <c r="I7"/>
  <c r="G7"/>
  <c r="E7"/>
  <c r="I6"/>
  <c r="G6"/>
  <c r="I5"/>
  <c r="G5"/>
  <c r="E6"/>
  <c r="E5"/>
  <c r="I38"/>
  <c r="G38"/>
  <c r="E38"/>
  <c r="I46"/>
  <c r="G46"/>
  <c r="E46"/>
  <c r="N23" i="79" l="1"/>
  <c r="M13" i="3" s="1"/>
  <c r="N22" i="79"/>
  <c r="K13" i="3" s="1"/>
  <c r="N21" i="79"/>
  <c r="D116"/>
  <c r="N24" l="1"/>
  <c r="O24" s="1"/>
  <c r="C145" i="80"/>
  <c r="J142"/>
  <c r="J140"/>
  <c r="K139"/>
  <c r="K143" s="1"/>
  <c r="B130"/>
  <c r="B128"/>
  <c r="H45" s="1"/>
  <c r="B126"/>
  <c r="G125"/>
  <c r="E125"/>
  <c r="F125" s="1"/>
  <c r="D125"/>
  <c r="D123"/>
  <c r="E123" s="1"/>
  <c r="F123" s="1"/>
  <c r="G123" s="1"/>
  <c r="H123" s="1"/>
  <c r="I123" s="1"/>
  <c r="J123" s="1"/>
  <c r="K123" s="1"/>
  <c r="L123" s="1"/>
  <c r="M123" s="1"/>
  <c r="G119"/>
  <c r="H119" s="1"/>
  <c r="I119" s="1"/>
  <c r="J119" s="1"/>
  <c r="K119" s="1"/>
  <c r="L119" s="1"/>
  <c r="M119" s="1"/>
  <c r="E119"/>
  <c r="F119" s="1"/>
  <c r="D119"/>
  <c r="E117"/>
  <c r="F117" s="1"/>
  <c r="G117" s="1"/>
  <c r="D117"/>
  <c r="I115"/>
  <c r="J115" s="1"/>
  <c r="K115" s="1"/>
  <c r="L115" s="1"/>
  <c r="M115" s="1"/>
  <c r="E115"/>
  <c r="F115" s="1"/>
  <c r="G115" s="1"/>
  <c r="H115" s="1"/>
  <c r="D115"/>
  <c r="D113"/>
  <c r="E113" s="1"/>
  <c r="F113" s="1"/>
  <c r="G113" s="1"/>
  <c r="H37" s="1"/>
  <c r="H111"/>
  <c r="G111"/>
  <c r="F111"/>
  <c r="E111"/>
  <c r="D111"/>
  <c r="C111"/>
  <c r="F110"/>
  <c r="G110" s="1"/>
  <c r="H110" s="1"/>
  <c r="I110" s="1"/>
  <c r="J110" s="1"/>
  <c r="K110" s="1"/>
  <c r="L110" s="1"/>
  <c r="M110" s="1"/>
  <c r="D110"/>
  <c r="E110" s="1"/>
  <c r="D108"/>
  <c r="F106"/>
  <c r="G106" s="1"/>
  <c r="H106" s="1"/>
  <c r="I106" s="1"/>
  <c r="J106" s="1"/>
  <c r="K106" s="1"/>
  <c r="L106" s="1"/>
  <c r="M106" s="1"/>
  <c r="D106"/>
  <c r="E106" s="1"/>
  <c r="M102"/>
  <c r="L102"/>
  <c r="K102"/>
  <c r="J102"/>
  <c r="E102"/>
  <c r="D102"/>
  <c r="C102"/>
  <c r="G101"/>
  <c r="E101"/>
  <c r="F101" s="1"/>
  <c r="D101"/>
  <c r="B98"/>
  <c r="B96"/>
  <c r="B94"/>
  <c r="B92"/>
  <c r="B90"/>
  <c r="D89"/>
  <c r="E89" s="1"/>
  <c r="F89" s="1"/>
  <c r="G89" s="1"/>
  <c r="H89" s="1"/>
  <c r="I89" s="1"/>
  <c r="J89" s="1"/>
  <c r="K89" s="1"/>
  <c r="L89" s="1"/>
  <c r="M89" s="1"/>
  <c r="M87"/>
  <c r="L87"/>
  <c r="K87"/>
  <c r="J87"/>
  <c r="I87"/>
  <c r="H87"/>
  <c r="G87"/>
  <c r="F87"/>
  <c r="E87"/>
  <c r="D87"/>
  <c r="D85"/>
  <c r="D83"/>
  <c r="E83" s="1"/>
  <c r="F83" s="1"/>
  <c r="G83" s="1"/>
  <c r="D81"/>
  <c r="D79"/>
  <c r="D77"/>
  <c r="B74"/>
  <c r="B72"/>
  <c r="H13" s="1"/>
  <c r="B70"/>
  <c r="D69"/>
  <c r="E69" s="1"/>
  <c r="M67"/>
  <c r="L67"/>
  <c r="K67"/>
  <c r="J67"/>
  <c r="I67"/>
  <c r="H67"/>
  <c r="G67"/>
  <c r="F67"/>
  <c r="E67"/>
  <c r="D67"/>
  <c r="C67"/>
  <c r="F66"/>
  <c r="G66" s="1"/>
  <c r="H66" s="1"/>
  <c r="I66" s="1"/>
  <c r="D66"/>
  <c r="E66" s="1"/>
  <c r="C63"/>
  <c r="I54"/>
  <c r="J54" s="1"/>
  <c r="G54"/>
  <c r="H54" s="1"/>
  <c r="E54"/>
  <c r="F54" s="1"/>
  <c r="P49"/>
  <c r="P48"/>
  <c r="V47"/>
  <c r="T47"/>
  <c r="R47"/>
  <c r="P47"/>
  <c r="AA46"/>
  <c r="Q46"/>
  <c r="Z46" s="1"/>
  <c r="J46"/>
  <c r="H46"/>
  <c r="AB46" s="1"/>
  <c r="F46"/>
  <c r="S46" s="1"/>
  <c r="Z45"/>
  <c r="Q45"/>
  <c r="F45"/>
  <c r="AA45" s="1"/>
  <c r="Q44"/>
  <c r="Z44" s="1"/>
  <c r="J44"/>
  <c r="AC44" s="1"/>
  <c r="H44"/>
  <c r="AB44" s="1"/>
  <c r="F44"/>
  <c r="AA44" s="1"/>
  <c r="AC43"/>
  <c r="W43"/>
  <c r="Q43"/>
  <c r="Z43" s="1"/>
  <c r="J43"/>
  <c r="H43"/>
  <c r="AB43" s="1"/>
  <c r="F43"/>
  <c r="AA43" s="1"/>
  <c r="Q42"/>
  <c r="Z42" s="1"/>
  <c r="J42"/>
  <c r="AC42" s="1"/>
  <c r="H42"/>
  <c r="AB42" s="1"/>
  <c r="F42"/>
  <c r="AA42" s="1"/>
  <c r="Q41"/>
  <c r="Z41" s="1"/>
  <c r="J41"/>
  <c r="AC41" s="1"/>
  <c r="H41"/>
  <c r="AB41" s="1"/>
  <c r="F41"/>
  <c r="AA41" s="1"/>
  <c r="Q40"/>
  <c r="Z40" s="1"/>
  <c r="J40"/>
  <c r="AC40" s="1"/>
  <c r="H40"/>
  <c r="AB40" s="1"/>
  <c r="F40"/>
  <c r="AA40" s="1"/>
  <c r="AC39"/>
  <c r="W39"/>
  <c r="Q39"/>
  <c r="Z39" s="1"/>
  <c r="J39"/>
  <c r="H39"/>
  <c r="AB39" s="1"/>
  <c r="F39"/>
  <c r="AA39" s="1"/>
  <c r="AB38"/>
  <c r="U38"/>
  <c r="Q38"/>
  <c r="Z38" s="1"/>
  <c r="J38"/>
  <c r="AC38" s="1"/>
  <c r="H38"/>
  <c r="F38"/>
  <c r="AA38" s="1"/>
  <c r="Q37"/>
  <c r="Z37" s="1"/>
  <c r="J37"/>
  <c r="AC37" s="1"/>
  <c r="AB36"/>
  <c r="U36"/>
  <c r="Q36"/>
  <c r="Z36" s="1"/>
  <c r="J36"/>
  <c r="AC36" s="1"/>
  <c r="H36"/>
  <c r="F36"/>
  <c r="AA36" s="1"/>
  <c r="Q35"/>
  <c r="Z35" s="1"/>
  <c r="J35"/>
  <c r="AC35" s="1"/>
  <c r="AB34"/>
  <c r="U34"/>
  <c r="Q34"/>
  <c r="Z34" s="1"/>
  <c r="J34"/>
  <c r="AC34" s="1"/>
  <c r="H34"/>
  <c r="F34"/>
  <c r="AA34" s="1"/>
  <c r="Q33"/>
  <c r="Z33" s="1"/>
  <c r="Q32"/>
  <c r="Z32" s="1"/>
  <c r="AC31"/>
  <c r="W31"/>
  <c r="Q31"/>
  <c r="Z31" s="1"/>
  <c r="J31"/>
  <c r="H31"/>
  <c r="AB31" s="1"/>
  <c r="F31"/>
  <c r="AA31" s="1"/>
  <c r="AB30"/>
  <c r="U30"/>
  <c r="Q30"/>
  <c r="Z30" s="1"/>
  <c r="J30"/>
  <c r="AC30" s="1"/>
  <c r="H30"/>
  <c r="F30"/>
  <c r="AA30" s="1"/>
  <c r="Q29"/>
  <c r="Z29" s="1"/>
  <c r="J29"/>
  <c r="AC29" s="1"/>
  <c r="H29"/>
  <c r="AB29" s="1"/>
  <c r="F29"/>
  <c r="AA29" s="1"/>
  <c r="Q28"/>
  <c r="Z28" s="1"/>
  <c r="J28"/>
  <c r="AC28" s="1"/>
  <c r="H28"/>
  <c r="AB28" s="1"/>
  <c r="F28"/>
  <c r="AA28" s="1"/>
  <c r="AC27"/>
  <c r="W27"/>
  <c r="Q27"/>
  <c r="Z27" s="1"/>
  <c r="J27"/>
  <c r="H27"/>
  <c r="AB27" s="1"/>
  <c r="F27"/>
  <c r="AA27" s="1"/>
  <c r="AB26"/>
  <c r="U26"/>
  <c r="Q26"/>
  <c r="Z26" s="1"/>
  <c r="J26"/>
  <c r="AC26" s="1"/>
  <c r="H26"/>
  <c r="F26"/>
  <c r="AA26" s="1"/>
  <c r="Q25"/>
  <c r="Z25" s="1"/>
  <c r="J25"/>
  <c r="AC25" s="1"/>
  <c r="H25"/>
  <c r="AB25" s="1"/>
  <c r="F25"/>
  <c r="AA25" s="1"/>
  <c r="Q23"/>
  <c r="Z23" s="1"/>
  <c r="C23"/>
  <c r="Q21"/>
  <c r="Z21" s="1"/>
  <c r="J21"/>
  <c r="AC21" s="1"/>
  <c r="H21"/>
  <c r="AB21" s="1"/>
  <c r="F21"/>
  <c r="AA21" s="1"/>
  <c r="C21"/>
  <c r="Q19"/>
  <c r="Z19" s="1"/>
  <c r="H19"/>
  <c r="AB19" s="1"/>
  <c r="C19"/>
  <c r="Q17"/>
  <c r="Z17" s="1"/>
  <c r="C17"/>
  <c r="Q15"/>
  <c r="Z15" s="1"/>
  <c r="H15"/>
  <c r="AB15" s="1"/>
  <c r="C15"/>
  <c r="Q14"/>
  <c r="Z14" s="1"/>
  <c r="J14"/>
  <c r="AC14" s="1"/>
  <c r="H14"/>
  <c r="AB14" s="1"/>
  <c r="F14"/>
  <c r="AA14" s="1"/>
  <c r="AC13"/>
  <c r="W13"/>
  <c r="Q13"/>
  <c r="Z13" s="1"/>
  <c r="J13"/>
  <c r="F13"/>
  <c r="AA13" s="1"/>
  <c r="Q12"/>
  <c r="Z12" s="1"/>
  <c r="J12"/>
  <c r="AC12" s="1"/>
  <c r="H12"/>
  <c r="AB12" s="1"/>
  <c r="F12"/>
  <c r="AA12" s="1"/>
  <c r="Q11"/>
  <c r="Z11" s="1"/>
  <c r="Q10"/>
  <c r="Z10" s="1"/>
  <c r="J10"/>
  <c r="AC10" s="1"/>
  <c r="H10"/>
  <c r="AB10" s="1"/>
  <c r="F10"/>
  <c r="AA10" s="1"/>
  <c r="AC9"/>
  <c r="W9"/>
  <c r="Q9"/>
  <c r="Z9" s="1"/>
  <c r="J9"/>
  <c r="H9"/>
  <c r="AB9" s="1"/>
  <c r="F9"/>
  <c r="AA9" s="1"/>
  <c r="W8"/>
  <c r="S8"/>
  <c r="J8"/>
  <c r="AC8" s="1"/>
  <c r="H8"/>
  <c r="U8" s="1"/>
  <c r="F8"/>
  <c r="AA8" s="1"/>
  <c r="E71" i="39"/>
  <c r="F71"/>
  <c r="G71" s="1"/>
  <c r="H71" s="1"/>
  <c r="I71" s="1"/>
  <c r="J71" s="1"/>
  <c r="K71" s="1"/>
  <c r="L71" s="1"/>
  <c r="M71" s="1"/>
  <c r="N71" s="1"/>
  <c r="O71" s="1"/>
  <c r="D71"/>
  <c r="N8" i="1"/>
  <c r="N9" s="1"/>
  <c r="N7"/>
  <c r="D2" i="80"/>
  <c r="J11" l="1"/>
  <c r="AC11" s="1"/>
  <c r="U42"/>
  <c r="W11"/>
  <c r="F102"/>
  <c r="S25"/>
  <c r="S29"/>
  <c r="S41"/>
  <c r="E79"/>
  <c r="F79" s="1"/>
  <c r="G79" s="1"/>
  <c r="J17"/>
  <c r="F17"/>
  <c r="H101"/>
  <c r="I101" s="1"/>
  <c r="J101" s="1"/>
  <c r="K101" s="1"/>
  <c r="L101" s="1"/>
  <c r="M101" s="1"/>
  <c r="J32"/>
  <c r="F32"/>
  <c r="E108"/>
  <c r="F108" s="1"/>
  <c r="G108" s="1"/>
  <c r="H108" s="1"/>
  <c r="I108" s="1"/>
  <c r="J108" s="1"/>
  <c r="K108" s="1"/>
  <c r="L108" s="1"/>
  <c r="M108" s="1"/>
  <c r="H35"/>
  <c r="AB37"/>
  <c r="U37"/>
  <c r="AB45"/>
  <c r="U45"/>
  <c r="K141"/>
  <c r="AB8"/>
  <c r="S9"/>
  <c r="U10"/>
  <c r="U12"/>
  <c r="S13"/>
  <c r="U14"/>
  <c r="U15"/>
  <c r="H17"/>
  <c r="U19"/>
  <c r="U21"/>
  <c r="W25"/>
  <c r="S27"/>
  <c r="U28"/>
  <c r="W29"/>
  <c r="S31"/>
  <c r="H32"/>
  <c r="F35"/>
  <c r="W35"/>
  <c r="F37"/>
  <c r="W37"/>
  <c r="S39"/>
  <c r="U40"/>
  <c r="W41"/>
  <c r="S43"/>
  <c r="U44"/>
  <c r="J45"/>
  <c r="S45"/>
  <c r="AC46"/>
  <c r="W46"/>
  <c r="F69"/>
  <c r="H11"/>
  <c r="AB13"/>
  <c r="U13"/>
  <c r="E77"/>
  <c r="F77" s="1"/>
  <c r="G77" s="1"/>
  <c r="J15"/>
  <c r="F15"/>
  <c r="E81"/>
  <c r="J19"/>
  <c r="E85"/>
  <c r="J23"/>
  <c r="H113"/>
  <c r="U9"/>
  <c r="S10"/>
  <c r="W10"/>
  <c r="S12"/>
  <c r="W12"/>
  <c r="S14"/>
  <c r="W14"/>
  <c r="S21"/>
  <c r="W21"/>
  <c r="U25"/>
  <c r="S26"/>
  <c r="W26"/>
  <c r="U27"/>
  <c r="S28"/>
  <c r="W28"/>
  <c r="U29"/>
  <c r="S30"/>
  <c r="W30"/>
  <c r="U31"/>
  <c r="S34"/>
  <c r="W34"/>
  <c r="S36"/>
  <c r="W36"/>
  <c r="S38"/>
  <c r="W38"/>
  <c r="U39"/>
  <c r="S40"/>
  <c r="W40"/>
  <c r="U41"/>
  <c r="S42"/>
  <c r="W42"/>
  <c r="U43"/>
  <c r="S44"/>
  <c r="W44"/>
  <c r="K145"/>
  <c r="U46"/>
  <c r="K144"/>
  <c r="G69" l="1"/>
  <c r="H69" s="1"/>
  <c r="I69" s="1"/>
  <c r="J69" s="1"/>
  <c r="K69" s="1"/>
  <c r="L69" s="1"/>
  <c r="M69" s="1"/>
  <c r="F11"/>
  <c r="I102"/>
  <c r="H33"/>
  <c r="J33"/>
  <c r="F33"/>
  <c r="G102"/>
  <c r="AC23"/>
  <c r="W23"/>
  <c r="AA15"/>
  <c r="S15"/>
  <c r="AA37"/>
  <c r="S37"/>
  <c r="AA35"/>
  <c r="S35"/>
  <c r="AB17"/>
  <c r="U17"/>
  <c r="F85"/>
  <c r="G85" s="1"/>
  <c r="F23"/>
  <c r="H23"/>
  <c r="F81"/>
  <c r="G81" s="1"/>
  <c r="F19"/>
  <c r="AC15"/>
  <c r="W15"/>
  <c r="AB11"/>
  <c r="U11"/>
  <c r="AC45"/>
  <c r="W45"/>
  <c r="AC32"/>
  <c r="W32"/>
  <c r="AA17"/>
  <c r="S17"/>
  <c r="AC19"/>
  <c r="W19"/>
  <c r="AB32"/>
  <c r="U32"/>
  <c r="AB35"/>
  <c r="U35"/>
  <c r="AA32"/>
  <c r="S32"/>
  <c r="AC17"/>
  <c r="W17"/>
  <c r="AA11" l="1"/>
  <c r="S11"/>
  <c r="AA33"/>
  <c r="S33"/>
  <c r="AB33"/>
  <c r="U33"/>
  <c r="AC33"/>
  <c r="W33"/>
  <c r="H102"/>
  <c r="AA23"/>
  <c r="S23"/>
  <c r="AA19"/>
  <c r="S19"/>
  <c r="AB23"/>
  <c r="U23"/>
  <c r="D3" i="4" l="1"/>
  <c r="F19" i="6" l="1"/>
  <c r="C88" i="9" l="1"/>
  <c r="D3" i="21"/>
  <c r="L3" i="71"/>
  <c r="K3"/>
  <c r="I3"/>
  <c r="J3" l="1"/>
  <c r="AD5" l="1"/>
  <c r="AG5"/>
  <c r="AH5"/>
  <c r="AE5"/>
  <c r="AF5" s="1"/>
  <c r="N5"/>
  <c r="Q5"/>
  <c r="P5"/>
  <c r="O5"/>
  <c r="Q6" l="1"/>
  <c r="P6"/>
  <c r="O6"/>
  <c r="N6"/>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7" i="71" l="1"/>
  <c r="P7"/>
  <c r="O7"/>
  <c r="N7"/>
  <c r="D5" i="43" l="1"/>
  <c r="A15" i="51" l="1"/>
  <c r="B7" i="76"/>
  <c r="B9"/>
  <c r="E7"/>
  <c r="B12"/>
  <c r="B10"/>
  <c r="E13"/>
  <c r="E12"/>
  <c r="E11"/>
  <c r="E8"/>
  <c r="B13"/>
  <c r="E10"/>
  <c r="E9"/>
  <c r="B8"/>
  <c r="B11"/>
  <c r="C76" i="9" l="1"/>
  <c r="I107" i="40" l="1"/>
  <c r="K6" i="4" l="1"/>
  <c r="B22" i="31" l="1"/>
  <c r="N56" i="9" l="1"/>
  <c r="M56"/>
  <c r="K56"/>
  <c r="E16" i="74" l="1"/>
  <c r="F16"/>
  <c r="E17"/>
  <c r="F17"/>
  <c r="E18"/>
  <c r="F18"/>
  <c r="E19"/>
  <c r="F19"/>
  <c r="E20"/>
  <c r="F20"/>
  <c r="E21"/>
  <c r="F21"/>
  <c r="E22"/>
  <c r="F22"/>
  <c r="E23"/>
  <c r="F23"/>
  <c r="B3" l="1"/>
  <c r="B8" i="72" l="1"/>
  <c r="O8" i="71" l="1"/>
  <c r="P8"/>
  <c r="Q8"/>
  <c r="N8"/>
  <c r="AE3" l="1"/>
  <c r="AF3" s="1"/>
  <c r="AG3"/>
  <c r="AH3"/>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H20"/>
  <c r="AG20"/>
  <c r="AE20"/>
  <c r="AF20" s="1"/>
  <c r="AD20"/>
  <c r="AD21"/>
  <c r="AE21"/>
  <c r="AF21" s="1"/>
  <c r="AG21"/>
  <c r="AH21"/>
  <c r="S2" i="31" l="1"/>
  <c r="M2"/>
  <c r="N2"/>
  <c r="O2"/>
  <c r="P2"/>
  <c r="Q2"/>
  <c r="R2"/>
  <c r="C1" i="73" l="1"/>
  <c r="L1" s="1"/>
  <c r="F7"/>
  <c r="J1" l="1"/>
  <c r="B74" i="72"/>
  <c r="F5" i="73"/>
  <c r="D3"/>
  <c r="F6"/>
  <c r="F4"/>
  <c r="F3"/>
  <c r="I1" l="1"/>
  <c r="B39" i="1" s="1"/>
  <c r="D7" i="73"/>
  <c r="D4"/>
  <c r="D6"/>
  <c r="D5"/>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70" i="71" l="1"/>
  <c r="F69"/>
  <c r="E69"/>
  <c r="E68" s="1"/>
  <c r="E67" s="1"/>
  <c r="C69"/>
  <c r="D69" s="1"/>
  <c r="B69"/>
  <c r="F68"/>
  <c r="F67" s="1"/>
  <c r="B68"/>
  <c r="B67" s="1"/>
  <c r="D66"/>
  <c r="F65"/>
  <c r="E65"/>
  <c r="E64" s="1"/>
  <c r="E63" s="1"/>
  <c r="C65"/>
  <c r="D65" s="1"/>
  <c r="B65"/>
  <c r="B64" s="1"/>
  <c r="B63" s="1"/>
  <c r="F64"/>
  <c r="F63" s="1"/>
  <c r="D62"/>
  <c r="Q61"/>
  <c r="P61"/>
  <c r="O61"/>
  <c r="N61"/>
  <c r="F61"/>
  <c r="V61" s="1"/>
  <c r="E61"/>
  <c r="U61" s="1"/>
  <c r="C61"/>
  <c r="T61" s="1"/>
  <c r="B61"/>
  <c r="S61" s="1"/>
  <c r="Q60"/>
  <c r="P60"/>
  <c r="O60"/>
  <c r="N60"/>
  <c r="F60"/>
  <c r="F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P49" s="1"/>
  <c r="C49"/>
  <c r="B49"/>
  <c r="S49" s="1"/>
  <c r="F48"/>
  <c r="F47" s="1"/>
  <c r="Q47" s="1"/>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Q38"/>
  <c r="F39" s="1"/>
  <c r="F40" s="1"/>
  <c r="F41" s="1"/>
  <c r="V41" s="1"/>
  <c r="P38"/>
  <c r="E39" s="1"/>
  <c r="O38"/>
  <c r="C39" s="1"/>
  <c r="N38"/>
  <c r="B39" s="1"/>
  <c r="B40" s="1"/>
  <c r="B41" s="1"/>
  <c r="S41" s="1"/>
  <c r="D38"/>
  <c r="Q37"/>
  <c r="P37"/>
  <c r="O37"/>
  <c r="N37"/>
  <c r="Q36"/>
  <c r="P36"/>
  <c r="O36"/>
  <c r="N36"/>
  <c r="Q35"/>
  <c r="P35"/>
  <c r="O35"/>
  <c r="N35"/>
  <c r="Q34"/>
  <c r="F35" s="1"/>
  <c r="F36" s="1"/>
  <c r="F37" s="1"/>
  <c r="V37" s="1"/>
  <c r="P34"/>
  <c r="E35" s="1"/>
  <c r="O34"/>
  <c r="C35" s="1"/>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Q19"/>
  <c r="AB19" s="1"/>
  <c r="P19"/>
  <c r="O19"/>
  <c r="Y19" s="1"/>
  <c r="Z19" s="1"/>
  <c r="N19"/>
  <c r="Q18"/>
  <c r="F19" s="1"/>
  <c r="F20" s="1"/>
  <c r="F21" s="1"/>
  <c r="V21" s="1"/>
  <c r="P18"/>
  <c r="O18"/>
  <c r="N18"/>
  <c r="D18"/>
  <c r="Q17"/>
  <c r="AB17" s="1"/>
  <c r="P17"/>
  <c r="O17"/>
  <c r="Y17" s="1"/>
  <c r="Z17" s="1"/>
  <c r="N17"/>
  <c r="Q16"/>
  <c r="AB16" s="1"/>
  <c r="P16"/>
  <c r="O16"/>
  <c r="Y16" s="1"/>
  <c r="Z16" s="1"/>
  <c r="N16"/>
  <c r="Q15"/>
  <c r="AB15" s="1"/>
  <c r="P15"/>
  <c r="O15"/>
  <c r="Y15" s="1"/>
  <c r="Z15" s="1"/>
  <c r="N15"/>
  <c r="F15"/>
  <c r="F16" s="1"/>
  <c r="F17" s="1"/>
  <c r="V17" s="1"/>
  <c r="Q14"/>
  <c r="P14"/>
  <c r="O14"/>
  <c r="N14"/>
  <c r="D14"/>
  <c r="Q13"/>
  <c r="AB13" s="1"/>
  <c r="P13"/>
  <c r="O13"/>
  <c r="Y13" s="1"/>
  <c r="Z13" s="1"/>
  <c r="N13"/>
  <c r="Q12"/>
  <c r="AB12" s="1"/>
  <c r="P12"/>
  <c r="O12"/>
  <c r="Y12" s="1"/>
  <c r="Z12" s="1"/>
  <c r="N12"/>
  <c r="Q11"/>
  <c r="AB11" s="1"/>
  <c r="P11"/>
  <c r="O11"/>
  <c r="Y11" s="1"/>
  <c r="Z11" s="1"/>
  <c r="N11"/>
  <c r="F11"/>
  <c r="F12" s="1"/>
  <c r="F13" s="1"/>
  <c r="V13" s="1"/>
  <c r="Q10"/>
  <c r="P10"/>
  <c r="O10"/>
  <c r="N10"/>
  <c r="D10"/>
  <c r="O9"/>
  <c r="Y5" s="1"/>
  <c r="Z5" s="1"/>
  <c r="N9"/>
  <c r="B48" l="1"/>
  <c r="B60"/>
  <c r="B59" s="1"/>
  <c r="X5"/>
  <c r="B11"/>
  <c r="B12" s="1"/>
  <c r="B13" s="1"/>
  <c r="S13" s="1"/>
  <c r="X10"/>
  <c r="E11"/>
  <c r="E12" s="1"/>
  <c r="E13" s="1"/>
  <c r="U13" s="1"/>
  <c r="AA10"/>
  <c r="B15"/>
  <c r="B16" s="1"/>
  <c r="B17" s="1"/>
  <c r="S17" s="1"/>
  <c r="X14"/>
  <c r="B19"/>
  <c r="B20" s="1"/>
  <c r="B21" s="1"/>
  <c r="S21" s="1"/>
  <c r="X18"/>
  <c r="E19"/>
  <c r="E20" s="1"/>
  <c r="E21" s="1"/>
  <c r="U21" s="1"/>
  <c r="AA18"/>
  <c r="N49"/>
  <c r="E15"/>
  <c r="E16" s="1"/>
  <c r="E17" s="1"/>
  <c r="U17" s="1"/>
  <c r="AA14"/>
  <c r="C11"/>
  <c r="Y10"/>
  <c r="Z10" s="1"/>
  <c r="AB10"/>
  <c r="X11"/>
  <c r="AA11"/>
  <c r="X12"/>
  <c r="AA12"/>
  <c r="X13"/>
  <c r="AA13"/>
  <c r="C15"/>
  <c r="C16" s="1"/>
  <c r="Y14"/>
  <c r="Z14" s="1"/>
  <c r="AB14"/>
  <c r="X15"/>
  <c r="AA15"/>
  <c r="X16"/>
  <c r="AA16"/>
  <c r="X17"/>
  <c r="AA17"/>
  <c r="C19"/>
  <c r="Y18"/>
  <c r="Z18" s="1"/>
  <c r="AB18"/>
  <c r="X19"/>
  <c r="AA19"/>
  <c r="F32"/>
  <c r="F33" s="1"/>
  <c r="V33" s="1"/>
  <c r="C9"/>
  <c r="Y3"/>
  <c r="Z3" s="1"/>
  <c r="Y6"/>
  <c r="Z6" s="1"/>
  <c r="Y7"/>
  <c r="Z7" s="1"/>
  <c r="Y8"/>
  <c r="Z8" s="1"/>
  <c r="Y9"/>
  <c r="Z9" s="1"/>
  <c r="B9"/>
  <c r="B8" s="1"/>
  <c r="B7" s="1"/>
  <c r="B6" s="1"/>
  <c r="B5" s="1"/>
  <c r="X6"/>
  <c r="X7"/>
  <c r="X8"/>
  <c r="X3"/>
  <c r="X9"/>
  <c r="C12"/>
  <c r="D11"/>
  <c r="D15"/>
  <c r="C20"/>
  <c r="D19"/>
  <c r="C24"/>
  <c r="D23"/>
  <c r="C28"/>
  <c r="D28" s="1"/>
  <c r="D27"/>
  <c r="C32"/>
  <c r="D31"/>
  <c r="P9"/>
  <c r="AA5" s="1"/>
  <c r="E36"/>
  <c r="E37" s="1"/>
  <c r="U37" s="1"/>
  <c r="E40"/>
  <c r="E41" s="1"/>
  <c r="U41" s="1"/>
  <c r="E44"/>
  <c r="E45" s="1"/>
  <c r="U45" s="1"/>
  <c r="Q46"/>
  <c r="U49"/>
  <c r="E48"/>
  <c r="Q9"/>
  <c r="AB5" s="1"/>
  <c r="C36"/>
  <c r="D35"/>
  <c r="C40"/>
  <c r="D39"/>
  <c r="C44"/>
  <c r="D43"/>
  <c r="N48"/>
  <c r="B47"/>
  <c r="Q48"/>
  <c r="T49"/>
  <c r="O49"/>
  <c r="D49"/>
  <c r="C48"/>
  <c r="Q49"/>
  <c r="C52"/>
  <c r="E52"/>
  <c r="E51" s="1"/>
  <c r="D53"/>
  <c r="C56"/>
  <c r="E56"/>
  <c r="E55" s="1"/>
  <c r="D57"/>
  <c r="C60"/>
  <c r="E60"/>
  <c r="E59" s="1"/>
  <c r="D61"/>
  <c r="C64"/>
  <c r="C68"/>
  <c r="T9" l="1"/>
  <c r="C8"/>
  <c r="S9"/>
  <c r="F9"/>
  <c r="F8" s="1"/>
  <c r="F7" s="1"/>
  <c r="F6" s="1"/>
  <c r="F5" s="1"/>
  <c r="AB3"/>
  <c r="AB6"/>
  <c r="AB7"/>
  <c r="AB8"/>
  <c r="AB9"/>
  <c r="E9"/>
  <c r="E8" s="1"/>
  <c r="E7" s="1"/>
  <c r="E6" s="1"/>
  <c r="E5" s="1"/>
  <c r="AA3"/>
  <c r="AA6"/>
  <c r="AA7"/>
  <c r="AA8"/>
  <c r="AA9"/>
  <c r="D9"/>
  <c r="U9" s="1"/>
  <c r="C47"/>
  <c r="O48"/>
  <c r="D48"/>
  <c r="C45"/>
  <c r="D44"/>
  <c r="D64"/>
  <c r="C63"/>
  <c r="D63" s="1"/>
  <c r="D56"/>
  <c r="C55"/>
  <c r="D55" s="1"/>
  <c r="N46"/>
  <c r="N47"/>
  <c r="D68"/>
  <c r="C67"/>
  <c r="D67" s="1"/>
  <c r="D60"/>
  <c r="C59"/>
  <c r="D59" s="1"/>
  <c r="D52"/>
  <c r="C51"/>
  <c r="D51" s="1"/>
  <c r="C41"/>
  <c r="D40"/>
  <c r="C37"/>
  <c r="D36"/>
  <c r="P48"/>
  <c r="E47"/>
  <c r="C33"/>
  <c r="D32"/>
  <c r="C25"/>
  <c r="D24"/>
  <c r="C21"/>
  <c r="D20"/>
  <c r="C17"/>
  <c r="D16"/>
  <c r="C13"/>
  <c r="D12"/>
  <c r="C7" l="1"/>
  <c r="D8"/>
  <c r="V9"/>
  <c r="P46"/>
  <c r="P47"/>
  <c r="O47"/>
  <c r="D47"/>
  <c r="O46"/>
  <c r="T13"/>
  <c r="D13"/>
  <c r="T17"/>
  <c r="D17"/>
  <c r="T21"/>
  <c r="D21"/>
  <c r="M19" i="43" s="1"/>
  <c r="T25" i="71"/>
  <c r="D25"/>
  <c r="T33"/>
  <c r="D33"/>
  <c r="T37"/>
  <c r="D37"/>
  <c r="T41"/>
  <c r="D41"/>
  <c r="T45"/>
  <c r="D45"/>
  <c r="D7" l="1"/>
  <c r="C6"/>
  <c r="O27" i="6"/>
  <c r="N27"/>
  <c r="P20"/>
  <c r="P21"/>
  <c r="P22"/>
  <c r="P23"/>
  <c r="P24"/>
  <c r="P25"/>
  <c r="P26"/>
  <c r="P19"/>
  <c r="AP8" i="1"/>
  <c r="AP9"/>
  <c r="AP10"/>
  <c r="AP11"/>
  <c r="AP12"/>
  <c r="AP13"/>
  <c r="L21" i="6"/>
  <c r="L22"/>
  <c r="L23"/>
  <c r="L24"/>
  <c r="L25"/>
  <c r="L26"/>
  <c r="D6" i="71" l="1"/>
  <c r="C5"/>
  <c r="D5" s="1"/>
  <c r="P27" i="6"/>
  <c r="A7" i="70"/>
  <c r="A8"/>
  <c r="A9"/>
  <c r="E9" s="1"/>
  <c r="A10"/>
  <c r="E10" s="1"/>
  <c r="A11"/>
  <c r="E11" s="1"/>
  <c r="A12"/>
  <c r="E12" s="1"/>
  <c r="A13"/>
  <c r="E13" s="1"/>
  <c r="A6"/>
  <c r="Q25" i="40" l="1"/>
  <c r="Z25" s="1"/>
  <c r="D94"/>
  <c r="E94" s="1"/>
  <c r="F25"/>
  <c r="AA25" s="1"/>
  <c r="Q29" i="39"/>
  <c r="Z29" s="1"/>
  <c r="D103"/>
  <c r="E103"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3" i="1"/>
  <c r="AO11"/>
  <c r="AO10"/>
  <c r="AO12"/>
  <c r="AO9"/>
  <c r="B11" i="70" l="1"/>
  <c r="B13"/>
  <c r="B12"/>
  <c r="B10"/>
  <c r="B9"/>
  <c r="B75" i="43"/>
  <c r="B55"/>
  <c r="B66"/>
  <c r="C25" i="40"/>
  <c r="C29" i="39"/>
  <c r="S25" i="40"/>
  <c r="S18" i="36"/>
  <c r="U18"/>
  <c r="S21" i="34"/>
  <c r="F94" i="40"/>
  <c r="G94" s="1"/>
  <c r="H25"/>
  <c r="J25"/>
  <c r="F103" i="39"/>
  <c r="G103" s="1"/>
  <c r="F29" s="1"/>
  <c r="AA29" s="1"/>
  <c r="H29"/>
  <c r="J29"/>
  <c r="G66" i="36"/>
  <c r="J18"/>
  <c r="F68" i="35"/>
  <c r="H18"/>
  <c r="S18"/>
  <c r="G68"/>
  <c r="J18"/>
  <c r="F77" i="37"/>
  <c r="H21"/>
  <c r="F21"/>
  <c r="F84" i="34"/>
  <c r="H21"/>
  <c r="F83" i="33"/>
  <c r="H21"/>
  <c r="F21"/>
  <c r="E83" i="21"/>
  <c r="S21"/>
  <c r="H1" i="69"/>
  <c r="S29" i="39" l="1"/>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9"/>
  <c r="I8"/>
  <c r="I7"/>
  <c r="I6"/>
  <c r="I5"/>
  <c r="I4"/>
  <c r="I3"/>
  <c r="M11" i="15"/>
  <c r="D1" i="43"/>
  <c r="F113"/>
  <c r="N99"/>
  <c r="N108" s="1"/>
  <c r="D99"/>
  <c r="D108" s="1"/>
  <c r="E99"/>
  <c r="E108" s="1"/>
  <c r="F99"/>
  <c r="F108" s="1"/>
  <c r="G99"/>
  <c r="G108" s="1"/>
  <c r="H99"/>
  <c r="H108" s="1"/>
  <c r="I99"/>
  <c r="I108" s="1"/>
  <c r="J99"/>
  <c r="J108" s="1"/>
  <c r="K99"/>
  <c r="K108" s="1"/>
  <c r="L99"/>
  <c r="L108" s="1"/>
  <c r="M99"/>
  <c r="M108" s="1"/>
  <c r="C99"/>
  <c r="C108" s="1"/>
  <c r="N100"/>
  <c r="D100"/>
  <c r="B48"/>
  <c r="B84"/>
  <c r="B83"/>
  <c r="B72"/>
  <c r="B61"/>
  <c r="B50"/>
  <c r="D82"/>
  <c r="D83"/>
  <c r="D84"/>
  <c r="D85"/>
  <c r="D86"/>
  <c r="D87"/>
  <c r="D88"/>
  <c r="D8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c r="K56"/>
  <c r="J56" s="1"/>
  <c r="D56" s="1"/>
  <c r="M55"/>
  <c r="N55" s="1"/>
  <c r="K55"/>
  <c r="J55" s="1"/>
  <c r="D55" s="1"/>
  <c r="M54"/>
  <c r="N54" s="1"/>
  <c r="K54"/>
  <c r="J54" s="1"/>
  <c r="D54" s="1"/>
  <c r="M53"/>
  <c r="N53" s="1"/>
  <c r="K53"/>
  <c r="J53" s="1"/>
  <c r="D53" s="1"/>
  <c r="M52"/>
  <c r="N52" s="1"/>
  <c r="K52"/>
  <c r="J52" s="1"/>
  <c r="D52" s="1"/>
  <c r="M51"/>
  <c r="N51" s="1"/>
  <c r="K51"/>
  <c r="J51" s="1"/>
  <c r="D51" s="1"/>
  <c r="M50"/>
  <c r="N50" s="1"/>
  <c r="K50"/>
  <c r="J50"/>
  <c r="D50" s="1"/>
  <c r="M49"/>
  <c r="N49" s="1"/>
  <c r="K49"/>
  <c r="J49" s="1"/>
  <c r="D49" s="1"/>
  <c r="M48"/>
  <c r="N48"/>
  <c r="K48"/>
  <c r="J48" s="1"/>
  <c r="D48" s="1"/>
  <c r="Q72" i="15"/>
  <c r="Q58"/>
  <c r="Q51"/>
  <c r="Q59"/>
  <c r="AE10" i="1"/>
  <c r="AE1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C7" i="80" s="1"/>
  <c r="C58" s="1"/>
  <c r="F15" i="4"/>
  <c r="F9" i="1"/>
  <c r="F10"/>
  <c r="F11"/>
  <c r="F12"/>
  <c r="G12" s="1"/>
  <c r="F13"/>
  <c r="D6"/>
  <c r="D9"/>
  <c r="D10"/>
  <c r="D11"/>
  <c r="D12"/>
  <c r="D13"/>
  <c r="D7"/>
  <c r="D8"/>
  <c r="A7"/>
  <c r="B7" s="1"/>
  <c r="E7" s="1"/>
  <c r="A8"/>
  <c r="B8" s="1"/>
  <c r="E8" s="1"/>
  <c r="A9"/>
  <c r="A10"/>
  <c r="K10" s="1"/>
  <c r="M10" s="1"/>
  <c r="O10" s="1"/>
  <c r="A11"/>
  <c r="A12"/>
  <c r="A13"/>
  <c r="B13" s="1"/>
  <c r="E13" s="1"/>
  <c r="A6"/>
  <c r="B11"/>
  <c r="E11" s="1"/>
  <c r="K13"/>
  <c r="M13" s="1"/>
  <c r="O13" s="1"/>
  <c r="P13" s="1"/>
  <c r="G79" i="36"/>
  <c r="G85" i="35"/>
  <c r="G97" i="37"/>
  <c r="G110" i="34"/>
  <c r="G111" i="21"/>
  <c r="G109" i="33"/>
  <c r="D23" i="31"/>
  <c r="L2"/>
  <c r="K2"/>
  <c r="J2"/>
  <c r="I2"/>
  <c r="H2"/>
  <c r="G2"/>
  <c r="F2"/>
  <c r="E2"/>
  <c r="D2"/>
  <c r="C2"/>
  <c r="D46" i="15"/>
  <c r="BT112" i="3"/>
  <c r="BS112"/>
  <c r="BR112"/>
  <c r="BQ112"/>
  <c r="BP112"/>
  <c r="BO112"/>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BT106"/>
  <c r="BS106"/>
  <c r="BR106"/>
  <c r="BQ106"/>
  <c r="BP106"/>
  <c r="BO106"/>
  <c r="BN106"/>
  <c r="BL106" s="1"/>
  <c r="BM106"/>
  <c r="BK106"/>
  <c r="BJ106"/>
  <c r="BI106"/>
  <c r="BH106"/>
  <c r="BG106"/>
  <c r="BF106"/>
  <c r="BE106"/>
  <c r="BD106"/>
  <c r="BC106"/>
  <c r="BB106"/>
  <c r="AX106"/>
  <c r="AW106"/>
  <c r="AV106"/>
  <c r="AC106"/>
  <c r="H106"/>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BT95"/>
  <c r="BS95"/>
  <c r="BR95"/>
  <c r="BQ95"/>
  <c r="BP95"/>
  <c r="BO95"/>
  <c r="BN95"/>
  <c r="BM95"/>
  <c r="BK95"/>
  <c r="BJ95"/>
  <c r="BI95"/>
  <c r="BH95"/>
  <c r="BG95"/>
  <c r="BF95"/>
  <c r="BE95"/>
  <c r="BD95"/>
  <c r="BC95"/>
  <c r="BB95"/>
  <c r="AX95"/>
  <c r="AW95"/>
  <c r="AV95"/>
  <c r="AC95"/>
  <c r="H95"/>
  <c r="BT94"/>
  <c r="BS94"/>
  <c r="BR94"/>
  <c r="BQ94"/>
  <c r="BP94"/>
  <c r="BO94"/>
  <c r="BN94"/>
  <c r="BM94"/>
  <c r="BL94" s="1"/>
  <c r="BK94"/>
  <c r="BJ94"/>
  <c r="BI94"/>
  <c r="BH94"/>
  <c r="BG94"/>
  <c r="BF94"/>
  <c r="BE94"/>
  <c r="BD94"/>
  <c r="BC94"/>
  <c r="BB94"/>
  <c r="AX94"/>
  <c r="AW94"/>
  <c r="AV94"/>
  <c r="AC94"/>
  <c r="H94"/>
  <c r="BT93"/>
  <c r="BS93"/>
  <c r="BR93"/>
  <c r="BQ93"/>
  <c r="BP93"/>
  <c r="BO93"/>
  <c r="BN93"/>
  <c r="BM93"/>
  <c r="BL93" s="1"/>
  <c r="BK93"/>
  <c r="BJ93"/>
  <c r="BI93"/>
  <c r="BH93"/>
  <c r="BG93"/>
  <c r="BF93"/>
  <c r="BE93"/>
  <c r="BD93"/>
  <c r="BC93"/>
  <c r="BB93"/>
  <c r="AX93"/>
  <c r="AW93"/>
  <c r="AV93"/>
  <c r="AC93"/>
  <c r="H93"/>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G91" s="1"/>
  <c r="BT90"/>
  <c r="BS90"/>
  <c r="BR90"/>
  <c r="BQ90"/>
  <c r="BP90"/>
  <c r="BO90"/>
  <c r="BN90"/>
  <c r="BM90"/>
  <c r="BK90"/>
  <c r="BJ90"/>
  <c r="BI90"/>
  <c r="BH90"/>
  <c r="BG90"/>
  <c r="BF90"/>
  <c r="BE90"/>
  <c r="BD90"/>
  <c r="BC90"/>
  <c r="BB90"/>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G87" s="1"/>
  <c r="BT86"/>
  <c r="BS86"/>
  <c r="BR86"/>
  <c r="BQ86"/>
  <c r="BP86"/>
  <c r="BO86"/>
  <c r="BN86"/>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BA84" s="1"/>
  <c r="AX84"/>
  <c r="AW84"/>
  <c r="AV84"/>
  <c r="AC84"/>
  <c r="H84"/>
  <c r="BT83"/>
  <c r="BS83"/>
  <c r="BR83"/>
  <c r="BQ83"/>
  <c r="BP83"/>
  <c r="BO83"/>
  <c r="BN83"/>
  <c r="BM83"/>
  <c r="BK83"/>
  <c r="BJ83"/>
  <c r="BI83"/>
  <c r="BH83"/>
  <c r="BG83"/>
  <c r="BF83"/>
  <c r="BE83"/>
  <c r="BD83"/>
  <c r="BC83"/>
  <c r="BB83"/>
  <c r="AX83"/>
  <c r="AW83"/>
  <c r="AV83"/>
  <c r="AC83"/>
  <c r="H83"/>
  <c r="G83" s="1"/>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BT75"/>
  <c r="BS75"/>
  <c r="BR75"/>
  <c r="BQ75"/>
  <c r="BP75"/>
  <c r="BO75"/>
  <c r="BN75"/>
  <c r="BM75"/>
  <c r="BK75"/>
  <c r="BJ75"/>
  <c r="BI75"/>
  <c r="BH75"/>
  <c r="BG75"/>
  <c r="BF75"/>
  <c r="BE75"/>
  <c r="BD75"/>
  <c r="BC75"/>
  <c r="BB75"/>
  <c r="AX75"/>
  <c r="AW75"/>
  <c r="AV75"/>
  <c r="AC75"/>
  <c r="H75"/>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AX67"/>
  <c r="AW67"/>
  <c r="AV67"/>
  <c r="AC67"/>
  <c r="H67"/>
  <c r="G67" s="1"/>
  <c r="BT66"/>
  <c r="BS66"/>
  <c r="BR66"/>
  <c r="BQ66"/>
  <c r="BP66"/>
  <c r="BO66"/>
  <c r="BN66"/>
  <c r="BM66"/>
  <c r="BL66" s="1"/>
  <c r="BK66"/>
  <c r="BJ66"/>
  <c r="BI66"/>
  <c r="BH66"/>
  <c r="BG66"/>
  <c r="BF66"/>
  <c r="BE66"/>
  <c r="BD66"/>
  <c r="BC66"/>
  <c r="BB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AX64"/>
  <c r="AW64"/>
  <c r="AV64"/>
  <c r="AC64"/>
  <c r="H64"/>
  <c r="BT63"/>
  <c r="BS63"/>
  <c r="BR63"/>
  <c r="BQ63"/>
  <c r="BP63"/>
  <c r="BO63"/>
  <c r="BN63"/>
  <c r="BM63"/>
  <c r="BK63"/>
  <c r="BJ63"/>
  <c r="BI63"/>
  <c r="BH63"/>
  <c r="BG63"/>
  <c r="BF63"/>
  <c r="BE63"/>
  <c r="BD63"/>
  <c r="BC63"/>
  <c r="BB63"/>
  <c r="AX63"/>
  <c r="AW63"/>
  <c r="AV63"/>
  <c r="AC63"/>
  <c r="H63"/>
  <c r="G63" s="1"/>
  <c r="BT62"/>
  <c r="BS62"/>
  <c r="BR62"/>
  <c r="BQ62"/>
  <c r="BP62"/>
  <c r="BO62"/>
  <c r="BN62"/>
  <c r="BM62"/>
  <c r="BK62"/>
  <c r="BJ62"/>
  <c r="BI62"/>
  <c r="BH62"/>
  <c r="BG62"/>
  <c r="BF62"/>
  <c r="BE62"/>
  <c r="BD62"/>
  <c r="BC62"/>
  <c r="BB62"/>
  <c r="AX62"/>
  <c r="AW62"/>
  <c r="AV62"/>
  <c r="AC62"/>
  <c r="H62"/>
  <c r="BT61"/>
  <c r="BS61"/>
  <c r="BR61"/>
  <c r="BQ61"/>
  <c r="BP61"/>
  <c r="BO61"/>
  <c r="BN61"/>
  <c r="BM61"/>
  <c r="BL61"/>
  <c r="BK61"/>
  <c r="BJ61"/>
  <c r="BI61"/>
  <c r="BH61"/>
  <c r="BG61"/>
  <c r="BF61"/>
  <c r="BE61"/>
  <c r="BD61"/>
  <c r="BC61"/>
  <c r="BB61"/>
  <c r="AX61"/>
  <c r="AW61"/>
  <c r="AV61"/>
  <c r="AC61"/>
  <c r="H61"/>
  <c r="BT60"/>
  <c r="BS60"/>
  <c r="BR60"/>
  <c r="BQ60"/>
  <c r="BP60"/>
  <c r="BO60"/>
  <c r="BN60"/>
  <c r="BM60"/>
  <c r="BL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G52" s="1"/>
  <c r="BT51"/>
  <c r="BS51"/>
  <c r="BR51"/>
  <c r="BQ51"/>
  <c r="BP51"/>
  <c r="BO51"/>
  <c r="BN51"/>
  <c r="BM51"/>
  <c r="BK51"/>
  <c r="BJ51"/>
  <c r="BI51"/>
  <c r="BH51"/>
  <c r="BG51"/>
  <c r="BF51"/>
  <c r="BE51"/>
  <c r="BD51"/>
  <c r="BC51"/>
  <c r="BB51"/>
  <c r="AX51"/>
  <c r="AW51"/>
  <c r="AV51"/>
  <c r="AC51"/>
  <c r="G51" s="1"/>
  <c r="H51"/>
  <c r="BT50"/>
  <c r="BS50"/>
  <c r="BR50"/>
  <c r="BQ50"/>
  <c r="BP50"/>
  <c r="BO50"/>
  <c r="BN50"/>
  <c r="BM50"/>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AX46"/>
  <c r="AW46"/>
  <c r="AV46"/>
  <c r="AC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BT43"/>
  <c r="BS43"/>
  <c r="BR43"/>
  <c r="BQ43"/>
  <c r="BP43"/>
  <c r="BO43"/>
  <c r="BN43"/>
  <c r="BM43"/>
  <c r="BK43"/>
  <c r="BJ43"/>
  <c r="BI43"/>
  <c r="BH43"/>
  <c r="BG43"/>
  <c r="BF43"/>
  <c r="BE43"/>
  <c r="BD43"/>
  <c r="BC43"/>
  <c r="BB43"/>
  <c r="AX43"/>
  <c r="AW43"/>
  <c r="AV43"/>
  <c r="AC43"/>
  <c r="H43"/>
  <c r="G43" s="1"/>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BT38"/>
  <c r="BS38"/>
  <c r="BR38"/>
  <c r="BQ38"/>
  <c r="BP38"/>
  <c r="BO38"/>
  <c r="BN38"/>
  <c r="BM38"/>
  <c r="BK38"/>
  <c r="BJ38"/>
  <c r="BI38"/>
  <c r="BH38"/>
  <c r="BG38"/>
  <c r="BF38"/>
  <c r="BE38"/>
  <c r="BD38"/>
  <c r="BC38"/>
  <c r="BB38"/>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K34"/>
  <c r="BJ34"/>
  <c r="BI34"/>
  <c r="BH34"/>
  <c r="BG34"/>
  <c r="BF34"/>
  <c r="BE34"/>
  <c r="BD34"/>
  <c r="BC34"/>
  <c r="BB34"/>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G27" s="1"/>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G19" s="1"/>
  <c r="BT18"/>
  <c r="BS18"/>
  <c r="BR18"/>
  <c r="BQ18"/>
  <c r="BP18"/>
  <c r="BO18"/>
  <c r="BN18"/>
  <c r="BM18"/>
  <c r="BK18"/>
  <c r="BJ18"/>
  <c r="BI18"/>
  <c r="BH18"/>
  <c r="BG18"/>
  <c r="BF18"/>
  <c r="BE18"/>
  <c r="BD18"/>
  <c r="BC18"/>
  <c r="BB18"/>
  <c r="AX18"/>
  <c r="AW18"/>
  <c r="AV18"/>
  <c r="AC18"/>
  <c r="H18"/>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G195" s="1"/>
  <c r="H195"/>
  <c r="BT194"/>
  <c r="BS194"/>
  <c r="BR194"/>
  <c r="BQ194"/>
  <c r="BP194"/>
  <c r="BO194"/>
  <c r="BN194"/>
  <c r="BM194"/>
  <c r="BK194"/>
  <c r="BJ194"/>
  <c r="BI194"/>
  <c r="BH194"/>
  <c r="BG194"/>
  <c r="BF194"/>
  <c r="BE194"/>
  <c r="BD194"/>
  <c r="BC194"/>
  <c r="BB194"/>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O174"/>
  <c r="BN174"/>
  <c r="BM174"/>
  <c r="BK174"/>
  <c r="BJ174"/>
  <c r="BI174"/>
  <c r="BH174"/>
  <c r="BG174"/>
  <c r="BF174"/>
  <c r="BE174"/>
  <c r="BD174"/>
  <c r="BC174"/>
  <c r="BB174"/>
  <c r="BA174"/>
  <c r="AX174"/>
  <c r="AW174"/>
  <c r="AV174"/>
  <c r="AC174"/>
  <c r="G174" s="1"/>
  <c r="H174"/>
  <c r="BT173"/>
  <c r="BS173"/>
  <c r="BR173"/>
  <c r="BQ173"/>
  <c r="BP173"/>
  <c r="BO173"/>
  <c r="BN173"/>
  <c r="BM173"/>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BA166" s="1"/>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G163" s="1"/>
  <c r="H163"/>
  <c r="BT162"/>
  <c r="BS162"/>
  <c r="BR162"/>
  <c r="BQ162"/>
  <c r="BP162"/>
  <c r="BO162"/>
  <c r="BN162"/>
  <c r="BM162"/>
  <c r="BK162"/>
  <c r="BJ162"/>
  <c r="BI162"/>
  <c r="BH162"/>
  <c r="BG162"/>
  <c r="BF162"/>
  <c r="BE162"/>
  <c r="BD162"/>
  <c r="BC162"/>
  <c r="BB162"/>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AX158"/>
  <c r="AW158"/>
  <c r="AV158"/>
  <c r="AC158"/>
  <c r="G158" s="1"/>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BA150" s="1"/>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BA142" s="1"/>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A136" s="1"/>
  <c r="BB136"/>
  <c r="AX136"/>
  <c r="AW136"/>
  <c r="AV136"/>
  <c r="AC136"/>
  <c r="H136"/>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BT294"/>
  <c r="BS294"/>
  <c r="BR294"/>
  <c r="BQ294"/>
  <c r="BP294"/>
  <c r="BO294"/>
  <c r="BN294"/>
  <c r="BM294"/>
  <c r="BK294"/>
  <c r="BJ294"/>
  <c r="BI294"/>
  <c r="BH294"/>
  <c r="BG294"/>
  <c r="BF294"/>
  <c r="BE294"/>
  <c r="BD294"/>
  <c r="BC294"/>
  <c r="BB294"/>
  <c r="AX294"/>
  <c r="AW294"/>
  <c r="AV294"/>
  <c r="AC294"/>
  <c r="H294"/>
  <c r="BT293"/>
  <c r="BS293"/>
  <c r="BR293"/>
  <c r="BQ293"/>
  <c r="BP293"/>
  <c r="BO293"/>
  <c r="BN293"/>
  <c r="BM293"/>
  <c r="BK293"/>
  <c r="BJ293"/>
  <c r="BI293"/>
  <c r="BH293"/>
  <c r="BG293"/>
  <c r="BF293"/>
  <c r="BE293"/>
  <c r="BD293"/>
  <c r="BC293"/>
  <c r="BA293" s="1"/>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BT277"/>
  <c r="BS277"/>
  <c r="BR277"/>
  <c r="BQ277"/>
  <c r="BP277"/>
  <c r="BO277"/>
  <c r="BN277"/>
  <c r="BM277"/>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AX275"/>
  <c r="AW275"/>
  <c r="AV275"/>
  <c r="AC275"/>
  <c r="H275"/>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BA270" s="1"/>
  <c r="AX270"/>
  <c r="AW270"/>
  <c r="AV270"/>
  <c r="AC270"/>
  <c r="H270"/>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L265" s="1"/>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L256" s="1"/>
  <c r="BM256"/>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H253"/>
  <c r="BT252"/>
  <c r="BS252"/>
  <c r="BR252"/>
  <c r="BQ252"/>
  <c r="BP252"/>
  <c r="BO252"/>
  <c r="BN252"/>
  <c r="BM252"/>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A246" s="1"/>
  <c r="BB246"/>
  <c r="AX246"/>
  <c r="AW246"/>
  <c r="AV246"/>
  <c r="AC246"/>
  <c r="H246"/>
  <c r="BT245"/>
  <c r="BS245"/>
  <c r="BR245"/>
  <c r="BQ245"/>
  <c r="BP245"/>
  <c r="BO245"/>
  <c r="BN245"/>
  <c r="BM245"/>
  <c r="BK245"/>
  <c r="BJ245"/>
  <c r="BI245"/>
  <c r="BH245"/>
  <c r="BG245"/>
  <c r="BF245"/>
  <c r="BE245"/>
  <c r="BD245"/>
  <c r="BC245"/>
  <c r="BB245"/>
  <c r="AX245"/>
  <c r="AW245"/>
  <c r="AV245"/>
  <c r="AC245"/>
  <c r="H245"/>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BA241" s="1"/>
  <c r="AX241"/>
  <c r="AW241"/>
  <c r="AV241"/>
  <c r="AC241"/>
  <c r="H241"/>
  <c r="BT240"/>
  <c r="BS240"/>
  <c r="BR240"/>
  <c r="BQ240"/>
  <c r="BP240"/>
  <c r="BO240"/>
  <c r="BN240"/>
  <c r="BL240" s="1"/>
  <c r="BM240"/>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G235"/>
  <c r="BT234"/>
  <c r="BS234"/>
  <c r="BR234"/>
  <c r="BQ234"/>
  <c r="BP234"/>
  <c r="BO234"/>
  <c r="BN234"/>
  <c r="BM234"/>
  <c r="BL234" s="1"/>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L210" s="1"/>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BT397"/>
  <c r="BS397"/>
  <c r="BR397"/>
  <c r="BQ397"/>
  <c r="BP397"/>
  <c r="BO397"/>
  <c r="BN397"/>
  <c r="BM397"/>
  <c r="BK397"/>
  <c r="BJ397"/>
  <c r="BI397"/>
  <c r="BH397"/>
  <c r="BG397"/>
  <c r="BF397"/>
  <c r="BE397"/>
  <c r="BD397"/>
  <c r="BC397"/>
  <c r="BB397"/>
  <c r="AX397"/>
  <c r="AW397"/>
  <c r="AV397"/>
  <c r="AC397"/>
  <c r="H397"/>
  <c r="BT396"/>
  <c r="BS396"/>
  <c r="BR396"/>
  <c r="BQ396"/>
  <c r="BP396"/>
  <c r="BO396"/>
  <c r="BN396"/>
  <c r="BM396"/>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G358" s="1"/>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A491" s="1"/>
  <c r="BB491"/>
  <c r="AX491"/>
  <c r="AW491"/>
  <c r="AV491"/>
  <c r="AC491"/>
  <c r="H491"/>
  <c r="BT490"/>
  <c r="BS490"/>
  <c r="BR490"/>
  <c r="BQ490"/>
  <c r="BP490"/>
  <c r="BO490"/>
  <c r="BN490"/>
  <c r="BM490"/>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AX487"/>
  <c r="AW487"/>
  <c r="AV487"/>
  <c r="AC487"/>
  <c r="H487"/>
  <c r="BT486"/>
  <c r="BS486"/>
  <c r="BR486"/>
  <c r="BQ486"/>
  <c r="BP486"/>
  <c r="BO486"/>
  <c r="BN486"/>
  <c r="BM486"/>
  <c r="BK486"/>
  <c r="BJ486"/>
  <c r="BI486"/>
  <c r="BH486"/>
  <c r="BG486"/>
  <c r="BF486"/>
  <c r="BE486"/>
  <c r="BD486"/>
  <c r="BC486"/>
  <c r="BB486"/>
  <c r="AX486"/>
  <c r="AW486"/>
  <c r="AV486"/>
  <c r="AC486"/>
  <c r="H486"/>
  <c r="BT485"/>
  <c r="BS485"/>
  <c r="BR485"/>
  <c r="BQ485"/>
  <c r="BP485"/>
  <c r="BO485"/>
  <c r="BN485"/>
  <c r="BM485"/>
  <c r="BK485"/>
  <c r="BJ485"/>
  <c r="BI485"/>
  <c r="BH485"/>
  <c r="BG485"/>
  <c r="BF485"/>
  <c r="BE485"/>
  <c r="BD485"/>
  <c r="BC485"/>
  <c r="BB485"/>
  <c r="AX485"/>
  <c r="AW485"/>
  <c r="AV485"/>
  <c r="AC485"/>
  <c r="H485"/>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B483"/>
  <c r="AX483"/>
  <c r="AW483"/>
  <c r="AV483"/>
  <c r="AC483"/>
  <c r="H483"/>
  <c r="BT482"/>
  <c r="BS482"/>
  <c r="BR482"/>
  <c r="BQ482"/>
  <c r="BP482"/>
  <c r="BO482"/>
  <c r="BN482"/>
  <c r="BM482"/>
  <c r="BK482"/>
  <c r="BJ482"/>
  <c r="BI482"/>
  <c r="BH482"/>
  <c r="BG482"/>
  <c r="BF482"/>
  <c r="BE482"/>
  <c r="BD482"/>
  <c r="BC482"/>
  <c r="BB482"/>
  <c r="AX482"/>
  <c r="AW482"/>
  <c r="AV482"/>
  <c r="AC482"/>
  <c r="H482"/>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AX479"/>
  <c r="AW479"/>
  <c r="AV479"/>
  <c r="AC479"/>
  <c r="H479"/>
  <c r="BT478"/>
  <c r="BS478"/>
  <c r="BR478"/>
  <c r="BQ478"/>
  <c r="BP478"/>
  <c r="BO478"/>
  <c r="BN478"/>
  <c r="BM478"/>
  <c r="BK478"/>
  <c r="BJ478"/>
  <c r="BI478"/>
  <c r="BH478"/>
  <c r="BG478"/>
  <c r="BF478"/>
  <c r="BE478"/>
  <c r="BD478"/>
  <c r="BC478"/>
  <c r="BB478"/>
  <c r="AX478"/>
  <c r="AW478"/>
  <c r="AV478"/>
  <c r="AC478"/>
  <c r="G478" s="1"/>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L460" s="1"/>
  <c r="BM460"/>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K458"/>
  <c r="BJ458"/>
  <c r="BI458"/>
  <c r="BH458"/>
  <c r="BG458"/>
  <c r="BF458"/>
  <c r="BE458"/>
  <c r="BD458"/>
  <c r="BC458"/>
  <c r="BA458" s="1"/>
  <c r="BB458"/>
  <c r="AX458"/>
  <c r="AW458"/>
  <c r="AV458"/>
  <c r="AC458"/>
  <c r="G458" s="1"/>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A454" s="1"/>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AX438"/>
  <c r="AW438"/>
  <c r="AV438"/>
  <c r="AC438"/>
  <c r="H438"/>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G435" s="1"/>
  <c r="H435"/>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L432"/>
  <c r="BK432"/>
  <c r="BJ432"/>
  <c r="BI432"/>
  <c r="BH432"/>
  <c r="BG432"/>
  <c r="BF432"/>
  <c r="BE432"/>
  <c r="BD432"/>
  <c r="BC432"/>
  <c r="BB432"/>
  <c r="AX432"/>
  <c r="AW432"/>
  <c r="AV432"/>
  <c r="AC432"/>
  <c r="H432"/>
  <c r="G432"/>
  <c r="BT431"/>
  <c r="BS431"/>
  <c r="BR431"/>
  <c r="BQ431"/>
  <c r="BP431"/>
  <c r="BO431"/>
  <c r="BN431"/>
  <c r="BM431"/>
  <c r="BL431" s="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L427" s="1"/>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G422"/>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s="1"/>
  <c r="AX419"/>
  <c r="AW419"/>
  <c r="AV419"/>
  <c r="AC419"/>
  <c r="G419" s="1"/>
  <c r="H419"/>
  <c r="BT418"/>
  <c r="BS418"/>
  <c r="BR418"/>
  <c r="BQ418"/>
  <c r="BP418"/>
  <c r="BO418"/>
  <c r="BN418"/>
  <c r="BM418"/>
  <c r="BK418"/>
  <c r="BJ418"/>
  <c r="BI418"/>
  <c r="BH418"/>
  <c r="BG418"/>
  <c r="BF418"/>
  <c r="BE418"/>
  <c r="BD418"/>
  <c r="BC418"/>
  <c r="BB418"/>
  <c r="AX418"/>
  <c r="AW418"/>
  <c r="AV418"/>
  <c r="AC418"/>
  <c r="H418"/>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AX403"/>
  <c r="AW403"/>
  <c r="AV403"/>
  <c r="AC403"/>
  <c r="G403" s="1"/>
  <c r="H403"/>
  <c r="BT402"/>
  <c r="BS402"/>
  <c r="BR402"/>
  <c r="BQ402"/>
  <c r="BP402"/>
  <c r="BO402"/>
  <c r="BN402"/>
  <c r="BM402"/>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BT398"/>
  <c r="BS398"/>
  <c r="BR398"/>
  <c r="BQ398"/>
  <c r="BP398"/>
  <c r="BO398"/>
  <c r="BN398"/>
  <c r="BM398"/>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I15" i="4"/>
  <c r="H15"/>
  <c r="G15"/>
  <c r="F8" i="1" s="1"/>
  <c r="G8" s="1"/>
  <c r="E15" i="4"/>
  <c r="D15"/>
  <c r="L21"/>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C7" i="12" s="1"/>
  <c r="F23" i="15"/>
  <c r="D24"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A16" s="1"/>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J55"/>
  <c r="B31" i="1"/>
  <c r="B52"/>
  <c r="M20" i="15" s="1"/>
  <c r="T4" i="1"/>
  <c r="F15" i="15"/>
  <c r="F17"/>
  <c r="F18"/>
  <c r="F20"/>
  <c r="F21"/>
  <c r="D3" i="35"/>
  <c r="E59" i="9"/>
  <c r="N55" s="1"/>
  <c r="K55"/>
  <c r="F59"/>
  <c r="N54"/>
  <c r="N53"/>
  <c r="E48"/>
  <c r="N52" s="1"/>
  <c r="O55"/>
  <c r="F56"/>
  <c r="O54" s="1"/>
  <c r="D101"/>
  <c r="C101"/>
  <c r="H104"/>
  <c r="D10" i="53" s="1"/>
  <c r="B26" i="72" s="1"/>
  <c r="C30" i="40"/>
  <c r="C28"/>
  <c r="C23" i="39"/>
  <c r="C19" i="40"/>
  <c r="C25" i="9"/>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F54" s="1"/>
  <c r="H493" i="3"/>
  <c r="AC493"/>
  <c r="G493" s="1"/>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G495" s="1"/>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L497" s="1"/>
  <c r="BR497"/>
  <c r="BS497"/>
  <c r="BT497"/>
  <c r="H498"/>
  <c r="AC498"/>
  <c r="BB498"/>
  <c r="BC498"/>
  <c r="BD498"/>
  <c r="BE498"/>
  <c r="BF498"/>
  <c r="BG498"/>
  <c r="BH498"/>
  <c r="BI498"/>
  <c r="BJ498"/>
  <c r="BK498"/>
  <c r="BM498"/>
  <c r="BL498" s="1"/>
  <c r="BN498"/>
  <c r="BO498"/>
  <c r="BP498"/>
  <c r="BQ498"/>
  <c r="BR498"/>
  <c r="BS498"/>
  <c r="BT498"/>
  <c r="H499"/>
  <c r="G499" s="1"/>
  <c r="AC499"/>
  <c r="BB499"/>
  <c r="BC499"/>
  <c r="BD499"/>
  <c r="BA499" s="1"/>
  <c r="BE499"/>
  <c r="BF499"/>
  <c r="BG499"/>
  <c r="BH499"/>
  <c r="BI499"/>
  <c r="BJ499"/>
  <c r="BK499"/>
  <c r="BM499"/>
  <c r="BL499" s="1"/>
  <c r="BN499"/>
  <c r="BO499"/>
  <c r="BP499"/>
  <c r="BR499"/>
  <c r="BS499"/>
  <c r="BT499"/>
  <c r="H500"/>
  <c r="AC500"/>
  <c r="G500" s="1"/>
  <c r="BB500"/>
  <c r="BC500"/>
  <c r="BD500"/>
  <c r="BE500"/>
  <c r="BF500"/>
  <c r="BG500"/>
  <c r="BH500"/>
  <c r="BI500"/>
  <c r="BJ500"/>
  <c r="BK500"/>
  <c r="BM500"/>
  <c r="BN500"/>
  <c r="BO500"/>
  <c r="BP500"/>
  <c r="BQ500"/>
  <c r="BR500"/>
  <c r="BS500"/>
  <c r="BT500"/>
  <c r="H501"/>
  <c r="AC501"/>
  <c r="G501" s="1"/>
  <c r="BB501"/>
  <c r="BC501"/>
  <c r="BD501"/>
  <c r="BE501"/>
  <c r="BF501"/>
  <c r="BG501"/>
  <c r="BH501"/>
  <c r="BI501"/>
  <c r="BJ501"/>
  <c r="BK501"/>
  <c r="BM501"/>
  <c r="BN501"/>
  <c r="BO501"/>
  <c r="BP501"/>
  <c r="BR501"/>
  <c r="BS501"/>
  <c r="BT501"/>
  <c r="H502"/>
  <c r="AC502"/>
  <c r="BB502"/>
  <c r="BA502" s="1"/>
  <c r="BC502"/>
  <c r="BD502"/>
  <c r="BE502"/>
  <c r="BF502"/>
  <c r="BG502"/>
  <c r="BH502"/>
  <c r="BI502"/>
  <c r="BJ502"/>
  <c r="BK502"/>
  <c r="BM502"/>
  <c r="BN502"/>
  <c r="BO502"/>
  <c r="BP502"/>
  <c r="BQ502"/>
  <c r="BR502"/>
  <c r="BS502"/>
  <c r="BT502"/>
  <c r="H503"/>
  <c r="G503" s="1"/>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G506" s="1"/>
  <c r="AC506"/>
  <c r="BB506"/>
  <c r="BC506"/>
  <c r="BD506"/>
  <c r="BE506"/>
  <c r="BF506"/>
  <c r="BG506"/>
  <c r="BH506"/>
  <c r="BI506"/>
  <c r="BJ506"/>
  <c r="BK506"/>
  <c r="BM506"/>
  <c r="BN506"/>
  <c r="BO506"/>
  <c r="BP506"/>
  <c r="BQ506"/>
  <c r="BR506"/>
  <c r="BS506"/>
  <c r="BT506"/>
  <c r="H507"/>
  <c r="G507" s="1"/>
  <c r="AC507"/>
  <c r="BB507"/>
  <c r="BC507"/>
  <c r="BD507"/>
  <c r="BE507"/>
  <c r="BF507"/>
  <c r="BG507"/>
  <c r="BH507"/>
  <c r="BI507"/>
  <c r="BJ507"/>
  <c r="BK507"/>
  <c r="BM507"/>
  <c r="BN507"/>
  <c r="BO507"/>
  <c r="BP507"/>
  <c r="BR507"/>
  <c r="BS507"/>
  <c r="BT507"/>
  <c r="H508"/>
  <c r="AC508"/>
  <c r="G508" s="1"/>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G512" s="1"/>
  <c r="AC512"/>
  <c r="BB512"/>
  <c r="BC512"/>
  <c r="BD512"/>
  <c r="BE512"/>
  <c r="BF512"/>
  <c r="BG512"/>
  <c r="BH512"/>
  <c r="BI512"/>
  <c r="BJ512"/>
  <c r="BK512"/>
  <c r="BM512"/>
  <c r="BN512"/>
  <c r="BO512"/>
  <c r="BP512"/>
  <c r="BQ512"/>
  <c r="BR512"/>
  <c r="BS512"/>
  <c r="BT512"/>
  <c r="H513"/>
  <c r="G513" s="1"/>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L514" s="1"/>
  <c r="BO514"/>
  <c r="BP514"/>
  <c r="BQ514"/>
  <c r="BR514"/>
  <c r="BS514"/>
  <c r="BT514"/>
  <c r="H515"/>
  <c r="AC515"/>
  <c r="G515" s="1"/>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L516" s="1"/>
  <c r="BP516"/>
  <c r="BQ516"/>
  <c r="BR516"/>
  <c r="BS516"/>
  <c r="BT516"/>
  <c r="H517"/>
  <c r="G517" s="1"/>
  <c r="AC517"/>
  <c r="BB517"/>
  <c r="BA517" s="1"/>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L521" s="1"/>
  <c r="BO521"/>
  <c r="BP521"/>
  <c r="BR521"/>
  <c r="BS521"/>
  <c r="BT521"/>
  <c r="H522"/>
  <c r="G522" s="1"/>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A524" s="1"/>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G527" s="1"/>
  <c r="AC527"/>
  <c r="BB527"/>
  <c r="BC527"/>
  <c r="BD527"/>
  <c r="BE527"/>
  <c r="BF527"/>
  <c r="BG527"/>
  <c r="BH527"/>
  <c r="BI527"/>
  <c r="BJ527"/>
  <c r="BK527"/>
  <c r="BM527"/>
  <c r="BN527"/>
  <c r="BO527"/>
  <c r="BP527"/>
  <c r="BR527"/>
  <c r="BS527"/>
  <c r="BT527"/>
  <c r="H528"/>
  <c r="AC528"/>
  <c r="G528" s="1"/>
  <c r="BB528"/>
  <c r="BC528"/>
  <c r="BD528"/>
  <c r="BE528"/>
  <c r="BF528"/>
  <c r="BG528"/>
  <c r="BH528"/>
  <c r="BI528"/>
  <c r="BJ528"/>
  <c r="BK528"/>
  <c r="BM528"/>
  <c r="BN528"/>
  <c r="BO528"/>
  <c r="BP528"/>
  <c r="BQ528"/>
  <c r="BR528"/>
  <c r="BS528"/>
  <c r="BT528"/>
  <c r="H529"/>
  <c r="AC529"/>
  <c r="G529" s="1"/>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G531" s="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G534" s="1"/>
  <c r="AC534"/>
  <c r="BB534"/>
  <c r="BC534"/>
  <c r="BD534"/>
  <c r="BE534"/>
  <c r="BF534"/>
  <c r="BG534"/>
  <c r="BH534"/>
  <c r="BI534"/>
  <c r="BJ534"/>
  <c r="BK534"/>
  <c r="BM534"/>
  <c r="BN534"/>
  <c r="BO534"/>
  <c r="BP534"/>
  <c r="BQ534"/>
  <c r="BR534"/>
  <c r="BS534"/>
  <c r="BT534"/>
  <c r="H535"/>
  <c r="G535" s="1"/>
  <c r="AC535"/>
  <c r="BB535"/>
  <c r="BC535"/>
  <c r="BD535"/>
  <c r="BA535" s="1"/>
  <c r="BE535"/>
  <c r="BF535"/>
  <c r="BG535"/>
  <c r="BH535"/>
  <c r="BI535"/>
  <c r="BJ535"/>
  <c r="BK535"/>
  <c r="BM535"/>
  <c r="BN535"/>
  <c r="BO535"/>
  <c r="BP535"/>
  <c r="BR535"/>
  <c r="BS535"/>
  <c r="BT535"/>
  <c r="H536"/>
  <c r="AC536"/>
  <c r="G536" s="1"/>
  <c r="BB536"/>
  <c r="BC536"/>
  <c r="BD536"/>
  <c r="BE536"/>
  <c r="BF536"/>
  <c r="BG536"/>
  <c r="BH536"/>
  <c r="BI536"/>
  <c r="BJ536"/>
  <c r="BK536"/>
  <c r="BM536"/>
  <c r="BN536"/>
  <c r="BL536" s="1"/>
  <c r="BO536"/>
  <c r="BP536"/>
  <c r="BQ536"/>
  <c r="BR536"/>
  <c r="BS536"/>
  <c r="BT536"/>
  <c r="H537"/>
  <c r="AC537"/>
  <c r="G537" s="1"/>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G539" s="1"/>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A541" s="1"/>
  <c r="BD541"/>
  <c r="BE541"/>
  <c r="BF541"/>
  <c r="BG541"/>
  <c r="BH541"/>
  <c r="BI541"/>
  <c r="BJ541"/>
  <c r="BK541"/>
  <c r="BM541"/>
  <c r="BN541"/>
  <c r="BO541"/>
  <c r="BP541"/>
  <c r="BR541"/>
  <c r="BS541"/>
  <c r="BT541"/>
  <c r="H542"/>
  <c r="G542" s="1"/>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G544" s="1"/>
  <c r="AC544"/>
  <c r="BB544"/>
  <c r="BC544"/>
  <c r="BD544"/>
  <c r="BE544"/>
  <c r="BF544"/>
  <c r="BG544"/>
  <c r="BH544"/>
  <c r="BI544"/>
  <c r="BJ544"/>
  <c r="BK544"/>
  <c r="BM544"/>
  <c r="BN544"/>
  <c r="BO544"/>
  <c r="BP544"/>
  <c r="BQ544"/>
  <c r="BR544"/>
  <c r="BS544"/>
  <c r="BT544"/>
  <c r="H545"/>
  <c r="G545" s="1"/>
  <c r="AC545"/>
  <c r="BB545"/>
  <c r="BC545"/>
  <c r="BD545"/>
  <c r="BE545"/>
  <c r="BF545"/>
  <c r="BG545"/>
  <c r="BH545"/>
  <c r="BI545"/>
  <c r="BJ545"/>
  <c r="BK545"/>
  <c r="BM545"/>
  <c r="BN545"/>
  <c r="BO545"/>
  <c r="BP545"/>
  <c r="BR545"/>
  <c r="BS545"/>
  <c r="BT545"/>
  <c r="H546"/>
  <c r="AC546"/>
  <c r="G546" s="1"/>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G548" s="1"/>
  <c r="AC548"/>
  <c r="BB548"/>
  <c r="BC548"/>
  <c r="BD548"/>
  <c r="BE548"/>
  <c r="BF548"/>
  <c r="BG548"/>
  <c r="BH548"/>
  <c r="BI548"/>
  <c r="BJ548"/>
  <c r="BK548"/>
  <c r="BM548"/>
  <c r="BN548"/>
  <c r="BO548"/>
  <c r="BP548"/>
  <c r="BQ548"/>
  <c r="BR548"/>
  <c r="BS548"/>
  <c r="BT548"/>
  <c r="H549"/>
  <c r="G549" s="1"/>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G553" s="1"/>
  <c r="AC553"/>
  <c r="BB553"/>
  <c r="BC553"/>
  <c r="BD553"/>
  <c r="BE553"/>
  <c r="BF553"/>
  <c r="BG553"/>
  <c r="BH553"/>
  <c r="BI553"/>
  <c r="BJ553"/>
  <c r="BK553"/>
  <c r="BM553"/>
  <c r="BN553"/>
  <c r="BO553"/>
  <c r="BP553"/>
  <c r="BR553"/>
  <c r="BS553"/>
  <c r="BT553"/>
  <c r="H554"/>
  <c r="AC554"/>
  <c r="G554" s="1"/>
  <c r="BB554"/>
  <c r="BC554"/>
  <c r="BD554"/>
  <c r="BE554"/>
  <c r="BF554"/>
  <c r="BG554"/>
  <c r="BH554"/>
  <c r="BI554"/>
  <c r="BJ554"/>
  <c r="BK554"/>
  <c r="BM554"/>
  <c r="BN554"/>
  <c r="BO554"/>
  <c r="BP554"/>
  <c r="BQ554"/>
  <c r="BR554"/>
  <c r="BS554"/>
  <c r="BT554"/>
  <c r="H555"/>
  <c r="AC555"/>
  <c r="G555" s="1"/>
  <c r="BB555"/>
  <c r="BC555"/>
  <c r="BD555"/>
  <c r="BE555"/>
  <c r="BF555"/>
  <c r="BG555"/>
  <c r="BH555"/>
  <c r="BI555"/>
  <c r="BJ555"/>
  <c r="BK555"/>
  <c r="BM555"/>
  <c r="BN555"/>
  <c r="BO555"/>
  <c r="BP555"/>
  <c r="BR555"/>
  <c r="BS555"/>
  <c r="BT555"/>
  <c r="H556"/>
  <c r="G556" s="1"/>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G559" s="1"/>
  <c r="AC559"/>
  <c r="BB559"/>
  <c r="BC559"/>
  <c r="BD559"/>
  <c r="BE559"/>
  <c r="BF559"/>
  <c r="BG559"/>
  <c r="BH559"/>
  <c r="BI559"/>
  <c r="BJ559"/>
  <c r="BK559"/>
  <c r="BM559"/>
  <c r="BN559"/>
  <c r="BO559"/>
  <c r="BP559"/>
  <c r="BR559"/>
  <c r="BS559"/>
  <c r="BT559"/>
  <c r="H560"/>
  <c r="AC560"/>
  <c r="G560" s="1"/>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G562" s="1"/>
  <c r="AC562"/>
  <c r="BB562"/>
  <c r="BA562" s="1"/>
  <c r="BC562"/>
  <c r="BD562"/>
  <c r="BE562"/>
  <c r="BF562"/>
  <c r="BG562"/>
  <c r="BH562"/>
  <c r="BI562"/>
  <c r="BJ562"/>
  <c r="BK562"/>
  <c r="BM562"/>
  <c r="BN562"/>
  <c r="BO562"/>
  <c r="BP562"/>
  <c r="BQ562"/>
  <c r="BR562"/>
  <c r="BS562"/>
  <c r="BT562"/>
  <c r="H563"/>
  <c r="G563" s="1"/>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G569" s="1"/>
  <c r="BB569"/>
  <c r="BC569"/>
  <c r="BD569"/>
  <c r="BE569"/>
  <c r="BF569"/>
  <c r="BG569"/>
  <c r="BH569"/>
  <c r="BI569"/>
  <c r="BJ569"/>
  <c r="BK569"/>
  <c r="BM569"/>
  <c r="BN569"/>
  <c r="BO569"/>
  <c r="BP569"/>
  <c r="BR569"/>
  <c r="BS569"/>
  <c r="BT569"/>
  <c r="H570"/>
  <c r="G570" s="1"/>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G573" s="1"/>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G575" s="1"/>
  <c r="AC575"/>
  <c r="BB575"/>
  <c r="BC575"/>
  <c r="BD575"/>
  <c r="BE575"/>
  <c r="BF575"/>
  <c r="BG575"/>
  <c r="BH575"/>
  <c r="BI575"/>
  <c r="BJ575"/>
  <c r="BK575"/>
  <c r="BM575"/>
  <c r="BN575"/>
  <c r="BO575"/>
  <c r="BP575"/>
  <c r="BR575"/>
  <c r="BS575"/>
  <c r="BT575"/>
  <c r="H576"/>
  <c r="AC576"/>
  <c r="G576" s="1"/>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G580" s="1"/>
  <c r="AC580"/>
  <c r="BB580"/>
  <c r="BC580"/>
  <c r="BD580"/>
  <c r="BE580"/>
  <c r="BF580"/>
  <c r="BG580"/>
  <c r="BH580"/>
  <c r="BI580"/>
  <c r="BJ580"/>
  <c r="BK580"/>
  <c r="BM580"/>
  <c r="BN580"/>
  <c r="BO580"/>
  <c r="BP580"/>
  <c r="BQ580"/>
  <c r="BR580"/>
  <c r="BS580"/>
  <c r="BT580"/>
  <c r="H581"/>
  <c r="G581" s="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G583" s="1"/>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AC30" s="1"/>
  <c r="H30"/>
  <c r="F30"/>
  <c r="C26" i="35"/>
  <c r="C79" s="1"/>
  <c r="J3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D81" i="39"/>
  <c r="E81" s="1"/>
  <c r="F81" s="1"/>
  <c r="G81" s="1"/>
  <c r="H81" s="1"/>
  <c r="I81" s="1"/>
  <c r="J81" s="1"/>
  <c r="K81" s="1"/>
  <c r="L81" s="1"/>
  <c r="M81" s="1"/>
  <c r="D76" i="40"/>
  <c r="E76" s="1"/>
  <c r="F76" s="1"/>
  <c r="G76" s="1"/>
  <c r="H76" s="1"/>
  <c r="I76" s="1"/>
  <c r="J76" s="1"/>
  <c r="K76" s="1"/>
  <c r="L76" s="1"/>
  <c r="M76" s="1"/>
  <c r="B120"/>
  <c r="H40" s="1"/>
  <c r="AB40" s="1"/>
  <c r="B118"/>
  <c r="B116"/>
  <c r="H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W12" s="1"/>
  <c r="M74"/>
  <c r="L74"/>
  <c r="K74"/>
  <c r="J74"/>
  <c r="I74"/>
  <c r="H74"/>
  <c r="G74"/>
  <c r="F74"/>
  <c r="E74"/>
  <c r="D74"/>
  <c r="C74"/>
  <c r="P43"/>
  <c r="P42"/>
  <c r="V41"/>
  <c r="T41"/>
  <c r="R41"/>
  <c r="P41"/>
  <c r="Q40"/>
  <c r="Z40" s="1"/>
  <c r="Q39"/>
  <c r="Z39"/>
  <c r="Q38"/>
  <c r="Z38" s="1"/>
  <c r="Q37"/>
  <c r="Z37" s="1"/>
  <c r="Q36"/>
  <c r="Z36" s="1"/>
  <c r="Q35"/>
  <c r="Z35" s="1"/>
  <c r="Q34"/>
  <c r="Z34" s="1"/>
  <c r="J34"/>
  <c r="AC34" s="1"/>
  <c r="H34"/>
  <c r="AB34" s="1"/>
  <c r="F34"/>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E101" s="1"/>
  <c r="F101" s="1"/>
  <c r="D99"/>
  <c r="E99" s="1"/>
  <c r="F99" s="1"/>
  <c r="G99" s="1"/>
  <c r="Q39"/>
  <c r="Z39" s="1"/>
  <c r="Q40"/>
  <c r="Z40" s="1"/>
  <c r="Q41"/>
  <c r="Z41" s="1"/>
  <c r="Q42"/>
  <c r="Z42" s="1"/>
  <c r="Q43"/>
  <c r="Z43" s="1"/>
  <c r="Q44"/>
  <c r="Z44" s="1"/>
  <c r="Q45"/>
  <c r="Z45" s="1"/>
  <c r="Q38"/>
  <c r="Z38" s="1"/>
  <c r="Q36"/>
  <c r="Z36" s="1"/>
  <c r="Q37"/>
  <c r="Z37" s="1"/>
  <c r="B131"/>
  <c r="B129"/>
  <c r="B127"/>
  <c r="D126"/>
  <c r="E126" s="1"/>
  <c r="F126" s="1"/>
  <c r="G126" s="1"/>
  <c r="H126" s="1"/>
  <c r="I126" s="1"/>
  <c r="J126" s="1"/>
  <c r="K126" s="1"/>
  <c r="L126" s="1"/>
  <c r="M126" s="1"/>
  <c r="D122"/>
  <c r="E122" s="1"/>
  <c r="F122" s="1"/>
  <c r="G122" s="1"/>
  <c r="H122" s="1"/>
  <c r="I122" s="1"/>
  <c r="J122" s="1"/>
  <c r="K122" s="1"/>
  <c r="L122" s="1"/>
  <c r="M122" s="1"/>
  <c r="B104"/>
  <c r="D97"/>
  <c r="J23" s="1"/>
  <c r="AC23" s="1"/>
  <c r="D95"/>
  <c r="E95" s="1"/>
  <c r="F95" s="1"/>
  <c r="D93"/>
  <c r="E93" s="1"/>
  <c r="F93" s="1"/>
  <c r="G93" s="1"/>
  <c r="D91"/>
  <c r="E91" s="1"/>
  <c r="F91" s="1"/>
  <c r="G91" s="1"/>
  <c r="D89"/>
  <c r="E89" s="1"/>
  <c r="F89" s="1"/>
  <c r="G89" s="1"/>
  <c r="B86"/>
  <c r="B84"/>
  <c r="H13" s="1"/>
  <c r="B82"/>
  <c r="J12" s="1"/>
  <c r="M79"/>
  <c r="L79"/>
  <c r="K79"/>
  <c r="J79"/>
  <c r="I79"/>
  <c r="H79"/>
  <c r="G79"/>
  <c r="F79"/>
  <c r="E79"/>
  <c r="D79"/>
  <c r="C79"/>
  <c r="P48"/>
  <c r="P47"/>
  <c r="V46"/>
  <c r="T46"/>
  <c r="R46"/>
  <c r="P46"/>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F9"/>
  <c r="AA9" s="1"/>
  <c r="J8"/>
  <c r="AC8" s="1"/>
  <c r="H8"/>
  <c r="U8" s="1"/>
  <c r="F8"/>
  <c r="AA8" s="1"/>
  <c r="C20" i="36"/>
  <c r="C20" i="35"/>
  <c r="C16" i="36"/>
  <c r="C16" i="35"/>
  <c r="C14" i="36"/>
  <c r="C14" i="35"/>
  <c r="B80" i="37"/>
  <c r="H25"/>
  <c r="U25" s="1"/>
  <c r="B110"/>
  <c r="J39" s="1"/>
  <c r="AC39" s="1"/>
  <c r="B108"/>
  <c r="C23"/>
  <c r="C19"/>
  <c r="C17"/>
  <c r="C15"/>
  <c r="B112"/>
  <c r="D107"/>
  <c r="E107" s="1"/>
  <c r="F107" s="1"/>
  <c r="D105"/>
  <c r="E105" s="1"/>
  <c r="F105" s="1"/>
  <c r="G105" s="1"/>
  <c r="D103"/>
  <c r="E103" s="1"/>
  <c r="F103" s="1"/>
  <c r="G103" s="1"/>
  <c r="H103" s="1"/>
  <c r="I103" s="1"/>
  <c r="J103" s="1"/>
  <c r="K103" s="1"/>
  <c r="L103" s="1"/>
  <c r="M103" s="1"/>
  <c r="J35"/>
  <c r="W35" s="1"/>
  <c r="F97"/>
  <c r="E97"/>
  <c r="D97"/>
  <c r="C97"/>
  <c r="D96"/>
  <c r="E96" s="1"/>
  <c r="D94"/>
  <c r="M90"/>
  <c r="L90"/>
  <c r="K90"/>
  <c r="J90"/>
  <c r="I90"/>
  <c r="H90"/>
  <c r="G90"/>
  <c r="F90"/>
  <c r="E90"/>
  <c r="D90"/>
  <c r="C90"/>
  <c r="D89"/>
  <c r="B86"/>
  <c r="B84"/>
  <c r="H27" s="1"/>
  <c r="U27" s="1"/>
  <c r="B82"/>
  <c r="F26" s="1"/>
  <c r="AA26" s="1"/>
  <c r="D79"/>
  <c r="E79" s="1"/>
  <c r="D75"/>
  <c r="E75" s="1"/>
  <c r="D73"/>
  <c r="E73" s="1"/>
  <c r="F73" s="1"/>
  <c r="D71"/>
  <c r="H15"/>
  <c r="AB15" s="1"/>
  <c r="B68"/>
  <c r="H14" s="1"/>
  <c r="B66"/>
  <c r="B64"/>
  <c r="D63"/>
  <c r="E63" s="1"/>
  <c r="M61"/>
  <c r="L61"/>
  <c r="K61"/>
  <c r="J61"/>
  <c r="I61"/>
  <c r="H61"/>
  <c r="G61"/>
  <c r="F61"/>
  <c r="E61"/>
  <c r="D61"/>
  <c r="C61"/>
  <c r="F60"/>
  <c r="G60" s="1"/>
  <c r="C57"/>
  <c r="F9" s="1"/>
  <c r="S9" s="1"/>
  <c r="P43"/>
  <c r="P42"/>
  <c r="V41"/>
  <c r="T41"/>
  <c r="R41"/>
  <c r="P41"/>
  <c r="Q40"/>
  <c r="Z40" s="1"/>
  <c r="Q39"/>
  <c r="Z39" s="1"/>
  <c r="Q38"/>
  <c r="Z38" s="1"/>
  <c r="Q37"/>
  <c r="Z37" s="1"/>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F31"/>
  <c r="S31" s="1"/>
  <c r="M86"/>
  <c r="L86"/>
  <c r="K86"/>
  <c r="J86"/>
  <c r="I86"/>
  <c r="H86"/>
  <c r="G86"/>
  <c r="F86"/>
  <c r="E86"/>
  <c r="D86"/>
  <c r="C86"/>
  <c r="D85"/>
  <c r="H29"/>
  <c r="D81"/>
  <c r="E81" s="1"/>
  <c r="F81" s="1"/>
  <c r="G81" s="1"/>
  <c r="H81" s="1"/>
  <c r="I81" s="1"/>
  <c r="J81" s="1"/>
  <c r="K81" s="1"/>
  <c r="L81" s="1"/>
  <c r="M81" s="1"/>
  <c r="F79"/>
  <c r="E79"/>
  <c r="D79"/>
  <c r="C79"/>
  <c r="B93"/>
  <c r="J33" s="1"/>
  <c r="W33" s="1"/>
  <c r="B91"/>
  <c r="F32" s="1"/>
  <c r="B95"/>
  <c r="H34" s="1"/>
  <c r="D83"/>
  <c r="E83" s="1"/>
  <c r="F83" s="1"/>
  <c r="G83" s="1"/>
  <c r="H83" s="1"/>
  <c r="I83" s="1"/>
  <c r="J83" s="1"/>
  <c r="K83" s="1"/>
  <c r="L83" s="1"/>
  <c r="M83" s="1"/>
  <c r="D78"/>
  <c r="E78" s="1"/>
  <c r="F78" s="1"/>
  <c r="G78" s="1"/>
  <c r="H78" s="1"/>
  <c r="I78" s="1"/>
  <c r="J78" s="1"/>
  <c r="K78" s="1"/>
  <c r="L78" s="1"/>
  <c r="M78" s="1"/>
  <c r="B75"/>
  <c r="B73"/>
  <c r="J24" s="1"/>
  <c r="AC24" s="1"/>
  <c r="B71"/>
  <c r="D70"/>
  <c r="H22"/>
  <c r="AB22" s="1"/>
  <c r="D68"/>
  <c r="E68" s="1"/>
  <c r="F68" s="1"/>
  <c r="G68" s="1"/>
  <c r="D64"/>
  <c r="E64" s="1"/>
  <c r="F64" s="1"/>
  <c r="G64" s="1"/>
  <c r="J16"/>
  <c r="W16" s="1"/>
  <c r="D62"/>
  <c r="E62" s="1"/>
  <c r="F62" s="1"/>
  <c r="G62" s="1"/>
  <c r="B59"/>
  <c r="B57"/>
  <c r="B55"/>
  <c r="F54"/>
  <c r="G54" s="1"/>
  <c r="H54" s="1"/>
  <c r="I54" s="1"/>
  <c r="C51"/>
  <c r="F9" s="1"/>
  <c r="AA9" s="1"/>
  <c r="P37"/>
  <c r="P36"/>
  <c r="V35"/>
  <c r="T35"/>
  <c r="R35"/>
  <c r="P35"/>
  <c r="Q34"/>
  <c r="Z34" s="1"/>
  <c r="Q33"/>
  <c r="Z33" s="1"/>
  <c r="Q32"/>
  <c r="Z32" s="1"/>
  <c r="Q31"/>
  <c r="Z31" s="1"/>
  <c r="Q30"/>
  <c r="Z30" s="1"/>
  <c r="Q29"/>
  <c r="Z29" s="1"/>
  <c r="Q28"/>
  <c r="Z28" s="1"/>
  <c r="J28"/>
  <c r="Q27"/>
  <c r="Z27" s="1"/>
  <c r="Q26"/>
  <c r="Z26" s="1"/>
  <c r="H26"/>
  <c r="AB26" s="1"/>
  <c r="Q25"/>
  <c r="Z25" s="1"/>
  <c r="Q24"/>
  <c r="Z24" s="1"/>
  <c r="Q23"/>
  <c r="Z23" s="1"/>
  <c r="Q22"/>
  <c r="Z22" s="1"/>
  <c r="J22"/>
  <c r="AC22" s="1"/>
  <c r="Q20"/>
  <c r="Z20" s="1"/>
  <c r="Q16"/>
  <c r="Z16" s="1"/>
  <c r="Q14"/>
  <c r="Z14" s="1"/>
  <c r="Q13"/>
  <c r="Z13" s="1"/>
  <c r="Q12"/>
  <c r="Z12" s="1"/>
  <c r="Q11"/>
  <c r="Z11" s="1"/>
  <c r="Q10"/>
  <c r="Z10" s="1"/>
  <c r="F10"/>
  <c r="Q9"/>
  <c r="Z9" s="1"/>
  <c r="J8"/>
  <c r="AC8" s="1"/>
  <c r="H8"/>
  <c r="F8"/>
  <c r="AA8" s="1"/>
  <c r="D89" i="35"/>
  <c r="M90"/>
  <c r="L90"/>
  <c r="K90"/>
  <c r="J90"/>
  <c r="I90"/>
  <c r="H90"/>
  <c r="G90"/>
  <c r="F90"/>
  <c r="E90"/>
  <c r="D90"/>
  <c r="C90"/>
  <c r="F85"/>
  <c r="E85"/>
  <c r="D85"/>
  <c r="C85"/>
  <c r="J27"/>
  <c r="W27" s="1"/>
  <c r="H27"/>
  <c r="U27" s="1"/>
  <c r="F27"/>
  <c r="J22"/>
  <c r="B101"/>
  <c r="B99"/>
  <c r="B97"/>
  <c r="B77"/>
  <c r="J25" s="1"/>
  <c r="W25" s="1"/>
  <c r="B75"/>
  <c r="J24" s="1"/>
  <c r="AC24" s="1"/>
  <c r="B73"/>
  <c r="J23" s="1"/>
  <c r="AC23" s="1"/>
  <c r="B57"/>
  <c r="B61"/>
  <c r="B59"/>
  <c r="H12" s="1"/>
  <c r="B131" i="34"/>
  <c r="B129"/>
  <c r="B127"/>
  <c r="F45" s="1"/>
  <c r="S45" s="1"/>
  <c r="B99"/>
  <c r="B97"/>
  <c r="B95"/>
  <c r="B93"/>
  <c r="B75"/>
  <c r="B73"/>
  <c r="B71"/>
  <c r="B130" i="33"/>
  <c r="H46" s="1"/>
  <c r="AB46" s="1"/>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Q33"/>
  <c r="Z33" s="1"/>
  <c r="Q32"/>
  <c r="Z32" s="1"/>
  <c r="H32"/>
  <c r="AB32" s="1"/>
  <c r="F32"/>
  <c r="AA32" s="1"/>
  <c r="Q31"/>
  <c r="Z31" s="1"/>
  <c r="AB31"/>
  <c r="AA31"/>
  <c r="Q30"/>
  <c r="Z30" s="1"/>
  <c r="Q29"/>
  <c r="Z29" s="1"/>
  <c r="Q28"/>
  <c r="Z28" s="1"/>
  <c r="J28"/>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F9"/>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B90"/>
  <c r="F27" s="1"/>
  <c r="AA27" s="1"/>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P49"/>
  <c r="P48"/>
  <c r="V47"/>
  <c r="T47"/>
  <c r="R47"/>
  <c r="P47"/>
  <c r="Q46"/>
  <c r="Z46" s="1"/>
  <c r="Q45"/>
  <c r="Z45" s="1"/>
  <c r="Q44"/>
  <c r="Z44" s="1"/>
  <c r="Q43"/>
  <c r="Z43" s="1"/>
  <c r="Q42"/>
  <c r="Z42" s="1"/>
  <c r="J42"/>
  <c r="AC42" s="1"/>
  <c r="AC41"/>
  <c r="W41"/>
  <c r="Q41"/>
  <c r="Z41" s="1"/>
  <c r="Q40"/>
  <c r="Z40" s="1"/>
  <c r="J40"/>
  <c r="AC40" s="1"/>
  <c r="H40"/>
  <c r="AB40" s="1"/>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c r="Q29"/>
  <c r="Z29" s="1"/>
  <c r="Q28"/>
  <c r="Z28" s="1"/>
  <c r="Q27"/>
  <c r="Z27" s="1"/>
  <c r="Q26"/>
  <c r="Z26" s="1"/>
  <c r="Q25"/>
  <c r="Z25" s="1"/>
  <c r="Q23"/>
  <c r="Z23" s="1"/>
  <c r="Q19"/>
  <c r="Z19" s="1"/>
  <c r="Q17"/>
  <c r="Z17" s="1"/>
  <c r="Q15"/>
  <c r="Z15" s="1"/>
  <c r="F15"/>
  <c r="AA15" s="1"/>
  <c r="Q14"/>
  <c r="Z14" s="1"/>
  <c r="Q13"/>
  <c r="Z13" s="1"/>
  <c r="Q12"/>
  <c r="Z12" s="1"/>
  <c r="Q11"/>
  <c r="Z11" s="1"/>
  <c r="Q10"/>
  <c r="Z10" s="1"/>
  <c r="Q9"/>
  <c r="Z9" s="1"/>
  <c r="J9"/>
  <c r="AC9" s="1"/>
  <c r="F9"/>
  <c r="AA9" s="1"/>
  <c r="J8"/>
  <c r="AC8" s="1"/>
  <c r="H8"/>
  <c r="AB8" s="1"/>
  <c r="F8"/>
  <c r="M102" i="21"/>
  <c r="D102"/>
  <c r="E102"/>
  <c r="F102"/>
  <c r="G102"/>
  <c r="H102"/>
  <c r="I102"/>
  <c r="J102"/>
  <c r="K102"/>
  <c r="L102"/>
  <c r="C102"/>
  <c r="C63"/>
  <c r="F9" s="1"/>
  <c r="G18" i="20"/>
  <c r="B88" i="43" s="1"/>
  <c r="G19" i="20"/>
  <c r="B85" i="43" s="1"/>
  <c r="G16" i="20"/>
  <c r="B82" i="43" s="1"/>
  <c r="G15" i="20"/>
  <c r="B81" i="43" s="1"/>
  <c r="C24" i="20"/>
  <c r="B73" i="43" s="1"/>
  <c r="C21" i="20"/>
  <c r="B74" i="43" s="1"/>
  <c r="C20" i="20"/>
  <c r="C18"/>
  <c r="C17"/>
  <c r="B59" i="43" s="1"/>
  <c r="C16" i="20"/>
  <c r="C17" i="39" s="1"/>
  <c r="C15" i="20"/>
  <c r="B70" i="43" s="1"/>
  <c r="E54" i="21"/>
  <c r="F54" s="1"/>
  <c r="I54"/>
  <c r="J54" s="1"/>
  <c r="G54"/>
  <c r="H54" s="1"/>
  <c r="D125"/>
  <c r="E125" s="1"/>
  <c r="F125" s="1"/>
  <c r="G125" s="1"/>
  <c r="D123"/>
  <c r="E123" s="1"/>
  <c r="F123" s="1"/>
  <c r="G123" s="1"/>
  <c r="H123" s="1"/>
  <c r="I123" s="1"/>
  <c r="J123" s="1"/>
  <c r="K123" s="1"/>
  <c r="L123" s="1"/>
  <c r="M123"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J46" s="1"/>
  <c r="W46" s="1"/>
  <c r="B128"/>
  <c r="B126"/>
  <c r="H44" s="1"/>
  <c r="U44" s="1"/>
  <c r="B98"/>
  <c r="H31" s="1"/>
  <c r="B96"/>
  <c r="B94"/>
  <c r="B92"/>
  <c r="H28" s="1"/>
  <c r="AB28" s="1"/>
  <c r="B90"/>
  <c r="J27" s="1"/>
  <c r="W27" s="1"/>
  <c r="B74"/>
  <c r="F14" s="1"/>
  <c r="S14" s="1"/>
  <c r="B72"/>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BB12" i="3"/>
  <c r="F7" i="12"/>
  <c r="G7"/>
  <c r="K5" i="3"/>
  <c r="F20" i="6" s="1"/>
  <c r="E20"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G21" i="6" s="1"/>
  <c r="E21" s="1"/>
  <c r="K8" i="1" s="1"/>
  <c r="AH8" s="1"/>
  <c r="N5" i="3"/>
  <c r="O5"/>
  <c r="P5"/>
  <c r="Q5"/>
  <c r="R5"/>
  <c r="S5"/>
  <c r="T5"/>
  <c r="U5"/>
  <c r="V5"/>
  <c r="W5"/>
  <c r="X5"/>
  <c r="Y5"/>
  <c r="Z5"/>
  <c r="AA5"/>
  <c r="AB5"/>
  <c r="H585"/>
  <c r="H586"/>
  <c r="G586" s="1"/>
  <c r="H587"/>
  <c r="F5"/>
  <c r="G27" i="6"/>
  <c r="F34" i="21"/>
  <c r="AA34" s="1"/>
  <c r="H34"/>
  <c r="AB34" s="1"/>
  <c r="F43"/>
  <c r="S43" s="1"/>
  <c r="H38"/>
  <c r="U38" s="1"/>
  <c r="H43"/>
  <c r="AB43" s="1"/>
  <c r="F38"/>
  <c r="S38" s="1"/>
  <c r="F36"/>
  <c r="S36" s="1"/>
  <c r="F39"/>
  <c r="AA39" s="1"/>
  <c r="J40"/>
  <c r="W40" s="1"/>
  <c r="J8"/>
  <c r="AC8" s="1"/>
  <c r="H8"/>
  <c r="U8" s="1"/>
  <c r="H10"/>
  <c r="AB10" s="1"/>
  <c r="H39"/>
  <c r="U39" s="1"/>
  <c r="J34"/>
  <c r="W34" s="1"/>
  <c r="H36"/>
  <c r="U36" s="1"/>
  <c r="F35"/>
  <c r="AA35" s="1"/>
  <c r="J10"/>
  <c r="AC10" s="1"/>
  <c r="H26"/>
  <c r="AB26" s="1"/>
  <c r="AB19"/>
  <c r="J19"/>
  <c r="W19" s="1"/>
  <c r="H12"/>
  <c r="AB12" s="1"/>
  <c r="J26"/>
  <c r="W26" s="1"/>
  <c r="F26"/>
  <c r="S26" s="1"/>
  <c r="S41"/>
  <c r="AA41"/>
  <c r="J44" i="39"/>
  <c r="AC44" s="1"/>
  <c r="H36"/>
  <c r="J35"/>
  <c r="W25" i="37"/>
  <c r="W31"/>
  <c r="F39"/>
  <c r="F29" i="36"/>
  <c r="AA29" s="1"/>
  <c r="W8"/>
  <c r="F16"/>
  <c r="AA16" s="1"/>
  <c r="W31"/>
  <c r="H22" i="35"/>
  <c r="AB22" s="1"/>
  <c r="U31"/>
  <c r="F36" i="34"/>
  <c r="J35"/>
  <c r="U34"/>
  <c r="H39" i="33"/>
  <c r="AB39" s="1"/>
  <c r="U35"/>
  <c r="W33"/>
  <c r="F11" i="40"/>
  <c r="AA11" s="1"/>
  <c r="H11"/>
  <c r="AB11" s="1"/>
  <c r="AA9"/>
  <c r="AC9"/>
  <c r="U34"/>
  <c r="F42" i="39"/>
  <c r="AA42" s="1"/>
  <c r="F41"/>
  <c r="S41" s="1"/>
  <c r="H40"/>
  <c r="AB40" s="1"/>
  <c r="H39"/>
  <c r="U39" s="1"/>
  <c r="H34"/>
  <c r="U34" s="1"/>
  <c r="E109"/>
  <c r="H31"/>
  <c r="AB31" s="1"/>
  <c r="F31"/>
  <c r="AA31" s="1"/>
  <c r="H19"/>
  <c r="AB19" s="1"/>
  <c r="H17"/>
  <c r="AB17" s="1"/>
  <c r="F17"/>
  <c r="AA17" s="1"/>
  <c r="J23" i="40"/>
  <c r="AC23" s="1"/>
  <c r="F21"/>
  <c r="AA21" s="1"/>
  <c r="J21"/>
  <c r="H42" i="39"/>
  <c r="AB42" s="1"/>
  <c r="J34"/>
  <c r="AC34" s="1"/>
  <c r="F109"/>
  <c r="G109" s="1"/>
  <c r="H109" s="1"/>
  <c r="I109" s="1"/>
  <c r="J109" s="1"/>
  <c r="K109" s="1"/>
  <c r="L109" s="1"/>
  <c r="M109" s="1"/>
  <c r="J31"/>
  <c r="H27"/>
  <c r="U27" s="1"/>
  <c r="J19"/>
  <c r="AC19" s="1"/>
  <c r="J27"/>
  <c r="AC27" s="1"/>
  <c r="F27"/>
  <c r="C27"/>
  <c r="C15"/>
  <c r="H32" i="33"/>
  <c r="AB32" s="1"/>
  <c r="H37" i="40"/>
  <c r="U37" s="1"/>
  <c r="H36"/>
  <c r="AB36" s="1"/>
  <c r="F35"/>
  <c r="AA35" s="1"/>
  <c r="H23"/>
  <c r="AB23" s="1"/>
  <c r="H17"/>
  <c r="U17" s="1"/>
  <c r="J15"/>
  <c r="W15" s="1"/>
  <c r="J11"/>
  <c r="W11" s="1"/>
  <c r="AB8" i="39"/>
  <c r="F37"/>
  <c r="AA37" s="1"/>
  <c r="J34" i="36"/>
  <c r="U30"/>
  <c r="J30" i="35"/>
  <c r="W30" s="1"/>
  <c r="H30"/>
  <c r="AB30" s="1"/>
  <c r="F22"/>
  <c r="AA22" s="1"/>
  <c r="H10"/>
  <c r="U10" s="1"/>
  <c r="W30" i="36"/>
  <c r="H16"/>
  <c r="AB16" s="1"/>
  <c r="E85"/>
  <c r="F85" s="1"/>
  <c r="G85" s="1"/>
  <c r="H85" s="1"/>
  <c r="I85" s="1"/>
  <c r="J85" s="1"/>
  <c r="K85" s="1"/>
  <c r="L85" s="1"/>
  <c r="M85" s="1"/>
  <c r="J29"/>
  <c r="AC29" s="1"/>
  <c r="F12"/>
  <c r="S12" s="1"/>
  <c r="F24"/>
  <c r="AA24" s="1"/>
  <c r="F34"/>
  <c r="S34" s="1"/>
  <c r="F14" i="35"/>
  <c r="AA14" s="1"/>
  <c r="F23"/>
  <c r="AA23" s="1"/>
  <c r="J32"/>
  <c r="AC32" s="1"/>
  <c r="J16"/>
  <c r="H16"/>
  <c r="U16" s="1"/>
  <c r="F16"/>
  <c r="S16" s="1"/>
  <c r="H14"/>
  <c r="AB14" s="1"/>
  <c r="J29"/>
  <c r="W29" s="1"/>
  <c r="H33"/>
  <c r="AB33" s="1"/>
  <c r="J20"/>
  <c r="W20" s="1"/>
  <c r="F35" i="37"/>
  <c r="S35" s="1"/>
  <c r="E101"/>
  <c r="F101" s="1"/>
  <c r="G101" s="1"/>
  <c r="H101" s="1"/>
  <c r="I101" s="1"/>
  <c r="J101" s="1"/>
  <c r="K101" s="1"/>
  <c r="L101" s="1"/>
  <c r="M101" s="1"/>
  <c r="J34"/>
  <c r="W34" s="1"/>
  <c r="S10"/>
  <c r="J33"/>
  <c r="AC33" s="1"/>
  <c r="U42" i="34"/>
  <c r="H40"/>
  <c r="U40" s="1"/>
  <c r="E114"/>
  <c r="H36"/>
  <c r="U36" s="1"/>
  <c r="F37"/>
  <c r="AA37" s="1"/>
  <c r="S35"/>
  <c r="F28"/>
  <c r="AA28" s="1"/>
  <c r="F27"/>
  <c r="AA27" s="1"/>
  <c r="F25"/>
  <c r="S25" s="1"/>
  <c r="H23"/>
  <c r="J23"/>
  <c r="F19"/>
  <c r="H17"/>
  <c r="U17" s="1"/>
  <c r="F15"/>
  <c r="S15" s="1"/>
  <c r="J15"/>
  <c r="AC15" s="1"/>
  <c r="H15"/>
  <c r="AB15" s="1"/>
  <c r="W8"/>
  <c r="J28"/>
  <c r="W28" s="1"/>
  <c r="F41" i="33"/>
  <c r="AA41" s="1"/>
  <c r="S38"/>
  <c r="E113"/>
  <c r="F113" s="1"/>
  <c r="G113" s="1"/>
  <c r="H113" s="1"/>
  <c r="I113" s="1"/>
  <c r="J113" s="1"/>
  <c r="K113" s="1"/>
  <c r="L113" s="1"/>
  <c r="M113" s="1"/>
  <c r="F32"/>
  <c r="AA32" s="1"/>
  <c r="J19"/>
  <c r="AC19" s="1"/>
  <c r="J15"/>
  <c r="AC15" s="1"/>
  <c r="F11"/>
  <c r="AA11" s="1"/>
  <c r="U40"/>
  <c r="U8"/>
  <c r="F37" i="40"/>
  <c r="AA37" s="1"/>
  <c r="F36"/>
  <c r="AA36" s="1"/>
  <c r="H28"/>
  <c r="U28" s="1"/>
  <c r="F23"/>
  <c r="AA23" s="1"/>
  <c r="F17"/>
  <c r="AA17" s="1"/>
  <c r="J17"/>
  <c r="W17" s="1"/>
  <c r="F15"/>
  <c r="S15" s="1"/>
  <c r="H15"/>
  <c r="AB15" s="1"/>
  <c r="AC11"/>
  <c r="AB30" i="36"/>
  <c r="F29" i="35"/>
  <c r="H29"/>
  <c r="AB29" s="1"/>
  <c r="H33" i="37"/>
  <c r="AB33" s="1"/>
  <c r="F33"/>
  <c r="AA33" s="1"/>
  <c r="W33"/>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AA15"/>
  <c r="H37" i="33"/>
  <c r="AB37" s="1"/>
  <c r="H15"/>
  <c r="AB15" s="1"/>
  <c r="H11"/>
  <c r="AB11" s="1"/>
  <c r="F28" i="40"/>
  <c r="AA28" s="1"/>
  <c r="AA38" i="34"/>
  <c r="J37"/>
  <c r="AC37" s="1"/>
  <c r="J11" i="33"/>
  <c r="W11" s="1"/>
  <c r="S28" i="34"/>
  <c r="U23" i="40"/>
  <c r="H42" i="21"/>
  <c r="U42" s="1"/>
  <c r="J44" i="34"/>
  <c r="F44"/>
  <c r="AA44" s="1"/>
  <c r="J10" i="35"/>
  <c r="W10" s="1"/>
  <c r="J14" i="21"/>
  <c r="W14" s="1"/>
  <c r="H14"/>
  <c r="U14" s="1"/>
  <c r="F28"/>
  <c r="AA28" s="1"/>
  <c r="J28"/>
  <c r="H30"/>
  <c r="U30" s="1"/>
  <c r="F30"/>
  <c r="S30" s="1"/>
  <c r="J30"/>
  <c r="AC30" s="1"/>
  <c r="J44"/>
  <c r="AC44" s="1"/>
  <c r="H46"/>
  <c r="U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H27" i="21"/>
  <c r="AB27" s="1"/>
  <c r="F27"/>
  <c r="AA27" s="1"/>
  <c r="J31"/>
  <c r="AC31" s="1"/>
  <c r="F31"/>
  <c r="S31" s="1"/>
  <c r="J29" i="33"/>
  <c r="H29"/>
  <c r="U29" s="1"/>
  <c r="F29"/>
  <c r="S29" s="1"/>
  <c r="H45"/>
  <c r="U45" s="1"/>
  <c r="J45"/>
  <c r="F45"/>
  <c r="AA45" s="1"/>
  <c r="J14" i="34"/>
  <c r="W14" s="1"/>
  <c r="F14"/>
  <c r="S14" s="1"/>
  <c r="H14"/>
  <c r="H32"/>
  <c r="F32"/>
  <c r="J32"/>
  <c r="W32" s="1"/>
  <c r="H11" i="35"/>
  <c r="U11" s="1"/>
  <c r="J26" i="36"/>
  <c r="W26" s="1"/>
  <c r="H28"/>
  <c r="U28" s="1"/>
  <c r="H32"/>
  <c r="AB32" s="1"/>
  <c r="J32"/>
  <c r="W32" s="1"/>
  <c r="F11"/>
  <c r="AA11" s="1"/>
  <c r="H13"/>
  <c r="AB13" s="1"/>
  <c r="J13"/>
  <c r="W13" s="1"/>
  <c r="F13"/>
  <c r="S13" s="1"/>
  <c r="E89" i="37"/>
  <c r="F89" s="1"/>
  <c r="G89" s="1"/>
  <c r="H89" s="1"/>
  <c r="I89" s="1"/>
  <c r="J89" s="1"/>
  <c r="K89" s="1"/>
  <c r="L89" s="1"/>
  <c r="M89" s="1"/>
  <c r="J29"/>
  <c r="W29" s="1"/>
  <c r="F29"/>
  <c r="S29" s="1"/>
  <c r="H36"/>
  <c r="AB36" s="1"/>
  <c r="J37"/>
  <c r="AC37" s="1"/>
  <c r="H37"/>
  <c r="U37" s="1"/>
  <c r="F40"/>
  <c r="AA40" s="1"/>
  <c r="AC12" i="40"/>
  <c r="H14" i="33"/>
  <c r="U14" s="1"/>
  <c r="F14"/>
  <c r="J14"/>
  <c r="J30"/>
  <c r="H44"/>
  <c r="J44"/>
  <c r="AC44" s="1"/>
  <c r="F44"/>
  <c r="S44" s="1"/>
  <c r="J46"/>
  <c r="AC46" s="1"/>
  <c r="H13" i="34"/>
  <c r="U13" s="1"/>
  <c r="J13"/>
  <c r="W13" s="1"/>
  <c r="F13"/>
  <c r="AA13" s="1"/>
  <c r="J31"/>
  <c r="H31"/>
  <c r="F31"/>
  <c r="S31" s="1"/>
  <c r="J45"/>
  <c r="W45" s="1"/>
  <c r="H47"/>
  <c r="U47" s="1"/>
  <c r="F47"/>
  <c r="S47" s="1"/>
  <c r="J47"/>
  <c r="AC47" s="1"/>
  <c r="H13" i="35"/>
  <c r="U13" s="1"/>
  <c r="J35"/>
  <c r="AC35" s="1"/>
  <c r="F35"/>
  <c r="AA35" s="1"/>
  <c r="H35"/>
  <c r="AB35" s="1"/>
  <c r="J25" i="36"/>
  <c r="W25" s="1"/>
  <c r="F25"/>
  <c r="S25" s="1"/>
  <c r="H25"/>
  <c r="AB25" s="1"/>
  <c r="H13" i="37"/>
  <c r="AB13" s="1"/>
  <c r="F13"/>
  <c r="S13" s="1"/>
  <c r="J13"/>
  <c r="W13" s="1"/>
  <c r="F28"/>
  <c r="AA28" s="1"/>
  <c r="H38"/>
  <c r="AB38" s="1"/>
  <c r="J38"/>
  <c r="AC38" s="1"/>
  <c r="F38"/>
  <c r="S38" s="1"/>
  <c r="H43" i="39"/>
  <c r="J14"/>
  <c r="AC14" s="1"/>
  <c r="F14"/>
  <c r="H14"/>
  <c r="AB14" s="1"/>
  <c r="F12" i="40"/>
  <c r="S12" s="1"/>
  <c r="H12"/>
  <c r="AB12" s="1"/>
  <c r="H30"/>
  <c r="AB30" s="1"/>
  <c r="J35"/>
  <c r="AC35" s="1"/>
  <c r="J37"/>
  <c r="AC37" s="1"/>
  <c r="H13"/>
  <c r="U13" s="1"/>
  <c r="J13"/>
  <c r="W13" s="1"/>
  <c r="F13"/>
  <c r="AA13" s="1"/>
  <c r="F14" i="37"/>
  <c r="S14" s="1"/>
  <c r="F27"/>
  <c r="AA27" s="1"/>
  <c r="F13" i="39"/>
  <c r="J13"/>
  <c r="W13" s="1"/>
  <c r="H14" i="40"/>
  <c r="J14"/>
  <c r="W14" s="1"/>
  <c r="F14"/>
  <c r="AA14" s="1"/>
  <c r="J14" i="37"/>
  <c r="AC14" s="1"/>
  <c r="J27"/>
  <c r="AC27" s="1"/>
  <c r="J36"/>
  <c r="AC36" s="1"/>
  <c r="J10" i="36"/>
  <c r="AC10" s="1"/>
  <c r="AB26" i="33"/>
  <c r="AA14" i="34"/>
  <c r="S45" i="33"/>
  <c r="AB45"/>
  <c r="S44" i="34"/>
  <c r="BA585" i="3"/>
  <c r="H17" i="21"/>
  <c r="AB17" s="1"/>
  <c r="F15"/>
  <c r="S15" s="1"/>
  <c r="J41" i="39"/>
  <c r="W41" s="1"/>
  <c r="W44"/>
  <c r="G523" i="3"/>
  <c r="G514"/>
  <c r="G510"/>
  <c r="G584"/>
  <c r="G572"/>
  <c r="G568"/>
  <c r="G550"/>
  <c r="BL576"/>
  <c r="BL572"/>
  <c r="BL556"/>
  <c r="BL496"/>
  <c r="BA580"/>
  <c r="BA576"/>
  <c r="BA556"/>
  <c r="BA530"/>
  <c r="BA494"/>
  <c r="BA577"/>
  <c r="BA571"/>
  <c r="BA545"/>
  <c r="BA525"/>
  <c r="BA493"/>
  <c r="G579"/>
  <c r="G577"/>
  <c r="G571"/>
  <c r="G567"/>
  <c r="G561"/>
  <c r="AC557"/>
  <c r="BQ557"/>
  <c r="BQ583"/>
  <c r="BL583" s="1"/>
  <c r="BQ581"/>
  <c r="BL581" s="1"/>
  <c r="BQ579"/>
  <c r="BQ577"/>
  <c r="BQ575"/>
  <c r="BL575" s="1"/>
  <c r="BQ573"/>
  <c r="BQ571"/>
  <c r="BQ569"/>
  <c r="BQ567"/>
  <c r="BQ565"/>
  <c r="BQ563"/>
  <c r="BQ561"/>
  <c r="BQ559"/>
  <c r="G547"/>
  <c r="G541"/>
  <c r="BQ555"/>
  <c r="BQ553"/>
  <c r="BQ551"/>
  <c r="BL551" s="1"/>
  <c r="BQ549"/>
  <c r="BQ547"/>
  <c r="BQ545"/>
  <c r="BQ543"/>
  <c r="BL543" s="1"/>
  <c r="BQ541"/>
  <c r="BQ539"/>
  <c r="BQ537"/>
  <c r="BQ535"/>
  <c r="BL535" s="1"/>
  <c r="AZ535" s="1"/>
  <c r="BQ533"/>
  <c r="BQ531"/>
  <c r="BQ529"/>
  <c r="BQ527"/>
  <c r="BL527" s="1"/>
  <c r="BQ525"/>
  <c r="BQ523"/>
  <c r="AC521"/>
  <c r="BQ521"/>
  <c r="G519"/>
  <c r="BQ519"/>
  <c r="BQ517"/>
  <c r="BQ515"/>
  <c r="BQ513"/>
  <c r="BQ511"/>
  <c r="AC509"/>
  <c r="BQ509"/>
  <c r="G505"/>
  <c r="G497"/>
  <c r="BQ507"/>
  <c r="BQ505"/>
  <c r="BQ503"/>
  <c r="BQ501"/>
  <c r="BQ499"/>
  <c r="BQ497"/>
  <c r="BQ495"/>
  <c r="BL495"/>
  <c r="BQ493"/>
  <c r="S505" i="31"/>
  <c r="S503"/>
  <c r="S501"/>
  <c r="S499"/>
  <c r="O27"/>
  <c r="O28"/>
  <c r="O26"/>
  <c r="M27"/>
  <c r="M28"/>
  <c r="M26"/>
  <c r="I26"/>
  <c r="I25"/>
  <c r="S25"/>
  <c r="Q26"/>
  <c r="K26"/>
  <c r="I27"/>
  <c r="Q27"/>
  <c r="K27"/>
  <c r="I28"/>
  <c r="Q28"/>
  <c r="K28"/>
  <c r="AC28" i="34"/>
  <c r="S21" i="40"/>
  <c r="AA12" i="21"/>
  <c r="H25"/>
  <c r="U25" s="1"/>
  <c r="F25"/>
  <c r="S25" s="1"/>
  <c r="J25"/>
  <c r="AC25" s="1"/>
  <c r="E125" i="33"/>
  <c r="F125" s="1"/>
  <c r="G125" s="1"/>
  <c r="H43"/>
  <c r="AB43" s="1"/>
  <c r="H17" i="37"/>
  <c r="U17" s="1"/>
  <c r="U32" i="33"/>
  <c r="F39"/>
  <c r="AA39" s="1"/>
  <c r="E123"/>
  <c r="F123" s="1"/>
  <c r="G123" s="1"/>
  <c r="H123" s="1"/>
  <c r="I123" s="1"/>
  <c r="J123" s="1"/>
  <c r="K123" s="1"/>
  <c r="L123" s="1"/>
  <c r="M123"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H42" i="33"/>
  <c r="AB42" s="1"/>
  <c r="J43"/>
  <c r="AC43" s="1"/>
  <c r="U43"/>
  <c r="S28" i="31"/>
  <c r="S27"/>
  <c r="S26"/>
  <c r="AC33" i="36"/>
  <c r="U35" i="35"/>
  <c r="AA12"/>
  <c r="W23"/>
  <c r="W14" i="37"/>
  <c r="U33"/>
  <c r="W26"/>
  <c r="AC8"/>
  <c r="AC36" i="34"/>
  <c r="U19" i="21"/>
  <c r="W44"/>
  <c r="AC46"/>
  <c r="U12"/>
  <c r="F43" i="33"/>
  <c r="AA43" s="1"/>
  <c r="W15" i="34"/>
  <c r="G107" i="37"/>
  <c r="H107" s="1"/>
  <c r="I107" s="1"/>
  <c r="J107" s="1"/>
  <c r="K107" s="1"/>
  <c r="L107" s="1"/>
  <c r="M107" s="1"/>
  <c r="H37" i="21"/>
  <c r="U37" s="1"/>
  <c r="H19" i="34"/>
  <c r="AB19" s="1"/>
  <c r="F36" i="35"/>
  <c r="S36" s="1"/>
  <c r="H9" i="37"/>
  <c r="AB9" s="1"/>
  <c r="E71"/>
  <c r="F15"/>
  <c r="AA15" s="1"/>
  <c r="E94"/>
  <c r="F94" s="1"/>
  <c r="G94" s="1"/>
  <c r="H94" s="1"/>
  <c r="I94" s="1"/>
  <c r="J94" s="1"/>
  <c r="K94" s="1"/>
  <c r="L94" s="1"/>
  <c r="M94" s="1"/>
  <c r="F31"/>
  <c r="S31" s="1"/>
  <c r="F12" i="39"/>
  <c r="S12" s="1"/>
  <c r="J42"/>
  <c r="AC42" s="1"/>
  <c r="H21" i="40"/>
  <c r="AB21" s="1"/>
  <c r="H31" i="37"/>
  <c r="U31" s="1"/>
  <c r="F71"/>
  <c r="G71" s="1"/>
  <c r="J15"/>
  <c r="W15" s="1"/>
  <c r="AT6" i="3"/>
  <c r="C12" i="43"/>
  <c r="H19" i="40"/>
  <c r="U19" s="1"/>
  <c r="F88"/>
  <c r="G88" s="1"/>
  <c r="F19"/>
  <c r="S19" s="1"/>
  <c r="S14"/>
  <c r="AC13"/>
  <c r="G101" i="39"/>
  <c r="H37"/>
  <c r="AB37" s="1"/>
  <c r="AC37"/>
  <c r="W37"/>
  <c r="F15"/>
  <c r="AA15" s="1"/>
  <c r="H15"/>
  <c r="U15" s="1"/>
  <c r="J15"/>
  <c r="W15" s="1"/>
  <c r="H41"/>
  <c r="W14"/>
  <c r="W9"/>
  <c r="J19" i="40"/>
  <c r="AC19" s="1"/>
  <c r="J50"/>
  <c r="B54" i="72"/>
  <c r="H103" i="9"/>
  <c r="D8" i="53" s="1"/>
  <c r="B16"/>
  <c r="B33" i="72" s="1"/>
  <c r="C7" i="37"/>
  <c r="C7" i="34"/>
  <c r="C7" i="36"/>
  <c r="W35" i="40"/>
  <c r="A118" i="9"/>
  <c r="A4" i="52"/>
  <c r="B41" i="72" s="1"/>
  <c r="A12" i="52"/>
  <c r="B56" i="72" s="1"/>
  <c r="G4" i="4"/>
  <c r="I4"/>
  <c r="K5"/>
  <c r="B47" i="48" s="1"/>
  <c r="A2" i="9"/>
  <c r="G303" i="3"/>
  <c r="BL304"/>
  <c r="G305"/>
  <c r="BL306"/>
  <c r="BA308"/>
  <c r="BA309"/>
  <c r="BL309"/>
  <c r="G310"/>
  <c r="BA311"/>
  <c r="G319"/>
  <c r="BL320"/>
  <c r="G321"/>
  <c r="BL322"/>
  <c r="BA324"/>
  <c r="BA325"/>
  <c r="AZ325" s="1"/>
  <c r="BL325"/>
  <c r="G326"/>
  <c r="BA327"/>
  <c r="G335"/>
  <c r="BL336"/>
  <c r="G337"/>
  <c r="BL338"/>
  <c r="BA340"/>
  <c r="BA341"/>
  <c r="BL341"/>
  <c r="BA343"/>
  <c r="AZ343" s="1"/>
  <c r="BA345"/>
  <c r="BL355"/>
  <c r="G356"/>
  <c r="BL357"/>
  <c r="BA359"/>
  <c r="BA360"/>
  <c r="BL360"/>
  <c r="G361"/>
  <c r="BA362"/>
  <c r="G370"/>
  <c r="BL371"/>
  <c r="G372"/>
  <c r="BL373"/>
  <c r="BA375"/>
  <c r="AZ375" s="1"/>
  <c r="BA376"/>
  <c r="BL376"/>
  <c r="AZ376" s="1"/>
  <c r="G377"/>
  <c r="BA378"/>
  <c r="BL378"/>
  <c r="G379"/>
  <c r="BA380"/>
  <c r="G388"/>
  <c r="BL389"/>
  <c r="G390"/>
  <c r="BL391"/>
  <c r="BA393"/>
  <c r="BA394"/>
  <c r="BL394"/>
  <c r="G113"/>
  <c r="BA115"/>
  <c r="BL116"/>
  <c r="G117"/>
  <c r="BA119"/>
  <c r="BL120"/>
  <c r="G121"/>
  <c r="BA123"/>
  <c r="BL124"/>
  <c r="G125"/>
  <c r="BA127"/>
  <c r="BL128"/>
  <c r="G129"/>
  <c r="BA131"/>
  <c r="BL132"/>
  <c r="G133"/>
  <c r="BA135"/>
  <c r="BL136"/>
  <c r="G137"/>
  <c r="BA139"/>
  <c r="BL140"/>
  <c r="G141"/>
  <c r="BA143"/>
  <c r="BL144"/>
  <c r="G145"/>
  <c r="BA147"/>
  <c r="BL148"/>
  <c r="G149"/>
  <c r="BA151"/>
  <c r="BL152"/>
  <c r="G153"/>
  <c r="BA155"/>
  <c r="BL156"/>
  <c r="G157"/>
  <c r="BA159"/>
  <c r="BL160"/>
  <c r="G161"/>
  <c r="BA163"/>
  <c r="BL164"/>
  <c r="G165"/>
  <c r="BA167"/>
  <c r="BL168"/>
  <c r="G169"/>
  <c r="BA171"/>
  <c r="BL172"/>
  <c r="G173"/>
  <c r="BA175"/>
  <c r="BL176"/>
  <c r="G177"/>
  <c r="BA179"/>
  <c r="BL180"/>
  <c r="G181"/>
  <c r="BA183"/>
  <c r="BL184"/>
  <c r="G185"/>
  <c r="BA187"/>
  <c r="BL188"/>
  <c r="G189"/>
  <c r="BA191"/>
  <c r="BL192"/>
  <c r="G193"/>
  <c r="BA195"/>
  <c r="BL196"/>
  <c r="G197"/>
  <c r="BA199"/>
  <c r="BL200"/>
  <c r="G201"/>
  <c r="BA203"/>
  <c r="BL204"/>
  <c r="AZ136"/>
  <c r="G530"/>
  <c r="G516"/>
  <c r="G498"/>
  <c r="G494"/>
  <c r="G16"/>
  <c r="G15"/>
  <c r="BA304"/>
  <c r="BA305"/>
  <c r="AZ305" s="1"/>
  <c r="BL305"/>
  <c r="G306"/>
  <c r="G309"/>
  <c r="BL310"/>
  <c r="BA312"/>
  <c r="BA313"/>
  <c r="BL313"/>
  <c r="G314"/>
  <c r="G317"/>
  <c r="BL318"/>
  <c r="BA320"/>
  <c r="BA321"/>
  <c r="BL321"/>
  <c r="G322"/>
  <c r="G325"/>
  <c r="BL326"/>
  <c r="BA328"/>
  <c r="BA329"/>
  <c r="BL329"/>
  <c r="G330"/>
  <c r="G333"/>
  <c r="BL334"/>
  <c r="BA336"/>
  <c r="BA337"/>
  <c r="BL337"/>
  <c r="G338"/>
  <c r="G341"/>
  <c r="BA342"/>
  <c r="BL342"/>
  <c r="BA344"/>
  <c r="BL344"/>
  <c r="BA346"/>
  <c r="BA347"/>
  <c r="BL347"/>
  <c r="G350"/>
  <c r="BA351"/>
  <c r="BL351"/>
  <c r="G352"/>
  <c r="G354"/>
  <c r="BA355"/>
  <c r="BA356"/>
  <c r="BL356"/>
  <c r="AZ356" s="1"/>
  <c r="G357"/>
  <c r="G360"/>
  <c r="BL361"/>
  <c r="BA363"/>
  <c r="BA364"/>
  <c r="AZ364" s="1"/>
  <c r="BL364"/>
  <c r="G365"/>
  <c r="G368"/>
  <c r="BL369"/>
  <c r="BA371"/>
  <c r="BA372"/>
  <c r="BL372"/>
  <c r="G373"/>
  <c r="G376"/>
  <c r="BL377"/>
  <c r="BL379"/>
  <c r="AZ379" s="1"/>
  <c r="BA381"/>
  <c r="BA382"/>
  <c r="BL382"/>
  <c r="AZ382" s="1"/>
  <c r="G383"/>
  <c r="G386"/>
  <c r="BL387"/>
  <c r="BA389"/>
  <c r="BA390"/>
  <c r="AZ390" s="1"/>
  <c r="BL390"/>
  <c r="G391"/>
  <c r="G394"/>
  <c r="BL303"/>
  <c r="G304"/>
  <c r="BA306"/>
  <c r="AZ306" s="1"/>
  <c r="BL307"/>
  <c r="G308"/>
  <c r="BA310"/>
  <c r="AZ310" s="1"/>
  <c r="BL311"/>
  <c r="G312"/>
  <c r="BA314"/>
  <c r="BL315"/>
  <c r="G316"/>
  <c r="BA318"/>
  <c r="BL319"/>
  <c r="G320"/>
  <c r="BA322"/>
  <c r="BL323"/>
  <c r="G324"/>
  <c r="BA326"/>
  <c r="AZ326" s="1"/>
  <c r="BL327"/>
  <c r="G328"/>
  <c r="BA330"/>
  <c r="BL331"/>
  <c r="G332"/>
  <c r="BA334"/>
  <c r="BL335"/>
  <c r="G336"/>
  <c r="BA338"/>
  <c r="BL339"/>
  <c r="G340"/>
  <c r="BL343"/>
  <c r="G344"/>
  <c r="G348"/>
  <c r="G355"/>
  <c r="G342"/>
  <c r="BL345"/>
  <c r="G346"/>
  <c r="BL349"/>
  <c r="BL352"/>
  <c r="G353"/>
  <c r="BA357"/>
  <c r="BL358"/>
  <c r="AZ358" s="1"/>
  <c r="G359"/>
  <c r="BA361"/>
  <c r="AZ361" s="1"/>
  <c r="BL362"/>
  <c r="G363"/>
  <c r="BA365"/>
  <c r="AZ365" s="1"/>
  <c r="BL366"/>
  <c r="G367"/>
  <c r="BA369"/>
  <c r="BL370"/>
  <c r="G371"/>
  <c r="BA373"/>
  <c r="BL374"/>
  <c r="G375"/>
  <c r="BA377"/>
  <c r="AZ377" s="1"/>
  <c r="BA379"/>
  <c r="BL380"/>
  <c r="AZ380" s="1"/>
  <c r="G381"/>
  <c r="BA383"/>
  <c r="BL384"/>
  <c r="G385"/>
  <c r="BA387"/>
  <c r="AZ387" s="1"/>
  <c r="BL388"/>
  <c r="G389"/>
  <c r="BA391"/>
  <c r="AZ391" s="1"/>
  <c r="BL392"/>
  <c r="G393"/>
  <c r="G538"/>
  <c r="G520"/>
  <c r="G502"/>
  <c r="G17"/>
  <c r="G509"/>
  <c r="BL493"/>
  <c r="AZ493"/>
  <c r="U36" i="40"/>
  <c r="F36" i="43"/>
  <c r="F81"/>
  <c r="H83" s="1"/>
  <c r="F48"/>
  <c r="H52" s="1"/>
  <c r="N7"/>
  <c r="F70"/>
  <c r="E17"/>
  <c r="J17"/>
  <c r="S14" i="35"/>
  <c r="G9" i="1"/>
  <c r="W37" i="37"/>
  <c r="W44" i="34"/>
  <c r="AC44"/>
  <c r="U13" i="37"/>
  <c r="U12" i="40"/>
  <c r="AA12"/>
  <c r="J37" i="33"/>
  <c r="W37" s="1"/>
  <c r="AC17" i="34"/>
  <c r="F106" i="33"/>
  <c r="G106" s="1"/>
  <c r="H106" s="1"/>
  <c r="I106" s="1"/>
  <c r="J106" s="1"/>
  <c r="K106" s="1"/>
  <c r="L106" s="1"/>
  <c r="M106" s="1"/>
  <c r="J34"/>
  <c r="W34" s="1"/>
  <c r="F33" i="34"/>
  <c r="S33" s="1"/>
  <c r="H20" i="36"/>
  <c r="U20" s="1"/>
  <c r="J20"/>
  <c r="W20" s="1"/>
  <c r="W24"/>
  <c r="J27"/>
  <c r="W27" s="1"/>
  <c r="AB25" i="37"/>
  <c r="F111" i="40"/>
  <c r="G111" s="1"/>
  <c r="H111" s="1"/>
  <c r="I111" s="1"/>
  <c r="J111" s="1"/>
  <c r="K111" s="1"/>
  <c r="L111" s="1"/>
  <c r="M111" s="1"/>
  <c r="H35"/>
  <c r="AB35" s="1"/>
  <c r="AC29" i="35"/>
  <c r="H35" i="37"/>
  <c r="U35" s="1"/>
  <c r="AC14" i="35"/>
  <c r="H20"/>
  <c r="U20" s="1"/>
  <c r="F20"/>
  <c r="AA20" s="1"/>
  <c r="AB29" i="36"/>
  <c r="U29"/>
  <c r="H32" i="37"/>
  <c r="AB32" s="1"/>
  <c r="F96"/>
  <c r="G96" s="1"/>
  <c r="H96" s="1"/>
  <c r="I96" s="1"/>
  <c r="J96" s="1"/>
  <c r="K96" s="1"/>
  <c r="L96" s="1"/>
  <c r="M96" s="1"/>
  <c r="H27" i="40"/>
  <c r="U27" s="1"/>
  <c r="J27"/>
  <c r="AC27" s="1"/>
  <c r="F27"/>
  <c r="S27" s="1"/>
  <c r="J30"/>
  <c r="AC30" s="1"/>
  <c r="F30"/>
  <c r="AA30" s="1"/>
  <c r="S11"/>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C40" i="11"/>
  <c r="F23" i="39"/>
  <c r="AA23" s="1"/>
  <c r="H27" i="36"/>
  <c r="U27" s="1"/>
  <c r="F27"/>
  <c r="AA27" s="1"/>
  <c r="H33" i="34"/>
  <c r="U33" s="1"/>
  <c r="F32" i="37"/>
  <c r="AA32" s="1"/>
  <c r="F20" i="36"/>
  <c r="AA20" s="1"/>
  <c r="J33" i="34"/>
  <c r="AC33" s="1"/>
  <c r="H23" i="39"/>
  <c r="U23" s="1"/>
  <c r="H86" i="43"/>
  <c r="K9" i="1"/>
  <c r="M9" s="1"/>
  <c r="O9" s="1"/>
  <c r="P9" s="1"/>
  <c r="AE9"/>
  <c r="S38" i="39" l="1"/>
  <c r="J42" i="21"/>
  <c r="AC42" s="1"/>
  <c r="F42"/>
  <c r="AA42" s="1"/>
  <c r="S42"/>
  <c r="D3" i="80"/>
  <c r="E7" i="12"/>
  <c r="M8" i="1"/>
  <c r="O8" s="1"/>
  <c r="P8" s="1"/>
  <c r="D7" i="12"/>
  <c r="D58" i="80"/>
  <c r="E58" s="1"/>
  <c r="F58" s="1"/>
  <c r="G58" s="1"/>
  <c r="H58" s="1"/>
  <c r="I58" s="1"/>
  <c r="J58" s="1"/>
  <c r="K58" s="1"/>
  <c r="L58" s="1"/>
  <c r="M58" s="1"/>
  <c r="N58" s="1"/>
  <c r="O58" s="1"/>
  <c r="H7"/>
  <c r="F7"/>
  <c r="J7"/>
  <c r="BG5" i="3"/>
  <c r="AZ499"/>
  <c r="H13" i="33"/>
  <c r="J13"/>
  <c r="H31"/>
  <c r="F31"/>
  <c r="J30" i="34"/>
  <c r="H30"/>
  <c r="F30"/>
  <c r="S30" s="1"/>
  <c r="H46"/>
  <c r="F46"/>
  <c r="J46"/>
  <c r="J11" i="35"/>
  <c r="F11"/>
  <c r="S11" s="1"/>
  <c r="H34"/>
  <c r="J34"/>
  <c r="AZ338" i="3"/>
  <c r="AZ327"/>
  <c r="AA12" i="36"/>
  <c r="BL587" i="3"/>
  <c r="BA587"/>
  <c r="J45" i="21"/>
  <c r="W45" s="1"/>
  <c r="F45"/>
  <c r="AA45" s="1"/>
  <c r="J12" i="37"/>
  <c r="W12" s="1"/>
  <c r="H12"/>
  <c r="AB12" s="1"/>
  <c r="J33" i="40"/>
  <c r="F33"/>
  <c r="AA33" s="1"/>
  <c r="H33"/>
  <c r="AA42" i="34"/>
  <c r="S42"/>
  <c r="S34" i="37"/>
  <c r="AA34"/>
  <c r="AA30" i="36"/>
  <c r="S30"/>
  <c r="H35" i="39"/>
  <c r="AB35" s="1"/>
  <c r="F35"/>
  <c r="BA582" i="3"/>
  <c r="BA579"/>
  <c r="BL578"/>
  <c r="BL574"/>
  <c r="BA574"/>
  <c r="BA570"/>
  <c r="BA563"/>
  <c r="BL555"/>
  <c r="BL554"/>
  <c r="BA553"/>
  <c r="BA546"/>
  <c r="AA27" i="35"/>
  <c r="S27"/>
  <c r="BL513" i="3"/>
  <c r="AC16" i="35"/>
  <c r="W16"/>
  <c r="U8"/>
  <c r="AA25" i="21"/>
  <c r="F12" i="37"/>
  <c r="S12" s="1"/>
  <c r="AB13" i="34"/>
  <c r="BL509" i="3"/>
  <c r="J31" i="33"/>
  <c r="W31" s="1"/>
  <c r="F13"/>
  <c r="AB11" i="35"/>
  <c r="AZ309" i="3"/>
  <c r="U11" i="33"/>
  <c r="AB14" i="40"/>
  <c r="U14"/>
  <c r="AB31" i="34"/>
  <c r="U31"/>
  <c r="S29" i="35"/>
  <c r="AA29"/>
  <c r="AC28" i="36"/>
  <c r="W28"/>
  <c r="J11"/>
  <c r="H11"/>
  <c r="J28" i="37"/>
  <c r="AC28" s="1"/>
  <c r="H28"/>
  <c r="AC31" i="40"/>
  <c r="W31"/>
  <c r="W45" i="33"/>
  <c r="AC45"/>
  <c r="W21" i="40"/>
  <c r="AC21"/>
  <c r="U8" i="36"/>
  <c r="AB8"/>
  <c r="BA538" i="3"/>
  <c r="BL534"/>
  <c r="BA529"/>
  <c r="BL528"/>
  <c r="BA516"/>
  <c r="AZ516" s="1"/>
  <c r="BA511"/>
  <c r="BA510"/>
  <c r="BA509"/>
  <c r="BA505"/>
  <c r="BL501"/>
  <c r="BT5"/>
  <c r="G28" i="6" s="1"/>
  <c r="AZ355" i="3"/>
  <c r="AZ351"/>
  <c r="AZ394"/>
  <c r="AZ378"/>
  <c r="AZ360"/>
  <c r="AZ341"/>
  <c r="AZ322"/>
  <c r="W44" i="33"/>
  <c r="AB37" i="34"/>
  <c r="AC32" i="36"/>
  <c r="BL507" i="3"/>
  <c r="G521"/>
  <c r="BL571"/>
  <c r="AZ571" s="1"/>
  <c r="BL577"/>
  <c r="AZ577" s="1"/>
  <c r="AC13" i="36"/>
  <c r="U33" i="35"/>
  <c r="F19" i="39"/>
  <c r="AA19" s="1"/>
  <c r="AA31" i="36"/>
  <c r="U30" i="37"/>
  <c r="AZ373" i="3"/>
  <c r="W37" i="34"/>
  <c r="BL517" i="3"/>
  <c r="AZ517" s="1"/>
  <c r="BL523"/>
  <c r="BL531"/>
  <c r="BL539"/>
  <c r="BL547"/>
  <c r="U30" i="35"/>
  <c r="J38" i="40"/>
  <c r="AC38" s="1"/>
  <c r="F38"/>
  <c r="BA569" i="3"/>
  <c r="BA566"/>
  <c r="G565"/>
  <c r="G564"/>
  <c r="BL562"/>
  <c r="AZ562" s="1"/>
  <c r="BA561"/>
  <c r="BL560"/>
  <c r="BL558"/>
  <c r="BA554"/>
  <c r="BN5"/>
  <c r="BL549"/>
  <c r="BA549"/>
  <c r="AZ549" s="1"/>
  <c r="BM5"/>
  <c r="F29" i="6" s="1"/>
  <c r="BA544" i="3"/>
  <c r="BA543"/>
  <c r="AZ543" s="1"/>
  <c r="G543"/>
  <c r="BL540"/>
  <c r="G540"/>
  <c r="BL538"/>
  <c r="BA537"/>
  <c r="BA536"/>
  <c r="BA533"/>
  <c r="G533"/>
  <c r="G532"/>
  <c r="BA528"/>
  <c r="BA527"/>
  <c r="AZ527" s="1"/>
  <c r="G525"/>
  <c r="H44" i="39"/>
  <c r="F44"/>
  <c r="G574" i="3"/>
  <c r="BA449"/>
  <c r="BL463"/>
  <c r="BL475"/>
  <c r="BA477"/>
  <c r="BL483"/>
  <c r="G374"/>
  <c r="BL385"/>
  <c r="G210"/>
  <c r="BL216"/>
  <c r="BL225"/>
  <c r="BA227"/>
  <c r="BL255"/>
  <c r="BL264"/>
  <c r="BA281"/>
  <c r="BA290"/>
  <c r="BL292"/>
  <c r="BA294"/>
  <c r="BL296"/>
  <c r="BL114"/>
  <c r="G120"/>
  <c r="BA120"/>
  <c r="AZ120" s="1"/>
  <c r="BA124"/>
  <c r="AZ124" s="1"/>
  <c r="BL126"/>
  <c r="BA128"/>
  <c r="AZ128" s="1"/>
  <c r="BL130"/>
  <c r="BA132"/>
  <c r="AZ132" s="1"/>
  <c r="BL134"/>
  <c r="BA137"/>
  <c r="BA158"/>
  <c r="BL159"/>
  <c r="AZ159" s="1"/>
  <c r="BA165"/>
  <c r="G190"/>
  <c r="BA198"/>
  <c r="BA202"/>
  <c r="G20"/>
  <c r="BA49"/>
  <c r="BL50"/>
  <c r="BL73"/>
  <c r="G102"/>
  <c r="K100" i="43"/>
  <c r="G524" i="3"/>
  <c r="BL522"/>
  <c r="BA522"/>
  <c r="BA521"/>
  <c r="BL520"/>
  <c r="BL519"/>
  <c r="AZ519" s="1"/>
  <c r="BA519"/>
  <c r="BL518"/>
  <c r="G518"/>
  <c r="BL515"/>
  <c r="BA515"/>
  <c r="BA514"/>
  <c r="AZ514" s="1"/>
  <c r="G511"/>
  <c r="BL508"/>
  <c r="BA508"/>
  <c r="BA507"/>
  <c r="G504"/>
  <c r="BL502"/>
  <c r="AZ502" s="1"/>
  <c r="BA501"/>
  <c r="AZ501" s="1"/>
  <c r="BL500"/>
  <c r="BA500"/>
  <c r="BA497"/>
  <c r="AZ497" s="1"/>
  <c r="G496"/>
  <c r="BK5"/>
  <c r="BL398"/>
  <c r="G399"/>
  <c r="G409"/>
  <c r="G426"/>
  <c r="G442"/>
  <c r="BA442"/>
  <c r="BL444"/>
  <c r="BA446"/>
  <c r="G453"/>
  <c r="G467"/>
  <c r="BL474"/>
  <c r="BL482"/>
  <c r="BL312"/>
  <c r="AZ312" s="1"/>
  <c r="BL333"/>
  <c r="BL340"/>
  <c r="AZ340" s="1"/>
  <c r="BA352"/>
  <c r="AZ352" s="1"/>
  <c r="BA374"/>
  <c r="AZ374" s="1"/>
  <c r="BA395"/>
  <c r="BL397"/>
  <c r="BA209"/>
  <c r="G212"/>
  <c r="G216"/>
  <c r="G225"/>
  <c r="BA230"/>
  <c r="G233"/>
  <c r="G238"/>
  <c r="G239"/>
  <c r="BL245"/>
  <c r="G250"/>
  <c r="G251"/>
  <c r="G255"/>
  <c r="G264"/>
  <c r="G267"/>
  <c r="G275"/>
  <c r="G279"/>
  <c r="G287"/>
  <c r="BA288"/>
  <c r="G118"/>
  <c r="G151"/>
  <c r="BA153"/>
  <c r="BL155"/>
  <c r="AZ155" s="1"/>
  <c r="BA156"/>
  <c r="AZ156" s="1"/>
  <c r="G167"/>
  <c r="G176"/>
  <c r="BA190"/>
  <c r="BL191"/>
  <c r="AZ191" s="1"/>
  <c r="G192"/>
  <c r="BA197"/>
  <c r="G59"/>
  <c r="G69"/>
  <c r="G73"/>
  <c r="G81"/>
  <c r="G96"/>
  <c r="BL99"/>
  <c r="G108"/>
  <c r="G398"/>
  <c r="BA403"/>
  <c r="BL405"/>
  <c r="G407"/>
  <c r="BA408"/>
  <c r="BL411"/>
  <c r="BL415"/>
  <c r="G418"/>
  <c r="BA422"/>
  <c r="BL423"/>
  <c r="G424"/>
  <c r="BA425"/>
  <c r="BA438"/>
  <c r="BL439"/>
  <c r="G440"/>
  <c r="BA441"/>
  <c r="G444"/>
  <c r="BA469"/>
  <c r="G470"/>
  <c r="G474"/>
  <c r="BA480"/>
  <c r="G482"/>
  <c r="BL328"/>
  <c r="AZ328" s="1"/>
  <c r="G384"/>
  <c r="G215"/>
  <c r="BL219"/>
  <c r="BL223"/>
  <c r="G224"/>
  <c r="BA242"/>
  <c r="BL244"/>
  <c r="BA251"/>
  <c r="BL252"/>
  <c r="G253"/>
  <c r="BA254"/>
  <c r="BL257"/>
  <c r="BL261"/>
  <c r="BA263"/>
  <c r="BA271"/>
  <c r="BL273"/>
  <c r="G274"/>
  <c r="G282"/>
  <c r="BL285"/>
  <c r="G286"/>
  <c r="G295"/>
  <c r="BA144"/>
  <c r="AZ144" s="1"/>
  <c r="BL146"/>
  <c r="G162"/>
  <c r="G183"/>
  <c r="BA185"/>
  <c r="BL187"/>
  <c r="AZ187" s="1"/>
  <c r="BA188"/>
  <c r="AZ188" s="1"/>
  <c r="G199"/>
  <c r="BL206"/>
  <c r="G21"/>
  <c r="BL28"/>
  <c r="G29"/>
  <c r="BL40"/>
  <c r="G41"/>
  <c r="BA42"/>
  <c r="BL45"/>
  <c r="G54"/>
  <c r="BL75"/>
  <c r="G80"/>
  <c r="BA85"/>
  <c r="G92"/>
  <c r="G103"/>
  <c r="BL112"/>
  <c r="F3" i="35"/>
  <c r="I10" i="66"/>
  <c r="I21" s="1"/>
  <c r="BL503" i="3"/>
  <c r="BQ5"/>
  <c r="AZ556"/>
  <c r="AC31" i="34"/>
  <c r="W31"/>
  <c r="W28" i="21"/>
  <c r="AC28"/>
  <c r="W34" i="36"/>
  <c r="AC34"/>
  <c r="BL563" i="3"/>
  <c r="AZ563" s="1"/>
  <c r="G557"/>
  <c r="AZ554"/>
  <c r="AZ536"/>
  <c r="AZ528"/>
  <c r="AZ522"/>
  <c r="H73" i="43"/>
  <c r="H74"/>
  <c r="S15" i="37"/>
  <c r="AZ389" i="3"/>
  <c r="AZ362"/>
  <c r="S14" i="33"/>
  <c r="AA14"/>
  <c r="S39" i="37"/>
  <c r="AA39"/>
  <c r="W40" i="33"/>
  <c r="S8" i="36"/>
  <c r="U40" i="40"/>
  <c r="AB36" i="39"/>
  <c r="U36"/>
  <c r="F40" i="40"/>
  <c r="J40"/>
  <c r="AZ357" i="3"/>
  <c r="AZ334"/>
  <c r="AZ347"/>
  <c r="AZ342"/>
  <c r="AZ318"/>
  <c r="AZ304"/>
  <c r="J9" i="37"/>
  <c r="W9" s="1"/>
  <c r="W47" i="34"/>
  <c r="AB27" i="37"/>
  <c r="BL511" i="3"/>
  <c r="AZ511" s="1"/>
  <c r="BL569"/>
  <c r="AZ569" s="1"/>
  <c r="AZ576"/>
  <c r="U23" i="34"/>
  <c r="AB23"/>
  <c r="H40" i="37"/>
  <c r="U40" s="1"/>
  <c r="J40"/>
  <c r="H30" i="33"/>
  <c r="AB30" s="1"/>
  <c r="F30"/>
  <c r="J29" i="34"/>
  <c r="F29"/>
  <c r="S29" s="1"/>
  <c r="F13" i="35"/>
  <c r="S13" s="1"/>
  <c r="J13"/>
  <c r="AC13" s="1"/>
  <c r="F25"/>
  <c r="S25" s="1"/>
  <c r="H25"/>
  <c r="AB25" s="1"/>
  <c r="AC22"/>
  <c r="W22"/>
  <c r="BL568" i="3"/>
  <c r="BA568"/>
  <c r="BL567"/>
  <c r="BA567"/>
  <c r="BL566"/>
  <c r="AZ566" s="1"/>
  <c r="BA565"/>
  <c r="BL564"/>
  <c r="BA564"/>
  <c r="BA560"/>
  <c r="AZ560" s="1"/>
  <c r="BA559"/>
  <c r="BA558"/>
  <c r="BL557"/>
  <c r="BA557"/>
  <c r="BA555"/>
  <c r="BL552"/>
  <c r="BA552"/>
  <c r="BA548"/>
  <c r="BA547"/>
  <c r="AZ547" s="1"/>
  <c r="BL546"/>
  <c r="AZ546" s="1"/>
  <c r="BL544"/>
  <c r="AZ544" s="1"/>
  <c r="BL542"/>
  <c r="BA542"/>
  <c r="BA540"/>
  <c r="BA539"/>
  <c r="AZ539" s="1"/>
  <c r="BA534"/>
  <c r="AZ534" s="1"/>
  <c r="BL532"/>
  <c r="BA532"/>
  <c r="BA531"/>
  <c r="AZ531" s="1"/>
  <c r="BL530"/>
  <c r="AZ530" s="1"/>
  <c r="BL526"/>
  <c r="BA526"/>
  <c r="BL524"/>
  <c r="AZ524" s="1"/>
  <c r="BA523"/>
  <c r="AZ523" s="1"/>
  <c r="BA520"/>
  <c r="AZ520" s="1"/>
  <c r="BA518"/>
  <c r="AZ515"/>
  <c r="BA513"/>
  <c r="AZ513" s="1"/>
  <c r="BL512"/>
  <c r="BA512"/>
  <c r="BL510"/>
  <c r="AZ510" s="1"/>
  <c r="BL506"/>
  <c r="BA506"/>
  <c r="BL504"/>
  <c r="BA504"/>
  <c r="BA503"/>
  <c r="BA498"/>
  <c r="AZ498" s="1"/>
  <c r="BA496"/>
  <c r="AZ496" s="1"/>
  <c r="BA495"/>
  <c r="AZ495" s="1"/>
  <c r="BL494"/>
  <c r="AZ494" s="1"/>
  <c r="AZ369"/>
  <c r="AZ311"/>
  <c r="AZ344"/>
  <c r="AC31" i="33"/>
  <c r="BL529" i="3"/>
  <c r="AZ529" s="1"/>
  <c r="BL537"/>
  <c r="AZ537" s="1"/>
  <c r="BL545"/>
  <c r="AZ545" s="1"/>
  <c r="BL553"/>
  <c r="BL559"/>
  <c r="BL565"/>
  <c r="AZ587"/>
  <c r="AZ574"/>
  <c r="H45" i="34"/>
  <c r="U45" s="1"/>
  <c r="H29"/>
  <c r="AB29" s="1"/>
  <c r="F46" i="33"/>
  <c r="AA46" s="1"/>
  <c r="AB31"/>
  <c r="U31"/>
  <c r="AC29"/>
  <c r="W29"/>
  <c r="S41"/>
  <c r="AC35" i="39"/>
  <c r="W35"/>
  <c r="BA586" i="3"/>
  <c r="H13" i="21"/>
  <c r="J13"/>
  <c r="AC13" s="1"/>
  <c r="J29"/>
  <c r="AC29" s="1"/>
  <c r="H29"/>
  <c r="U29" s="1"/>
  <c r="B71" i="43"/>
  <c r="C21" i="39"/>
  <c r="AA8" i="33"/>
  <c r="S8"/>
  <c r="H12"/>
  <c r="J43" i="39"/>
  <c r="F43"/>
  <c r="AA43" s="1"/>
  <c r="AA34" i="40"/>
  <c r="S34"/>
  <c r="F36" i="39"/>
  <c r="J36"/>
  <c r="BL584" i="3"/>
  <c r="BA584"/>
  <c r="AZ584" s="1"/>
  <c r="BA583"/>
  <c r="AZ583" s="1"/>
  <c r="BL582"/>
  <c r="AZ582" s="1"/>
  <c r="BA581"/>
  <c r="BL580"/>
  <c r="AZ580" s="1"/>
  <c r="BL579"/>
  <c r="BA578"/>
  <c r="AZ578" s="1"/>
  <c r="BA575"/>
  <c r="AZ575" s="1"/>
  <c r="BA573"/>
  <c r="BA572"/>
  <c r="AZ572" s="1"/>
  <c r="BL570"/>
  <c r="AZ570" s="1"/>
  <c r="F44" i="21"/>
  <c r="AA44" s="1"/>
  <c r="AC8" i="35"/>
  <c r="AC16" i="36"/>
  <c r="J17" i="39"/>
  <c r="W8" i="40"/>
  <c r="H39" i="37"/>
  <c r="U33" i="33"/>
  <c r="S34" i="34"/>
  <c r="AC27" i="35"/>
  <c r="G558" i="3"/>
  <c r="BP5"/>
  <c r="G29" i="6" s="1"/>
  <c r="BR5" i="3"/>
  <c r="BA399"/>
  <c r="BL404"/>
  <c r="BL410"/>
  <c r="BA411"/>
  <c r="BL414"/>
  <c r="BA418"/>
  <c r="BL421"/>
  <c r="BL448"/>
  <c r="BA450"/>
  <c r="BA451"/>
  <c r="BL452"/>
  <c r="G454"/>
  <c r="BL457"/>
  <c r="G460"/>
  <c r="BA460"/>
  <c r="BL467"/>
  <c r="G469"/>
  <c r="BL505"/>
  <c r="AZ505" s="1"/>
  <c r="BL525"/>
  <c r="AZ525" s="1"/>
  <c r="BL533"/>
  <c r="AZ533" s="1"/>
  <c r="BL541"/>
  <c r="AZ541" s="1"/>
  <c r="BL561"/>
  <c r="AZ561" s="1"/>
  <c r="BL573"/>
  <c r="W39" i="33"/>
  <c r="S9"/>
  <c r="G587" i="3"/>
  <c r="F34" i="35"/>
  <c r="H26" i="37"/>
  <c r="G578" i="3"/>
  <c r="F7" i="1"/>
  <c r="G7" s="1"/>
  <c r="BA401" i="3"/>
  <c r="G404"/>
  <c r="BA405"/>
  <c r="AZ405" s="1"/>
  <c r="BL409"/>
  <c r="BA410"/>
  <c r="BL413"/>
  <c r="G414"/>
  <c r="BA415"/>
  <c r="AZ415" s="1"/>
  <c r="BL420"/>
  <c r="G421"/>
  <c r="BL426"/>
  <c r="BA427"/>
  <c r="BL430"/>
  <c r="G431"/>
  <c r="G438"/>
  <c r="G443"/>
  <c r="BA445"/>
  <c r="BL447"/>
  <c r="BA448"/>
  <c r="G463"/>
  <c r="BA465"/>
  <c r="BL466"/>
  <c r="BA468"/>
  <c r="BL471"/>
  <c r="BA473"/>
  <c r="BL479"/>
  <c r="BA481"/>
  <c r="G491"/>
  <c r="BL308"/>
  <c r="AZ308" s="1"/>
  <c r="BA332"/>
  <c r="BL348"/>
  <c r="BA349"/>
  <c r="AZ349" s="1"/>
  <c r="BA214"/>
  <c r="BL16"/>
  <c r="AZ16" s="1"/>
  <c r="BL399"/>
  <c r="G402"/>
  <c r="BA406"/>
  <c r="BL407"/>
  <c r="G408"/>
  <c r="BA409"/>
  <c r="G413"/>
  <c r="BA417"/>
  <c r="G420"/>
  <c r="BA421"/>
  <c r="AZ421" s="1"/>
  <c r="BL424"/>
  <c r="G425"/>
  <c r="BA426"/>
  <c r="BL429"/>
  <c r="G430"/>
  <c r="BA431"/>
  <c r="AZ431" s="1"/>
  <c r="BL436"/>
  <c r="G437"/>
  <c r="BL440"/>
  <c r="G441"/>
  <c r="BA443"/>
  <c r="G451"/>
  <c r="BL455"/>
  <c r="G456"/>
  <c r="BA457"/>
  <c r="G462"/>
  <c r="BA487"/>
  <c r="BL489"/>
  <c r="G490"/>
  <c r="BL317"/>
  <c r="BL324"/>
  <c r="AZ324" s="1"/>
  <c r="BL354"/>
  <c r="BL363"/>
  <c r="AZ363" s="1"/>
  <c r="BA396"/>
  <c r="BL209"/>
  <c r="AZ209" s="1"/>
  <c r="G429"/>
  <c r="BA433"/>
  <c r="G436"/>
  <c r="BA437"/>
  <c r="BL473"/>
  <c r="G477"/>
  <c r="BA478"/>
  <c r="BL481"/>
  <c r="BL484"/>
  <c r="G485"/>
  <c r="BA486"/>
  <c r="BL488"/>
  <c r="G489"/>
  <c r="BA490"/>
  <c r="BA319"/>
  <c r="AZ319" s="1"/>
  <c r="BA323"/>
  <c r="AZ323" s="1"/>
  <c r="BL330"/>
  <c r="AZ330" s="1"/>
  <c r="G331"/>
  <c r="BA333"/>
  <c r="AZ333" s="1"/>
  <c r="BL359"/>
  <c r="AZ359" s="1"/>
  <c r="BL367"/>
  <c r="BA370"/>
  <c r="AZ370" s="1"/>
  <c r="BL381"/>
  <c r="AZ381" s="1"/>
  <c r="BL386"/>
  <c r="G392"/>
  <c r="G396"/>
  <c r="G397"/>
  <c r="BA397"/>
  <c r="AZ397" s="1"/>
  <c r="BA211"/>
  <c r="G213"/>
  <c r="G214"/>
  <c r="BA217"/>
  <c r="G221"/>
  <c r="BL224"/>
  <c r="G227"/>
  <c r="BA228"/>
  <c r="BL231"/>
  <c r="G232"/>
  <c r="BA235"/>
  <c r="G237"/>
  <c r="BA238"/>
  <c r="BL241"/>
  <c r="AZ241" s="1"/>
  <c r="G249"/>
  <c r="BA250"/>
  <c r="BL253"/>
  <c r="G254"/>
  <c r="BA259"/>
  <c r="G263"/>
  <c r="BL274"/>
  <c r="G276"/>
  <c r="BA277"/>
  <c r="BL279"/>
  <c r="G280"/>
  <c r="BL284"/>
  <c r="BA213"/>
  <c r="BL283"/>
  <c r="BA182"/>
  <c r="BA55"/>
  <c r="BA434"/>
  <c r="BL437"/>
  <c r="G439"/>
  <c r="BL443"/>
  <c r="G446"/>
  <c r="G447"/>
  <c r="BA447"/>
  <c r="BL450"/>
  <c r="G452"/>
  <c r="BA453"/>
  <c r="BL456"/>
  <c r="G457"/>
  <c r="BA459"/>
  <c r="BL462"/>
  <c r="G466"/>
  <c r="BL470"/>
  <c r="G471"/>
  <c r="BA476"/>
  <c r="BL478"/>
  <c r="BA479"/>
  <c r="BL485"/>
  <c r="G486"/>
  <c r="G487"/>
  <c r="BL490"/>
  <c r="G492"/>
  <c r="BA303"/>
  <c r="AZ303" s="1"/>
  <c r="BA307"/>
  <c r="AZ307" s="1"/>
  <c r="BL314"/>
  <c r="AZ314" s="1"/>
  <c r="G315"/>
  <c r="BA317"/>
  <c r="BA335"/>
  <c r="AZ335" s="1"/>
  <c r="BA339"/>
  <c r="AZ339" s="1"/>
  <c r="G347"/>
  <c r="BA348"/>
  <c r="AZ348" s="1"/>
  <c r="BL350"/>
  <c r="G351"/>
  <c r="BA353"/>
  <c r="G380"/>
  <c r="BA386"/>
  <c r="G209"/>
  <c r="BL215"/>
  <c r="G218"/>
  <c r="BA219"/>
  <c r="AZ219" s="1"/>
  <c r="BL222"/>
  <c r="G223"/>
  <c r="BA224"/>
  <c r="BA226"/>
  <c r="BL229"/>
  <c r="BL233"/>
  <c r="G234"/>
  <c r="BL239"/>
  <c r="BA240"/>
  <c r="AZ240" s="1"/>
  <c r="BL243"/>
  <c r="G247"/>
  <c r="G252"/>
  <c r="G260"/>
  <c r="BL260"/>
  <c r="BA261"/>
  <c r="AZ261" s="1"/>
  <c r="BL267"/>
  <c r="BL272"/>
  <c r="G273"/>
  <c r="BA274"/>
  <c r="BA275"/>
  <c r="BA291"/>
  <c r="BA300"/>
  <c r="BL302"/>
  <c r="BA140"/>
  <c r="AZ140" s="1"/>
  <c r="BA218"/>
  <c r="BL221"/>
  <c r="BL228"/>
  <c r="BA229"/>
  <c r="BL232"/>
  <c r="BA239"/>
  <c r="BL254"/>
  <c r="BA260"/>
  <c r="BL263"/>
  <c r="AZ263" s="1"/>
  <c r="BA122"/>
  <c r="BA126"/>
  <c r="BL48"/>
  <c r="BA134"/>
  <c r="BL137"/>
  <c r="BL142"/>
  <c r="AZ142" s="1"/>
  <c r="BA145"/>
  <c r="BA149"/>
  <c r="BA154"/>
  <c r="BA169"/>
  <c r="BL171"/>
  <c r="AZ171" s="1"/>
  <c r="BA172"/>
  <c r="AZ172" s="1"/>
  <c r="BL175"/>
  <c r="AZ175" s="1"/>
  <c r="BA181"/>
  <c r="BA186"/>
  <c r="BA201"/>
  <c r="BL203"/>
  <c r="AZ203" s="1"/>
  <c r="BA204"/>
  <c r="AZ204" s="1"/>
  <c r="BA207"/>
  <c r="BA26"/>
  <c r="AZ26" s="1"/>
  <c r="BA32"/>
  <c r="BA36"/>
  <c r="BL53"/>
  <c r="BA66"/>
  <c r="AZ66" s="1"/>
  <c r="BL72"/>
  <c r="AZ72" s="1"/>
  <c r="BL79"/>
  <c r="BL90"/>
  <c r="BA99"/>
  <c r="BL101"/>
  <c r="BA104"/>
  <c r="D67" i="43"/>
  <c r="I100"/>
  <c r="BL286" i="3"/>
  <c r="BA289"/>
  <c r="BA297"/>
  <c r="BL297"/>
  <c r="BL298"/>
  <c r="G299"/>
  <c r="BL113"/>
  <c r="G114"/>
  <c r="BL121"/>
  <c r="BA125"/>
  <c r="G128"/>
  <c r="G132"/>
  <c r="BA133"/>
  <c r="G136"/>
  <c r="BA138"/>
  <c r="BL141"/>
  <c r="BL147"/>
  <c r="AZ147" s="1"/>
  <c r="BA148"/>
  <c r="AZ148" s="1"/>
  <c r="BL151"/>
  <c r="AZ151" s="1"/>
  <c r="G152"/>
  <c r="BA157"/>
  <c r="BA162"/>
  <c r="G166"/>
  <c r="G170"/>
  <c r="G171"/>
  <c r="G175"/>
  <c r="BA177"/>
  <c r="BL179"/>
  <c r="AZ179" s="1"/>
  <c r="BA180"/>
  <c r="AZ180" s="1"/>
  <c r="BL183"/>
  <c r="AZ183" s="1"/>
  <c r="G184"/>
  <c r="BA189"/>
  <c r="BA194"/>
  <c r="G198"/>
  <c r="G202"/>
  <c r="G203"/>
  <c r="G18"/>
  <c r="BA20"/>
  <c r="G22"/>
  <c r="BL22"/>
  <c r="BO5"/>
  <c r="BL29"/>
  <c r="G30"/>
  <c r="G31"/>
  <c r="BA33"/>
  <c r="G34"/>
  <c r="BL34"/>
  <c r="G38"/>
  <c r="G42"/>
  <c r="BA43"/>
  <c r="BL52"/>
  <c r="G53"/>
  <c r="BA54"/>
  <c r="G57"/>
  <c r="G58"/>
  <c r="BA59"/>
  <c r="BL64"/>
  <c r="G68"/>
  <c r="BA71"/>
  <c r="G72"/>
  <c r="BL78"/>
  <c r="G79"/>
  <c r="G84"/>
  <c r="G85"/>
  <c r="BA89"/>
  <c r="G90"/>
  <c r="BL96"/>
  <c r="BA98"/>
  <c r="BA100"/>
  <c r="G101"/>
  <c r="G106"/>
  <c r="G112"/>
  <c r="G100" i="43"/>
  <c r="I15" i="66"/>
  <c r="BL282" i="3"/>
  <c r="G283"/>
  <c r="BA287"/>
  <c r="BL289"/>
  <c r="G291"/>
  <c r="G292"/>
  <c r="BA292"/>
  <c r="AZ292" s="1"/>
  <c r="BL301"/>
  <c r="G302"/>
  <c r="G116"/>
  <c r="BA117"/>
  <c r="BL118"/>
  <c r="G126"/>
  <c r="BL129"/>
  <c r="G134"/>
  <c r="BL138"/>
  <c r="BA141"/>
  <c r="G144"/>
  <c r="BL145"/>
  <c r="BA146"/>
  <c r="AZ146" s="1"/>
  <c r="G150"/>
  <c r="G154"/>
  <c r="G155"/>
  <c r="G159"/>
  <c r="BA161"/>
  <c r="BL163"/>
  <c r="AZ163" s="1"/>
  <c r="BA164"/>
  <c r="AZ164" s="1"/>
  <c r="BL167"/>
  <c r="AZ167" s="1"/>
  <c r="G168"/>
  <c r="BA173"/>
  <c r="BA178"/>
  <c r="G182"/>
  <c r="G186"/>
  <c r="G187"/>
  <c r="G191"/>
  <c r="BA193"/>
  <c r="BL195"/>
  <c r="AZ195" s="1"/>
  <c r="BA196"/>
  <c r="AZ196" s="1"/>
  <c r="BL199"/>
  <c r="AZ199" s="1"/>
  <c r="G200"/>
  <c r="G205"/>
  <c r="G24"/>
  <c r="G28"/>
  <c r="G32"/>
  <c r="G36"/>
  <c r="BL36"/>
  <c r="BA37"/>
  <c r="BA39"/>
  <c r="G40"/>
  <c r="BL44"/>
  <c r="BL47"/>
  <c r="G50"/>
  <c r="BL59"/>
  <c r="G60"/>
  <c r="BA65"/>
  <c r="G66"/>
  <c r="BL69"/>
  <c r="G70"/>
  <c r="G77"/>
  <c r="BL80"/>
  <c r="BL81"/>
  <c r="G82"/>
  <c r="BL86"/>
  <c r="BL87"/>
  <c r="BL91"/>
  <c r="BA105"/>
  <c r="BL108"/>
  <c r="BA110"/>
  <c r="BA77"/>
  <c r="BA88"/>
  <c r="BA109"/>
  <c r="BA30"/>
  <c r="BA31"/>
  <c r="G39"/>
  <c r="BA45"/>
  <c r="AZ45" s="1"/>
  <c r="BA46"/>
  <c r="BA57"/>
  <c r="BA62"/>
  <c r="G71"/>
  <c r="BA108"/>
  <c r="G33"/>
  <c r="BA34"/>
  <c r="BA35"/>
  <c r="BA38"/>
  <c r="G44"/>
  <c r="BA44"/>
  <c r="G55"/>
  <c r="G64"/>
  <c r="BA64"/>
  <c r="BA67"/>
  <c r="BA70"/>
  <c r="BA76"/>
  <c r="BA51"/>
  <c r="BA63"/>
  <c r="G78"/>
  <c r="BS5"/>
  <c r="F28" i="6" s="1"/>
  <c r="E28" s="1"/>
  <c r="BL27" i="3"/>
  <c r="F17" i="21"/>
  <c r="AA17" s="1"/>
  <c r="U43"/>
  <c r="AB38"/>
  <c r="H35"/>
  <c r="AB35" s="1"/>
  <c r="AC35"/>
  <c r="S34"/>
  <c r="S40"/>
  <c r="U34"/>
  <c r="U26"/>
  <c r="U10"/>
  <c r="C5" i="11"/>
  <c r="S42" i="39"/>
  <c r="AA41"/>
  <c r="W40"/>
  <c r="U40"/>
  <c r="S40"/>
  <c r="AB34"/>
  <c r="S34"/>
  <c r="F25"/>
  <c r="AA25" s="1"/>
  <c r="J25"/>
  <c r="H25"/>
  <c r="AB25" s="1"/>
  <c r="S31"/>
  <c r="W27"/>
  <c r="W23"/>
  <c r="U17"/>
  <c r="F6" i="1"/>
  <c r="I20" i="43" s="1"/>
  <c r="C20" s="1"/>
  <c r="W8" i="39"/>
  <c r="M11" i="43"/>
  <c r="N4"/>
  <c r="F35"/>
  <c r="I17"/>
  <c r="M6"/>
  <c r="H113"/>
  <c r="F39"/>
  <c r="N2"/>
  <c r="A15" i="62"/>
  <c r="B61" i="72" s="1"/>
  <c r="G11" i="1"/>
  <c r="G10"/>
  <c r="BA25" i="3"/>
  <c r="BL21"/>
  <c r="BL18"/>
  <c r="BL25"/>
  <c r="BA23"/>
  <c r="BH5"/>
  <c r="BA21"/>
  <c r="G25"/>
  <c r="BA24"/>
  <c r="BA19"/>
  <c r="BA17"/>
  <c r="I4" i="6"/>
  <c r="BJ5" i="3"/>
  <c r="BF5"/>
  <c r="BI5"/>
  <c r="BE5"/>
  <c r="AC5"/>
  <c r="BA15"/>
  <c r="BD5"/>
  <c r="BB5"/>
  <c r="BC5"/>
  <c r="H5"/>
  <c r="D59" i="43"/>
  <c r="D63"/>
  <c r="D66"/>
  <c r="D62"/>
  <c r="D65"/>
  <c r="D61"/>
  <c r="D64"/>
  <c r="D60"/>
  <c r="H87"/>
  <c r="H82"/>
  <c r="H75"/>
  <c r="H49"/>
  <c r="H50"/>
  <c r="AZ507" i="3"/>
  <c r="AZ521"/>
  <c r="AZ553"/>
  <c r="AZ579"/>
  <c r="AZ581"/>
  <c r="AZ518"/>
  <c r="AZ538"/>
  <c r="AA13" i="35"/>
  <c r="F12" i="34"/>
  <c r="J12"/>
  <c r="AA10" i="36"/>
  <c r="S10"/>
  <c r="J12"/>
  <c r="H12"/>
  <c r="J23"/>
  <c r="AC23" s="1"/>
  <c r="H23"/>
  <c r="AB23" s="1"/>
  <c r="AB14" i="37"/>
  <c r="U14"/>
  <c r="AB9" i="39"/>
  <c r="U9"/>
  <c r="AZ372" i="3"/>
  <c r="AZ337"/>
  <c r="U12" i="37"/>
  <c r="AZ555" i="3"/>
  <c r="AZ557"/>
  <c r="AZ532"/>
  <c r="AZ540"/>
  <c r="S11" i="36"/>
  <c r="AA14" i="37"/>
  <c r="AA44" i="33"/>
  <c r="AA9" i="34"/>
  <c r="S9"/>
  <c r="AA34" i="35"/>
  <c r="S34"/>
  <c r="J9" i="36"/>
  <c r="AC9" s="1"/>
  <c r="H9"/>
  <c r="AB9" i="40"/>
  <c r="U9"/>
  <c r="H48" i="43"/>
  <c r="AZ345" i="3"/>
  <c r="AZ371"/>
  <c r="AZ336"/>
  <c r="AZ329"/>
  <c r="AZ321"/>
  <c r="AC12" i="37"/>
  <c r="AZ565" i="3"/>
  <c r="AZ542"/>
  <c r="AZ552"/>
  <c r="AB30" i="21"/>
  <c r="U46" i="33"/>
  <c r="G585" i="3"/>
  <c r="AC28" i="35"/>
  <c r="W28"/>
  <c r="U12"/>
  <c r="AB12"/>
  <c r="H36"/>
  <c r="AB36" s="1"/>
  <c r="J36"/>
  <c r="H45" i="39"/>
  <c r="F45"/>
  <c r="S45" s="1"/>
  <c r="J45"/>
  <c r="AZ320" i="3"/>
  <c r="AZ313"/>
  <c r="B77" i="43"/>
  <c r="C25" i="39"/>
  <c r="H12" i="34"/>
  <c r="F23" i="36"/>
  <c r="AA23" s="1"/>
  <c r="H33"/>
  <c r="AB33" s="1"/>
  <c r="F33"/>
  <c r="AA33" s="1"/>
  <c r="AB31"/>
  <c r="U31"/>
  <c r="AB38" i="40"/>
  <c r="U38"/>
  <c r="AC32"/>
  <c r="W32"/>
  <c r="J39"/>
  <c r="AC39" s="1"/>
  <c r="H39"/>
  <c r="U41" i="21"/>
  <c r="AB41"/>
  <c r="AA40" i="33"/>
  <c r="S40"/>
  <c r="W38" i="34"/>
  <c r="AC38"/>
  <c r="AB34" i="37"/>
  <c r="U34"/>
  <c r="W31" i="35"/>
  <c r="AC31"/>
  <c r="AZ409" i="3"/>
  <c r="AZ410"/>
  <c r="AZ411"/>
  <c r="AZ426"/>
  <c r="AZ427"/>
  <c r="AZ443"/>
  <c r="AZ447"/>
  <c r="AZ448"/>
  <c r="AZ450"/>
  <c r="AZ460"/>
  <c r="AZ462"/>
  <c r="AZ478"/>
  <c r="AZ479"/>
  <c r="AZ481"/>
  <c r="J12" i="21"/>
  <c r="AC12" s="1"/>
  <c r="H23" i="35"/>
  <c r="H24" i="36"/>
  <c r="AB24" s="1"/>
  <c r="G582" i="3"/>
  <c r="G552"/>
  <c r="BA551"/>
  <c r="AZ551" s="1"/>
  <c r="G551"/>
  <c r="BL548"/>
  <c r="AZ548" s="1"/>
  <c r="G526"/>
  <c r="BL15"/>
  <c r="BA398"/>
  <c r="AZ398" s="1"/>
  <c r="G401"/>
  <c r="BL401"/>
  <c r="BA404"/>
  <c r="AZ404" s="1"/>
  <c r="BL406"/>
  <c r="AZ406" s="1"/>
  <c r="BA413"/>
  <c r="AZ413" s="1"/>
  <c r="BA414"/>
  <c r="AZ414" s="1"/>
  <c r="G417"/>
  <c r="BL417"/>
  <c r="AZ417" s="1"/>
  <c r="BA420"/>
  <c r="AZ420" s="1"/>
  <c r="BL422"/>
  <c r="AZ422" s="1"/>
  <c r="BA429"/>
  <c r="AZ429" s="1"/>
  <c r="BA430"/>
  <c r="AZ430" s="1"/>
  <c r="G433"/>
  <c r="BL433"/>
  <c r="AZ433" s="1"/>
  <c r="BA436"/>
  <c r="AZ436" s="1"/>
  <c r="BL438"/>
  <c r="AZ438" s="1"/>
  <c r="G445"/>
  <c r="BL445"/>
  <c r="AZ445" s="1"/>
  <c r="BL451"/>
  <c r="AZ451" s="1"/>
  <c r="BA455"/>
  <c r="AZ455" s="1"/>
  <c r="BA456"/>
  <c r="AZ456" s="1"/>
  <c r="BL458"/>
  <c r="AZ458" s="1"/>
  <c r="G464"/>
  <c r="G465"/>
  <c r="BL465"/>
  <c r="BA470"/>
  <c r="AZ470" s="1"/>
  <c r="BA471"/>
  <c r="AZ471" s="1"/>
  <c r="BA472"/>
  <c r="AZ472" s="1"/>
  <c r="G475"/>
  <c r="G476"/>
  <c r="BL476"/>
  <c r="AZ476" s="1"/>
  <c r="G483"/>
  <c r="BA488"/>
  <c r="AZ488" s="1"/>
  <c r="BA489"/>
  <c r="AZ489" s="1"/>
  <c r="BL491"/>
  <c r="AZ491" s="1"/>
  <c r="G313"/>
  <c r="BA315"/>
  <c r="AZ315" s="1"/>
  <c r="G329"/>
  <c r="BA331"/>
  <c r="AZ331" s="1"/>
  <c r="BL353"/>
  <c r="AZ353" s="1"/>
  <c r="G228"/>
  <c r="BA234"/>
  <c r="BL237"/>
  <c r="AZ239"/>
  <c r="BL249"/>
  <c r="AZ260"/>
  <c r="G271"/>
  <c r="BL276"/>
  <c r="BA284"/>
  <c r="AZ284" s="1"/>
  <c r="BL586"/>
  <c r="BL585"/>
  <c r="AZ585" s="1"/>
  <c r="BA400"/>
  <c r="AZ400" s="1"/>
  <c r="BL402"/>
  <c r="AZ402" s="1"/>
  <c r="BL408"/>
  <c r="AZ408" s="1"/>
  <c r="BA416"/>
  <c r="AZ416" s="1"/>
  <c r="BL418"/>
  <c r="AZ418" s="1"/>
  <c r="BL425"/>
  <c r="AZ425" s="1"/>
  <c r="BA432"/>
  <c r="AZ432" s="1"/>
  <c r="BL434"/>
  <c r="AZ434" s="1"/>
  <c r="BL441"/>
  <c r="BA444"/>
  <c r="AZ444" s="1"/>
  <c r="BL446"/>
  <c r="AZ446" s="1"/>
  <c r="BL453"/>
  <c r="AZ453" s="1"/>
  <c r="BL459"/>
  <c r="AZ459" s="1"/>
  <c r="BA463"/>
  <c r="AZ463" s="1"/>
  <c r="BA464"/>
  <c r="AZ464" s="1"/>
  <c r="BL468"/>
  <c r="AZ468" s="1"/>
  <c r="BA474"/>
  <c r="AZ474" s="1"/>
  <c r="BA475"/>
  <c r="AZ475" s="1"/>
  <c r="BL477"/>
  <c r="AZ477" s="1"/>
  <c r="BA482"/>
  <c r="AZ482" s="1"/>
  <c r="BA483"/>
  <c r="AZ483" s="1"/>
  <c r="BL486"/>
  <c r="AZ486" s="1"/>
  <c r="BA354"/>
  <c r="AZ354" s="1"/>
  <c r="BA367"/>
  <c r="BA384"/>
  <c r="AZ384" s="1"/>
  <c r="BL212"/>
  <c r="BA215"/>
  <c r="AZ215" s="1"/>
  <c r="BL236"/>
  <c r="BA243"/>
  <c r="AZ243" s="1"/>
  <c r="BL248"/>
  <c r="BL269"/>
  <c r="F26" i="33"/>
  <c r="W9" i="34"/>
  <c r="G566" i="3"/>
  <c r="BL550"/>
  <c r="BA550"/>
  <c r="AZ550" s="1"/>
  <c r="G14"/>
  <c r="BL403"/>
  <c r="AZ403" s="1"/>
  <c r="BA407"/>
  <c r="AZ407" s="1"/>
  <c r="G410"/>
  <c r="G411"/>
  <c r="G412"/>
  <c r="BL412"/>
  <c r="BL419"/>
  <c r="AZ419" s="1"/>
  <c r="BA423"/>
  <c r="AZ423" s="1"/>
  <c r="BA424"/>
  <c r="AZ424" s="1"/>
  <c r="G427"/>
  <c r="G428"/>
  <c r="BL428"/>
  <c r="BL435"/>
  <c r="AZ435" s="1"/>
  <c r="BA439"/>
  <c r="AZ439" s="1"/>
  <c r="BA440"/>
  <c r="AZ440" s="1"/>
  <c r="BL442"/>
  <c r="AZ442" s="1"/>
  <c r="G448"/>
  <c r="G449"/>
  <c r="BL449"/>
  <c r="AZ449" s="1"/>
  <c r="BA452"/>
  <c r="AZ452" s="1"/>
  <c r="BL454"/>
  <c r="AZ454" s="1"/>
  <c r="G461"/>
  <c r="BL461"/>
  <c r="AZ461" s="1"/>
  <c r="BA466"/>
  <c r="AZ466" s="1"/>
  <c r="BA467"/>
  <c r="AZ467" s="1"/>
  <c r="BL469"/>
  <c r="AZ469" s="1"/>
  <c r="G479"/>
  <c r="G480"/>
  <c r="BL480"/>
  <c r="AZ480" s="1"/>
  <c r="BA484"/>
  <c r="AZ484" s="1"/>
  <c r="BA485"/>
  <c r="AZ485" s="1"/>
  <c r="BL487"/>
  <c r="AZ487" s="1"/>
  <c r="BA492"/>
  <c r="AZ492" s="1"/>
  <c r="BL316"/>
  <c r="AZ316" s="1"/>
  <c r="G318"/>
  <c r="BL332"/>
  <c r="AZ332" s="1"/>
  <c r="G334"/>
  <c r="BL346"/>
  <c r="AZ346" s="1"/>
  <c r="G349"/>
  <c r="BA350"/>
  <c r="AZ350" s="1"/>
  <c r="BA366"/>
  <c r="AZ366" s="1"/>
  <c r="BL368"/>
  <c r="G219"/>
  <c r="BA258"/>
  <c r="BA266"/>
  <c r="AZ294"/>
  <c r="AZ38"/>
  <c r="G366"/>
  <c r="BA368"/>
  <c r="BA385"/>
  <c r="AZ385" s="1"/>
  <c r="BA388"/>
  <c r="AZ388" s="1"/>
  <c r="BA392"/>
  <c r="AZ392" s="1"/>
  <c r="G395"/>
  <c r="BL395"/>
  <c r="AZ395" s="1"/>
  <c r="G211"/>
  <c r="BL211"/>
  <c r="AZ211" s="1"/>
  <c r="G217"/>
  <c r="BL217"/>
  <c r="AZ217" s="1"/>
  <c r="BA221"/>
  <c r="AZ221" s="1"/>
  <c r="BA222"/>
  <c r="AZ222" s="1"/>
  <c r="BA223"/>
  <c r="AZ223" s="1"/>
  <c r="G226"/>
  <c r="BL226"/>
  <c r="AZ226" s="1"/>
  <c r="BA231"/>
  <c r="AZ231" s="1"/>
  <c r="BA232"/>
  <c r="AZ232" s="1"/>
  <c r="BA233"/>
  <c r="AZ233" s="1"/>
  <c r="BL235"/>
  <c r="AZ235" s="1"/>
  <c r="G245"/>
  <c r="G246"/>
  <c r="BL246"/>
  <c r="AZ246" s="1"/>
  <c r="BA252"/>
  <c r="AZ252" s="1"/>
  <c r="BA253"/>
  <c r="AZ253" s="1"/>
  <c r="G256"/>
  <c r="G257"/>
  <c r="G258"/>
  <c r="BL258"/>
  <c r="G265"/>
  <c r="G266"/>
  <c r="BL266"/>
  <c r="BA272"/>
  <c r="AZ272" s="1"/>
  <c r="BA273"/>
  <c r="AZ273" s="1"/>
  <c r="BL275"/>
  <c r="AZ275" s="1"/>
  <c r="BL278"/>
  <c r="BA280"/>
  <c r="BA282"/>
  <c r="AZ282" s="1"/>
  <c r="BA283"/>
  <c r="AZ283" s="1"/>
  <c r="G288"/>
  <c r="BL288"/>
  <c r="AZ288" s="1"/>
  <c r="BL295"/>
  <c r="G296"/>
  <c r="BA299"/>
  <c r="BA116"/>
  <c r="AZ116" s="1"/>
  <c r="BL393"/>
  <c r="AZ393" s="1"/>
  <c r="BL396"/>
  <c r="AZ396" s="1"/>
  <c r="BA210"/>
  <c r="AZ210" s="1"/>
  <c r="BL213"/>
  <c r="AZ213" s="1"/>
  <c r="BA216"/>
  <c r="AZ216" s="1"/>
  <c r="BL218"/>
  <c r="AZ218" s="1"/>
  <c r="BA225"/>
  <c r="AZ225" s="1"/>
  <c r="BL227"/>
  <c r="AZ227" s="1"/>
  <c r="BL238"/>
  <c r="BA244"/>
  <c r="AZ244" s="1"/>
  <c r="BA245"/>
  <c r="AZ245" s="1"/>
  <c r="BL250"/>
  <c r="AZ250" s="1"/>
  <c r="BA255"/>
  <c r="AZ255" s="1"/>
  <c r="BA256"/>
  <c r="AZ256" s="1"/>
  <c r="BA257"/>
  <c r="AZ257" s="1"/>
  <c r="BL259"/>
  <c r="AZ259" s="1"/>
  <c r="BA264"/>
  <c r="AZ264" s="1"/>
  <c r="BA265"/>
  <c r="AZ265" s="1"/>
  <c r="G268"/>
  <c r="G269"/>
  <c r="G270"/>
  <c r="BL270"/>
  <c r="AZ270" s="1"/>
  <c r="G277"/>
  <c r="BL277"/>
  <c r="AZ277" s="1"/>
  <c r="G278"/>
  <c r="BA279"/>
  <c r="AZ279" s="1"/>
  <c r="BA286"/>
  <c r="G290"/>
  <c r="BL290"/>
  <c r="AZ290" s="1"/>
  <c r="BL291"/>
  <c r="AZ291" s="1"/>
  <c r="BL294"/>
  <c r="BA296"/>
  <c r="AZ296" s="1"/>
  <c r="BA298"/>
  <c r="AZ298" s="1"/>
  <c r="BL123"/>
  <c r="AZ123" s="1"/>
  <c r="G362"/>
  <c r="G378"/>
  <c r="BL383"/>
  <c r="AZ383" s="1"/>
  <c r="G208"/>
  <c r="BL208"/>
  <c r="AZ208" s="1"/>
  <c r="BA212"/>
  <c r="AZ212" s="1"/>
  <c r="BL214"/>
  <c r="AZ214" s="1"/>
  <c r="G220"/>
  <c r="BL220"/>
  <c r="AZ220" s="1"/>
  <c r="G229"/>
  <c r="G230"/>
  <c r="BL230"/>
  <c r="AZ230" s="1"/>
  <c r="BA236"/>
  <c r="AZ236" s="1"/>
  <c r="BA237"/>
  <c r="G240"/>
  <c r="G241"/>
  <c r="G242"/>
  <c r="BL242"/>
  <c r="AZ242" s="1"/>
  <c r="BA247"/>
  <c r="AZ247" s="1"/>
  <c r="BA248"/>
  <c r="BA249"/>
  <c r="AZ249" s="1"/>
  <c r="BL251"/>
  <c r="AZ251" s="1"/>
  <c r="G261"/>
  <c r="G262"/>
  <c r="BL262"/>
  <c r="AZ262" s="1"/>
  <c r="BA267"/>
  <c r="AZ267" s="1"/>
  <c r="BA268"/>
  <c r="AZ268" s="1"/>
  <c r="BA269"/>
  <c r="AZ269" s="1"/>
  <c r="BL271"/>
  <c r="AZ271" s="1"/>
  <c r="BA276"/>
  <c r="BA278"/>
  <c r="BL280"/>
  <c r="G281"/>
  <c r="BL281"/>
  <c r="AZ289"/>
  <c r="G294"/>
  <c r="BA295"/>
  <c r="AZ295" s="1"/>
  <c r="BL299"/>
  <c r="G300"/>
  <c r="BL300"/>
  <c r="AZ300" s="1"/>
  <c r="BL115"/>
  <c r="AZ115" s="1"/>
  <c r="BA118"/>
  <c r="AZ118" s="1"/>
  <c r="BA121"/>
  <c r="AZ121" s="1"/>
  <c r="G124"/>
  <c r="G127"/>
  <c r="G130"/>
  <c r="G131"/>
  <c r="BL133"/>
  <c r="AZ133" s="1"/>
  <c r="BL135"/>
  <c r="AZ135" s="1"/>
  <c r="BL139"/>
  <c r="AZ139" s="1"/>
  <c r="BL143"/>
  <c r="AZ143" s="1"/>
  <c r="BL149"/>
  <c r="BL162"/>
  <c r="AZ162" s="1"/>
  <c r="BL165"/>
  <c r="BL178"/>
  <c r="AZ178" s="1"/>
  <c r="BL181"/>
  <c r="BL194"/>
  <c r="AZ194" s="1"/>
  <c r="BL197"/>
  <c r="BA205"/>
  <c r="AZ205" s="1"/>
  <c r="BA206"/>
  <c r="AZ206" s="1"/>
  <c r="BL19"/>
  <c r="BA22"/>
  <c r="AZ22" s="1"/>
  <c r="BL24"/>
  <c r="AZ24" s="1"/>
  <c r="BL32"/>
  <c r="BL37"/>
  <c r="AZ37" s="1"/>
  <c r="BL38"/>
  <c r="AZ44"/>
  <c r="BA47"/>
  <c r="AZ47" s="1"/>
  <c r="BA48"/>
  <c r="AZ48" s="1"/>
  <c r="BA50"/>
  <c r="AZ50" s="1"/>
  <c r="BL54"/>
  <c r="AZ54" s="1"/>
  <c r="BL56"/>
  <c r="BL82"/>
  <c r="G89"/>
  <c r="BA91"/>
  <c r="AZ91" s="1"/>
  <c r="BA95"/>
  <c r="BL97"/>
  <c r="AZ99"/>
  <c r="BL103"/>
  <c r="BA107"/>
  <c r="BL109"/>
  <c r="AZ109" s="1"/>
  <c r="AZ126"/>
  <c r="BA129"/>
  <c r="AZ129" s="1"/>
  <c r="BA130"/>
  <c r="AZ130" s="1"/>
  <c r="G135"/>
  <c r="G138"/>
  <c r="G139"/>
  <c r="G142"/>
  <c r="G143"/>
  <c r="G146"/>
  <c r="G147"/>
  <c r="G148"/>
  <c r="BL150"/>
  <c r="AZ150" s="1"/>
  <c r="BL153"/>
  <c r="AZ153" s="1"/>
  <c r="BA160"/>
  <c r="AZ160" s="1"/>
  <c r="G164"/>
  <c r="BL166"/>
  <c r="AZ166" s="1"/>
  <c r="BL169"/>
  <c r="AZ169" s="1"/>
  <c r="BA176"/>
  <c r="AZ176" s="1"/>
  <c r="G180"/>
  <c r="BL182"/>
  <c r="AZ182" s="1"/>
  <c r="BL185"/>
  <c r="AZ185" s="1"/>
  <c r="BA192"/>
  <c r="AZ192" s="1"/>
  <c r="G196"/>
  <c r="BL198"/>
  <c r="AZ198" s="1"/>
  <c r="BL201"/>
  <c r="AZ201" s="1"/>
  <c r="BA18"/>
  <c r="AZ18" s="1"/>
  <c r="BL20"/>
  <c r="AZ20" s="1"/>
  <c r="G26"/>
  <c r="BL26"/>
  <c r="BL33"/>
  <c r="AZ33" s="1"/>
  <c r="G37"/>
  <c r="BL39"/>
  <c r="AZ39" s="1"/>
  <c r="BL41"/>
  <c r="AZ104"/>
  <c r="BL117"/>
  <c r="AZ117" s="1"/>
  <c r="BL119"/>
  <c r="AZ119" s="1"/>
  <c r="AZ134"/>
  <c r="AZ137"/>
  <c r="AZ141"/>
  <c r="AZ145"/>
  <c r="BL154"/>
  <c r="AZ154" s="1"/>
  <c r="BL157"/>
  <c r="AZ157" s="1"/>
  <c r="BL170"/>
  <c r="AZ170" s="1"/>
  <c r="BL173"/>
  <c r="AZ173" s="1"/>
  <c r="BL186"/>
  <c r="AZ186" s="1"/>
  <c r="BL189"/>
  <c r="AZ189" s="1"/>
  <c r="BL202"/>
  <c r="AZ202" s="1"/>
  <c r="BL30"/>
  <c r="AZ30" s="1"/>
  <c r="BL43"/>
  <c r="AZ43" s="1"/>
  <c r="BA285"/>
  <c r="AZ285" s="1"/>
  <c r="BL287"/>
  <c r="AZ287" s="1"/>
  <c r="G293"/>
  <c r="BL293"/>
  <c r="AZ293" s="1"/>
  <c r="BA301"/>
  <c r="AZ301" s="1"/>
  <c r="BA302"/>
  <c r="AZ302" s="1"/>
  <c r="BA113"/>
  <c r="AZ113" s="1"/>
  <c r="BA114"/>
  <c r="AZ114" s="1"/>
  <c r="G119"/>
  <c r="G122"/>
  <c r="BL122"/>
  <c r="AZ122" s="1"/>
  <c r="BL125"/>
  <c r="AZ125" s="1"/>
  <c r="BL127"/>
  <c r="AZ127" s="1"/>
  <c r="BL131"/>
  <c r="AZ131" s="1"/>
  <c r="BA152"/>
  <c r="AZ152" s="1"/>
  <c r="G156"/>
  <c r="BL158"/>
  <c r="AZ158" s="1"/>
  <c r="BL161"/>
  <c r="AZ161" s="1"/>
  <c r="BA168"/>
  <c r="AZ168" s="1"/>
  <c r="G172"/>
  <c r="BL174"/>
  <c r="AZ174" s="1"/>
  <c r="BL177"/>
  <c r="AZ177" s="1"/>
  <c r="BA184"/>
  <c r="AZ184" s="1"/>
  <c r="G188"/>
  <c r="BL190"/>
  <c r="AZ190" s="1"/>
  <c r="BL193"/>
  <c r="AZ193" s="1"/>
  <c r="BA200"/>
  <c r="AZ200" s="1"/>
  <c r="G204"/>
  <c r="G206"/>
  <c r="G207"/>
  <c r="BL207"/>
  <c r="AZ207" s="1"/>
  <c r="G23"/>
  <c r="BL23"/>
  <c r="AZ23" s="1"/>
  <c r="BA27"/>
  <c r="AZ27" s="1"/>
  <c r="BA28"/>
  <c r="AZ28" s="1"/>
  <c r="BA29"/>
  <c r="AZ29" s="1"/>
  <c r="BL31"/>
  <c r="AZ31" s="1"/>
  <c r="G35"/>
  <c r="BL35"/>
  <c r="BA41"/>
  <c r="AZ41" s="1"/>
  <c r="BL57"/>
  <c r="AZ57" s="1"/>
  <c r="AZ64"/>
  <c r="BL68"/>
  <c r="BA80"/>
  <c r="BL83"/>
  <c r="BA86"/>
  <c r="AZ86" s="1"/>
  <c r="G99"/>
  <c r="BA101"/>
  <c r="AZ101" s="1"/>
  <c r="BA102"/>
  <c r="G105"/>
  <c r="AZ108"/>
  <c r="BL110"/>
  <c r="AZ110" s="1"/>
  <c r="BA60"/>
  <c r="AZ60" s="1"/>
  <c r="BA61"/>
  <c r="AZ61" s="1"/>
  <c r="BL63"/>
  <c r="AZ63" s="1"/>
  <c r="BL70"/>
  <c r="AZ70" s="1"/>
  <c r="BA73"/>
  <c r="AZ73" s="1"/>
  <c r="BA74"/>
  <c r="AZ74" s="1"/>
  <c r="BA75"/>
  <c r="AZ75" s="1"/>
  <c r="BL77"/>
  <c r="AZ77" s="1"/>
  <c r="BL84"/>
  <c r="G88"/>
  <c r="BL88"/>
  <c r="BA92"/>
  <c r="AZ92" s="1"/>
  <c r="BA93"/>
  <c r="AZ93" s="1"/>
  <c r="BA94"/>
  <c r="AZ94" s="1"/>
  <c r="G97"/>
  <c r="G98"/>
  <c r="BL98"/>
  <c r="AZ98" s="1"/>
  <c r="G104"/>
  <c r="BL104"/>
  <c r="BA106"/>
  <c r="AZ106" s="1"/>
  <c r="BA112"/>
  <c r="AZ112" s="1"/>
  <c r="G45"/>
  <c r="G46"/>
  <c r="BL46"/>
  <c r="AZ46" s="1"/>
  <c r="BL51"/>
  <c r="AZ51" s="1"/>
  <c r="BA56"/>
  <c r="BL58"/>
  <c r="AZ58" s="1"/>
  <c r="G65"/>
  <c r="BL65"/>
  <c r="AZ65" s="1"/>
  <c r="BA68"/>
  <c r="AZ68" s="1"/>
  <c r="BA69"/>
  <c r="AZ69" s="1"/>
  <c r="BL71"/>
  <c r="AZ71" s="1"/>
  <c r="BA81"/>
  <c r="AZ81" s="1"/>
  <c r="BA82"/>
  <c r="BA83"/>
  <c r="BL85"/>
  <c r="AZ85" s="1"/>
  <c r="BA87"/>
  <c r="AZ87" s="1"/>
  <c r="BL89"/>
  <c r="AZ89" s="1"/>
  <c r="BA96"/>
  <c r="AZ96" s="1"/>
  <c r="BA97"/>
  <c r="G100"/>
  <c r="BL100"/>
  <c r="AZ100" s="1"/>
  <c r="BA103"/>
  <c r="BL105"/>
  <c r="AZ105" s="1"/>
  <c r="G109"/>
  <c r="G110"/>
  <c r="G111"/>
  <c r="BL111"/>
  <c r="M100" i="43"/>
  <c r="E100"/>
  <c r="I20" i="66"/>
  <c r="BA40" i="3"/>
  <c r="AZ40" s="1"/>
  <c r="BL42"/>
  <c r="AZ42" s="1"/>
  <c r="G49"/>
  <c r="BL49"/>
  <c r="AZ49" s="1"/>
  <c r="BA52"/>
  <c r="AZ52" s="1"/>
  <c r="BA53"/>
  <c r="AZ53" s="1"/>
  <c r="BL55"/>
  <c r="AZ55" s="1"/>
  <c r="G61"/>
  <c r="G62"/>
  <c r="BL62"/>
  <c r="AZ62" s="1"/>
  <c r="BL67"/>
  <c r="AZ67" s="1"/>
  <c r="G74"/>
  <c r="G75"/>
  <c r="G76"/>
  <c r="BL76"/>
  <c r="AZ76" s="1"/>
  <c r="BA78"/>
  <c r="AZ78" s="1"/>
  <c r="BA79"/>
  <c r="AZ79" s="1"/>
  <c r="BA90"/>
  <c r="AZ90" s="1"/>
  <c r="G93"/>
  <c r="G94"/>
  <c r="G95"/>
  <c r="BL95"/>
  <c r="BL102"/>
  <c r="G107"/>
  <c r="BL107"/>
  <c r="L100" i="43"/>
  <c r="D93" i="9"/>
  <c r="K6" i="1"/>
  <c r="AP6" s="1"/>
  <c r="AC26" i="33"/>
  <c r="W26"/>
  <c r="W27" i="34"/>
  <c r="AC27"/>
  <c r="AB34" i="36"/>
  <c r="U34"/>
  <c r="U33"/>
  <c r="AC12" i="39"/>
  <c r="W12"/>
  <c r="W39" i="40"/>
  <c r="AZ401" i="3"/>
  <c r="AZ412"/>
  <c r="AZ428"/>
  <c r="AZ465"/>
  <c r="AZ586"/>
  <c r="W12" i="33"/>
  <c r="AC12"/>
  <c r="AA32" i="36"/>
  <c r="S32"/>
  <c r="AZ437" i="3"/>
  <c r="AZ441"/>
  <c r="AZ457"/>
  <c r="AZ473"/>
  <c r="AZ490"/>
  <c r="AA39" i="34"/>
  <c r="BL14" i="3"/>
  <c r="AZ266"/>
  <c r="U30" i="33"/>
  <c r="AC13" i="34"/>
  <c r="AA47"/>
  <c r="W28" i="37"/>
  <c r="S19" i="39"/>
  <c r="F12" i="33"/>
  <c r="H12" i="39"/>
  <c r="AB12" s="1"/>
  <c r="F39" i="40"/>
  <c r="BA14" i="3"/>
  <c r="AZ367"/>
  <c r="AZ224"/>
  <c r="AZ234"/>
  <c r="AZ238"/>
  <c r="AZ254"/>
  <c r="AZ281"/>
  <c r="AZ286"/>
  <c r="AZ297"/>
  <c r="AZ149"/>
  <c r="AZ165"/>
  <c r="AZ181"/>
  <c r="AZ197"/>
  <c r="AZ35"/>
  <c r="S12" i="1"/>
  <c r="T12" s="1"/>
  <c r="R12"/>
  <c r="B12"/>
  <c r="E12" s="1"/>
  <c r="S10"/>
  <c r="AQ10" s="1"/>
  <c r="R10"/>
  <c r="B10"/>
  <c r="E10" s="1"/>
  <c r="D1" i="66"/>
  <c r="E10" s="1"/>
  <c r="AZ80" i="3"/>
  <c r="AZ84"/>
  <c r="AZ88"/>
  <c r="AZ111"/>
  <c r="K12" i="1"/>
  <c r="M12" s="1"/>
  <c r="O12" s="1"/>
  <c r="P12" s="1"/>
  <c r="S13"/>
  <c r="AR13" s="1"/>
  <c r="R13"/>
  <c r="S11"/>
  <c r="AQ11" s="1"/>
  <c r="R11"/>
  <c r="J51" i="67"/>
  <c r="C42" i="1"/>
  <c r="H100" i="43"/>
  <c r="C30" i="66"/>
  <c r="E26" s="1"/>
  <c r="AC34" i="33"/>
  <c r="AA34"/>
  <c r="B41" i="1"/>
  <c r="S22" i="31"/>
  <c r="J100" i="43"/>
  <c r="AB37" i="40"/>
  <c r="S35"/>
  <c r="U35"/>
  <c r="AC36"/>
  <c r="W38"/>
  <c r="AA32"/>
  <c r="S17"/>
  <c r="S23"/>
  <c r="AC17"/>
  <c r="AC15"/>
  <c r="AB27"/>
  <c r="S30"/>
  <c r="AA19"/>
  <c r="S28"/>
  <c r="AA27"/>
  <c r="U21"/>
  <c r="AB19"/>
  <c r="W42" i="39"/>
  <c r="U37"/>
  <c r="W39"/>
  <c r="S43"/>
  <c r="S37"/>
  <c r="U35"/>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E85"/>
  <c r="F23" s="1"/>
  <c r="S23" s="1"/>
  <c r="AA14"/>
  <c r="AB8"/>
  <c r="S8"/>
  <c r="M3" i="43"/>
  <c r="N10"/>
  <c r="M1"/>
  <c r="M8"/>
  <c r="N8"/>
  <c r="N9"/>
  <c r="D120" i="9"/>
  <c r="C18"/>
  <c r="D18" s="1"/>
  <c r="F34" i="67"/>
  <c r="F62" s="1"/>
  <c r="M20"/>
  <c r="F34" i="15"/>
  <c r="F62" s="1"/>
  <c r="G13" i="3"/>
  <c r="BA13"/>
  <c r="BL17"/>
  <c r="BL13"/>
  <c r="J56" i="9"/>
  <c r="J57" s="1"/>
  <c r="A24" i="51"/>
  <c r="B18" i="72" s="1"/>
  <c r="U29" i="34"/>
  <c r="P10" i="1"/>
  <c r="E32" i="6"/>
  <c r="L19" s="1"/>
  <c r="G1" i="68"/>
  <c r="K1" i="12"/>
  <c r="E19" i="69"/>
  <c r="E19" i="68"/>
  <c r="E19" i="11"/>
  <c r="E1" i="73"/>
  <c r="K1" s="1"/>
  <c r="G41" i="69"/>
  <c r="G22"/>
  <c r="G41" i="68"/>
  <c r="G22"/>
  <c r="G27" i="12"/>
  <c r="G26"/>
  <c r="G41" i="11"/>
  <c r="G22"/>
  <c r="G25" i="12"/>
  <c r="C100" i="43"/>
  <c r="E11"/>
  <c r="E10"/>
  <c r="E9"/>
  <c r="E8"/>
  <c r="E81"/>
  <c r="B79" s="1"/>
  <c r="E48"/>
  <c r="B46" s="1"/>
  <c r="E70"/>
  <c r="B68" s="1"/>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H55" i="43"/>
  <c r="H51"/>
  <c r="H56"/>
  <c r="H76"/>
  <c r="H72"/>
  <c r="H77"/>
  <c r="L20" i="6"/>
  <c r="B6" i="1"/>
  <c r="E6" s="1"/>
  <c r="K11"/>
  <c r="M11" s="1"/>
  <c r="O11" s="1"/>
  <c r="P11" s="1"/>
  <c r="B9"/>
  <c r="E9" s="1"/>
  <c r="K7"/>
  <c r="AN17"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I101"/>
  <c r="J101" s="1"/>
  <c r="K101" s="1"/>
  <c r="L101" s="1"/>
  <c r="M101" s="1"/>
  <c r="F33"/>
  <c r="J33"/>
  <c r="H33"/>
  <c r="AB33" s="1"/>
  <c r="F37"/>
  <c r="AA37" s="1"/>
  <c r="AA26"/>
  <c r="AB14"/>
  <c r="AB46"/>
  <c r="U40"/>
  <c r="AB31"/>
  <c r="U31"/>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B8"/>
  <c r="E4"/>
  <c r="E11"/>
  <c r="M26" i="67"/>
  <c r="F38"/>
  <c r="F37" i="15"/>
  <c r="F8"/>
  <c r="F26" i="67"/>
  <c r="M9" i="15"/>
  <c r="L48" i="67"/>
  <c r="F42"/>
  <c r="F9" i="15"/>
  <c r="C76" i="67"/>
  <c r="M8" i="15"/>
  <c r="M6"/>
  <c r="F9" i="67"/>
  <c r="F6"/>
  <c r="F7"/>
  <c r="F16"/>
  <c r="L47"/>
  <c r="J15"/>
  <c r="M24"/>
  <c r="F40"/>
  <c r="F43"/>
  <c r="M22"/>
  <c r="F7" i="15"/>
  <c r="M6" i="67"/>
  <c r="F13"/>
  <c r="F40" i="15"/>
  <c r="F13"/>
  <c r="M9" i="67"/>
  <c r="F36"/>
  <c r="F8"/>
  <c r="M8"/>
  <c r="M29"/>
  <c r="M28"/>
  <c r="M23"/>
  <c r="F37"/>
  <c r="M28" i="15"/>
  <c r="G1" i="73"/>
  <c r="W7" i="80" l="1"/>
  <c r="AC7"/>
  <c r="V48" s="1"/>
  <c r="I48" s="1"/>
  <c r="U7"/>
  <c r="AB7"/>
  <c r="T48" s="1"/>
  <c r="G48" s="1"/>
  <c r="S7"/>
  <c r="AA7"/>
  <c r="R48" s="1"/>
  <c r="AZ17" i="3"/>
  <c r="G5"/>
  <c r="B3" s="1"/>
  <c r="E69" s="1"/>
  <c r="AZ32"/>
  <c r="AZ25"/>
  <c r="G30" i="6"/>
  <c r="G31" s="1"/>
  <c r="AZ19" i="3"/>
  <c r="AZ15"/>
  <c r="E11" i="6"/>
  <c r="E61" i="39" s="1"/>
  <c r="E5" i="6"/>
  <c r="D9" i="11" s="1"/>
  <c r="C9" s="1"/>
  <c r="AZ21" i="3"/>
  <c r="AZ506"/>
  <c r="AZ568"/>
  <c r="AC11" i="36"/>
  <c r="W11"/>
  <c r="AB34" i="35"/>
  <c r="U34"/>
  <c r="W30" i="34"/>
  <c r="AC30"/>
  <c r="AB13" i="33"/>
  <c r="U13"/>
  <c r="AZ107" i="3"/>
  <c r="AZ508"/>
  <c r="AA44" i="39"/>
  <c r="S44"/>
  <c r="U28" i="37"/>
  <c r="AB28"/>
  <c r="S13" i="33"/>
  <c r="AA13"/>
  <c r="W33" i="40"/>
  <c r="AC33"/>
  <c r="U46" i="34"/>
  <c r="AB46"/>
  <c r="AZ83" i="3"/>
  <c r="AZ276"/>
  <c r="AZ237"/>
  <c r="AZ280"/>
  <c r="AB44" i="39"/>
  <c r="U44"/>
  <c r="AA38" i="40"/>
  <c r="S38"/>
  <c r="AC11" i="35"/>
  <c r="W11"/>
  <c r="AZ56" i="3"/>
  <c r="AZ138"/>
  <c r="AZ229"/>
  <c r="AZ386"/>
  <c r="AZ512"/>
  <c r="AZ526"/>
  <c r="AZ558"/>
  <c r="AZ564"/>
  <c r="AZ567"/>
  <c r="AZ500"/>
  <c r="U11" i="36"/>
  <c r="AB11"/>
  <c r="AZ509" i="3"/>
  <c r="AA35" i="39"/>
  <c r="S35"/>
  <c r="U33" i="40"/>
  <c r="AB33"/>
  <c r="AC34" i="35"/>
  <c r="W34"/>
  <c r="AC15" i="21"/>
  <c r="C58"/>
  <c r="D58" s="1"/>
  <c r="F53" i="9"/>
  <c r="F48"/>
  <c r="O52" s="1"/>
  <c r="AZ82" i="3"/>
  <c r="AB39" i="37"/>
  <c r="U39"/>
  <c r="U12" i="33"/>
  <c r="AB12"/>
  <c r="AZ503" i="3"/>
  <c r="AZ34"/>
  <c r="AZ59"/>
  <c r="AZ399"/>
  <c r="AC40" i="37"/>
  <c r="W40"/>
  <c r="AB26"/>
  <c r="U26"/>
  <c r="AC36" i="39"/>
  <c r="W36"/>
  <c r="W40" i="40"/>
  <c r="AC40"/>
  <c r="AA29" i="21"/>
  <c r="AZ103" i="3"/>
  <c r="AZ299"/>
  <c r="AZ36"/>
  <c r="AZ274"/>
  <c r="AZ317"/>
  <c r="AZ228"/>
  <c r="AZ573"/>
  <c r="S36" i="39"/>
  <c r="AA36"/>
  <c r="W43"/>
  <c r="AC43"/>
  <c r="AZ559" i="3"/>
  <c r="AZ504"/>
  <c r="AA40" i="40"/>
  <c r="S40"/>
  <c r="F30" i="6"/>
  <c r="E29"/>
  <c r="E10"/>
  <c r="G3" i="43"/>
  <c r="AH11" s="1"/>
  <c r="AH13" s="1"/>
  <c r="U35" i="21"/>
  <c r="W17"/>
  <c r="F32" i="39"/>
  <c r="AA32" s="1"/>
  <c r="U12"/>
  <c r="F59" i="43"/>
  <c r="C4" i="4"/>
  <c r="B4" i="62" s="1"/>
  <c r="B71" i="72" s="1"/>
  <c r="E4" i="4"/>
  <c r="B5" i="62" s="1"/>
  <c r="B73" i="72" s="1"/>
  <c r="E14" i="6"/>
  <c r="E64" i="39" s="1"/>
  <c r="E8" i="6"/>
  <c r="F27" s="1"/>
  <c r="F31" s="1"/>
  <c r="AQ12" i="1"/>
  <c r="AR12"/>
  <c r="AE11" i="43"/>
  <c r="AE13" s="1"/>
  <c r="E15" i="6"/>
  <c r="E12"/>
  <c r="AR10" i="1"/>
  <c r="E13" i="6"/>
  <c r="E58" i="40" s="1"/>
  <c r="AZ14" i="3"/>
  <c r="BA5"/>
  <c r="E59" i="43"/>
  <c r="B57" s="1"/>
  <c r="C24" s="1"/>
  <c r="T10" i="1"/>
  <c r="AZ97" i="3"/>
  <c r="AZ248"/>
  <c r="U39" i="40"/>
  <c r="AB39"/>
  <c r="U45" i="39"/>
  <c r="AB45"/>
  <c r="C7" i="43"/>
  <c r="AZ278" i="3"/>
  <c r="AZ368"/>
  <c r="U23" i="35"/>
  <c r="AB23"/>
  <c r="AC36"/>
  <c r="W36"/>
  <c r="AA26" i="33"/>
  <c r="S26"/>
  <c r="W45" i="39"/>
  <c r="AC45"/>
  <c r="AB9" i="36"/>
  <c r="U9"/>
  <c r="U12"/>
  <c r="AB12"/>
  <c r="W12" i="34"/>
  <c r="AC12"/>
  <c r="AZ102" i="3"/>
  <c r="AZ95"/>
  <c r="AZ258"/>
  <c r="W12" i="36"/>
  <c r="AC12"/>
  <c r="S12" i="34"/>
  <c r="AA12"/>
  <c r="L58" i="67"/>
  <c r="N59"/>
  <c r="L59" s="1"/>
  <c r="J53"/>
  <c r="I54"/>
  <c r="AQ13" i="1"/>
  <c r="AZ13" i="3"/>
  <c r="M6" i="1"/>
  <c r="O6" s="1"/>
  <c r="P6" s="1"/>
  <c r="F30" i="68"/>
  <c r="C30" s="1"/>
  <c r="F30" i="11"/>
  <c r="C48" s="1"/>
  <c r="F28" i="67"/>
  <c r="C28" s="1"/>
  <c r="F31" i="12"/>
  <c r="F52" i="9"/>
  <c r="M18" i="67"/>
  <c r="F32"/>
  <c r="F60" s="1"/>
  <c r="F30" i="69"/>
  <c r="C48" s="1"/>
  <c r="F32" i="15"/>
  <c r="F60" s="1"/>
  <c r="M18"/>
  <c r="F28"/>
  <c r="C28" s="1"/>
  <c r="T11" i="1"/>
  <c r="AR11"/>
  <c r="D68" i="39"/>
  <c r="D70" s="1"/>
  <c r="E30" i="6"/>
  <c r="K15" i="1"/>
  <c r="T13"/>
  <c r="C77" i="9"/>
  <c r="C74" s="1"/>
  <c r="C24" i="12"/>
  <c r="AA39" i="40"/>
  <c r="S39"/>
  <c r="S12" i="33"/>
  <c r="AA12"/>
  <c r="C16" i="43"/>
  <c r="D68" i="9"/>
  <c r="F54"/>
  <c r="J32" i="39"/>
  <c r="H107"/>
  <c r="I107" s="1"/>
  <c r="J107" s="1"/>
  <c r="K107" s="1"/>
  <c r="L107" s="1"/>
  <c r="M107" s="1"/>
  <c r="H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K14" i="1"/>
  <c r="M14" s="1"/>
  <c r="O14" s="1"/>
  <c r="P14" s="1"/>
  <c r="BL5" i="3"/>
  <c r="C19" i="43"/>
  <c r="J59" i="9"/>
  <c r="J61" s="1"/>
  <c r="R22" i="31"/>
  <c r="B21" s="1"/>
  <c r="B40" i="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L27" i="6"/>
  <c r="G16" i="1"/>
  <c r="H10" i="40" s="1"/>
  <c r="U10" s="1"/>
  <c r="C27" i="67"/>
  <c r="L56"/>
  <c r="J57"/>
  <c r="J55" s="1"/>
  <c r="J58" s="1"/>
  <c r="Q50" s="1"/>
  <c r="F70"/>
  <c r="F51"/>
  <c r="F68"/>
  <c r="F71"/>
  <c r="F66"/>
  <c r="F50"/>
  <c r="M7"/>
  <c r="Q71"/>
  <c r="F64"/>
  <c r="C6"/>
  <c r="F65"/>
  <c r="F51" i="15"/>
  <c r="F65"/>
  <c r="F68"/>
  <c r="M7"/>
  <c r="F50"/>
  <c r="C10" i="67"/>
  <c r="AP7" i="1"/>
  <c r="C36" i="69" s="1"/>
  <c r="M7" i="1"/>
  <c r="O7" s="1"/>
  <c r="Q16"/>
  <c r="F27" i="69" s="1"/>
  <c r="H16" i="1"/>
  <c r="AB45" i="21"/>
  <c r="AC33"/>
  <c r="W33"/>
  <c r="S33"/>
  <c r="AA33"/>
  <c r="W32"/>
  <c r="AC32"/>
  <c r="AB9"/>
  <c r="U9"/>
  <c r="AA32"/>
  <c r="S32"/>
  <c r="W9"/>
  <c r="AC9"/>
  <c r="AB32"/>
  <c r="U32"/>
  <c r="AA10"/>
  <c r="S10"/>
  <c r="F31" i="15"/>
  <c r="F31" i="67"/>
  <c r="M17" i="15"/>
  <c r="M17" i="67"/>
  <c r="F59" i="15"/>
  <c r="F59" i="67"/>
  <c r="F16" i="15"/>
  <c r="F6"/>
  <c r="F43"/>
  <c r="C76"/>
  <c r="J15"/>
  <c r="F26"/>
  <c r="F38"/>
  <c r="M23"/>
  <c r="F42"/>
  <c r="M22"/>
  <c r="M29"/>
  <c r="L48"/>
  <c r="M24"/>
  <c r="C16" i="67"/>
  <c r="M26" i="15"/>
  <c r="F36"/>
  <c r="L47"/>
  <c r="D9" i="69" l="1"/>
  <c r="C9" s="1"/>
  <c r="E310" i="3"/>
  <c r="E495"/>
  <c r="E445"/>
  <c r="E187"/>
  <c r="E222"/>
  <c r="E29"/>
  <c r="E487"/>
  <c r="E233"/>
  <c r="E103"/>
  <c r="E317"/>
  <c r="E413"/>
  <c r="E167"/>
  <c r="E373"/>
  <c r="E63"/>
  <c r="E67"/>
  <c r="E267"/>
  <c r="E425"/>
  <c r="AM6"/>
  <c r="E259"/>
  <c r="E39"/>
  <c r="E374"/>
  <c r="E542"/>
  <c r="E99"/>
  <c r="D9" i="68"/>
  <c r="C9" s="1"/>
  <c r="D19" i="12"/>
  <c r="C19" s="1"/>
  <c r="E82" i="3"/>
  <c r="E323"/>
  <c r="E118"/>
  <c r="E381"/>
  <c r="E144"/>
  <c r="E23"/>
  <c r="E300"/>
  <c r="E142"/>
  <c r="E64"/>
  <c r="E441"/>
  <c r="E44"/>
  <c r="E384"/>
  <c r="E331"/>
  <c r="E240"/>
  <c r="E57"/>
  <c r="E520"/>
  <c r="E500"/>
  <c r="E416"/>
  <c r="E421"/>
  <c r="E312"/>
  <c r="E149"/>
  <c r="E350"/>
  <c r="E461"/>
  <c r="E56" i="40"/>
  <c r="R49" i="80"/>
  <c r="E48"/>
  <c r="G52"/>
  <c r="H52" s="1"/>
  <c r="G53"/>
  <c r="H53" s="1"/>
  <c r="I52"/>
  <c r="J52" s="1"/>
  <c r="I53"/>
  <c r="J53" s="1"/>
  <c r="E278" i="3"/>
  <c r="E172"/>
  <c r="E535"/>
  <c r="E567"/>
  <c r="E227"/>
  <c r="E353"/>
  <c r="AN6"/>
  <c r="E402"/>
  <c r="E303"/>
  <c r="E159"/>
  <c r="E228"/>
  <c r="E157"/>
  <c r="E77"/>
  <c r="E253"/>
  <c r="E199"/>
  <c r="E286"/>
  <c r="E575"/>
  <c r="E499"/>
  <c r="R6"/>
  <c r="E502"/>
  <c r="E442"/>
  <c r="E466"/>
  <c r="E541"/>
  <c r="E430"/>
  <c r="E449"/>
  <c r="E255"/>
  <c r="I3" i="6"/>
  <c r="AP6" i="3"/>
  <c r="E554"/>
  <c r="E517"/>
  <c r="E435"/>
  <c r="E491"/>
  <c r="E417"/>
  <c r="E479"/>
  <c r="E56"/>
  <c r="E37"/>
  <c r="E95"/>
  <c r="E152"/>
  <c r="E132"/>
  <c r="E192"/>
  <c r="E258"/>
  <c r="E241"/>
  <c r="E292"/>
  <c r="E348"/>
  <c r="E363"/>
  <c r="E378"/>
  <c r="E349"/>
  <c r="E375"/>
  <c r="E389"/>
  <c r="E504"/>
  <c r="E544"/>
  <c r="E58"/>
  <c r="E76"/>
  <c r="E110"/>
  <c r="E59"/>
  <c r="E540"/>
  <c r="E462"/>
  <c r="E521"/>
  <c r="E446"/>
  <c r="E47"/>
  <c r="E98"/>
  <c r="E65"/>
  <c r="E138"/>
  <c r="E195"/>
  <c r="E163"/>
  <c r="E248"/>
  <c r="E209"/>
  <c r="E266"/>
  <c r="E307"/>
  <c r="E386"/>
  <c r="E354"/>
  <c r="E584"/>
  <c r="E66"/>
  <c r="E24"/>
  <c r="E48"/>
  <c r="E87"/>
  <c r="E127"/>
  <c r="E250"/>
  <c r="E284"/>
  <c r="E341"/>
  <c r="Y6"/>
  <c r="E51"/>
  <c r="E19"/>
  <c r="E154"/>
  <c r="E179"/>
  <c r="E21"/>
  <c r="E513"/>
  <c r="E309"/>
  <c r="E283"/>
  <c r="E264"/>
  <c r="E81"/>
  <c r="E68"/>
  <c r="E355"/>
  <c r="E184"/>
  <c r="E33"/>
  <c r="E84"/>
  <c r="E492"/>
  <c r="E371"/>
  <c r="E249"/>
  <c r="E200"/>
  <c r="E160"/>
  <c r="E46"/>
  <c r="E467"/>
  <c r="E484"/>
  <c r="E480"/>
  <c r="E109"/>
  <c r="E30"/>
  <c r="E572"/>
  <c r="E334"/>
  <c r="E377"/>
  <c r="E316"/>
  <c r="E297"/>
  <c r="E155"/>
  <c r="E131"/>
  <c r="E90"/>
  <c r="E436"/>
  <c r="E460"/>
  <c r="E582"/>
  <c r="E566"/>
  <c r="E459"/>
  <c r="E398"/>
  <c r="E464"/>
  <c r="E552"/>
  <c r="AD6"/>
  <c r="E141"/>
  <c r="E212"/>
  <c r="E181"/>
  <c r="E301"/>
  <c r="E586"/>
  <c r="E165"/>
  <c r="E539"/>
  <c r="E563"/>
  <c r="E53"/>
  <c r="E125"/>
  <c r="E175"/>
  <c r="E217"/>
  <c r="E319"/>
  <c r="E366"/>
  <c r="E530"/>
  <c r="E526"/>
  <c r="E501"/>
  <c r="E553"/>
  <c r="E343"/>
  <c r="E268"/>
  <c r="E153"/>
  <c r="E282"/>
  <c r="E305"/>
  <c r="E322"/>
  <c r="E426"/>
  <c r="N6"/>
  <c r="E508"/>
  <c r="AJ6"/>
  <c r="E328"/>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37"/>
  <c r="E261"/>
  <c r="E304"/>
  <c r="E528"/>
  <c r="E565"/>
  <c r="E183"/>
  <c r="E213"/>
  <c r="E361"/>
  <c r="E17"/>
  <c r="E503"/>
  <c r="E302"/>
  <c r="E347"/>
  <c r="E583"/>
  <c r="AA6"/>
  <c r="X6"/>
  <c r="E399"/>
  <c r="E336"/>
  <c r="E280"/>
  <c r="E246"/>
  <c r="E124"/>
  <c r="E293"/>
  <c r="E397"/>
  <c r="E314"/>
  <c r="E568"/>
  <c r="E511"/>
  <c r="I6"/>
  <c r="E16"/>
  <c r="E536"/>
  <c r="AK6"/>
  <c r="E549"/>
  <c r="E434"/>
  <c r="E453"/>
  <c r="E306"/>
  <c r="E368"/>
  <c r="E296"/>
  <c r="E244"/>
  <c r="E262"/>
  <c r="E196"/>
  <c r="E136"/>
  <c r="E156"/>
  <c r="E236"/>
  <c r="E148"/>
  <c r="E290"/>
  <c r="E221"/>
  <c r="E161"/>
  <c r="E180"/>
  <c r="E117"/>
  <c r="E140"/>
  <c r="E120"/>
  <c r="E85"/>
  <c r="E45"/>
  <c r="E223"/>
  <c r="E277"/>
  <c r="E238"/>
  <c r="E224"/>
  <c r="E197"/>
  <c r="E177"/>
  <c r="E116"/>
  <c r="E193"/>
  <c r="E173"/>
  <c r="E133"/>
  <c r="E105"/>
  <c r="E313"/>
  <c r="E369"/>
  <c r="E330"/>
  <c r="E393"/>
  <c r="E519"/>
  <c r="E525"/>
  <c r="K6"/>
  <c r="E493"/>
  <c r="E532"/>
  <c r="E534"/>
  <c r="Q6"/>
  <c r="E564"/>
  <c r="E573"/>
  <c r="T6"/>
  <c r="E560"/>
  <c r="E543"/>
  <c r="E529"/>
  <c r="E405"/>
  <c r="E437"/>
  <c r="E427"/>
  <c r="E458"/>
  <c r="E456"/>
  <c r="E472"/>
  <c r="E486"/>
  <c r="E474"/>
  <c r="E469"/>
  <c r="E481"/>
  <c r="E507"/>
  <c r="E527"/>
  <c r="E512"/>
  <c r="E406"/>
  <c r="E422"/>
  <c r="E438"/>
  <c r="E408"/>
  <c r="E424"/>
  <c r="E440"/>
  <c r="E457"/>
  <c r="E451"/>
  <c r="E465"/>
  <c r="E490"/>
  <c r="E288"/>
  <c r="E360"/>
  <c r="E344"/>
  <c r="E376"/>
  <c r="E562"/>
  <c r="E556"/>
  <c r="E587"/>
  <c r="AH6"/>
  <c r="W6"/>
  <c r="E497"/>
  <c r="AE6"/>
  <c r="J6"/>
  <c r="E571"/>
  <c r="E13"/>
  <c r="E577"/>
  <c r="E498"/>
  <c r="E537"/>
  <c r="E494"/>
  <c r="E429"/>
  <c r="E419"/>
  <c r="E450"/>
  <c r="E452"/>
  <c r="E468"/>
  <c r="E483"/>
  <c r="E471"/>
  <c r="E470"/>
  <c r="E496"/>
  <c r="E401"/>
  <c r="E433"/>
  <c r="E420"/>
  <c r="E454"/>
  <c r="E463"/>
  <c r="E475"/>
  <c r="E26"/>
  <c r="E55"/>
  <c r="E40"/>
  <c r="E72"/>
  <c r="E104"/>
  <c r="E106"/>
  <c r="E25"/>
  <c r="E54"/>
  <c r="E41"/>
  <c r="E73"/>
  <c r="E108"/>
  <c r="E111"/>
  <c r="E115"/>
  <c r="E146"/>
  <c r="E178"/>
  <c r="E168"/>
  <c r="E198"/>
  <c r="E203"/>
  <c r="E119"/>
  <c r="E150"/>
  <c r="E139"/>
  <c r="E171"/>
  <c r="E202"/>
  <c r="E208"/>
  <c r="E225"/>
  <c r="E256"/>
  <c r="E242"/>
  <c r="E279"/>
  <c r="E281"/>
  <c r="E214"/>
  <c r="E226"/>
  <c r="E257"/>
  <c r="E243"/>
  <c r="E274"/>
  <c r="E276"/>
  <c r="E83"/>
  <c r="E101"/>
  <c r="E22"/>
  <c r="E524"/>
  <c r="E326"/>
  <c r="E365"/>
  <c r="E308"/>
  <c r="E265"/>
  <c r="E287"/>
  <c r="E218"/>
  <c r="E158"/>
  <c r="E176"/>
  <c r="E113"/>
  <c r="E62"/>
  <c r="E80"/>
  <c r="E20"/>
  <c r="E102"/>
  <c r="E50"/>
  <c r="AF6"/>
  <c r="E364"/>
  <c r="E370"/>
  <c r="E340"/>
  <c r="E251"/>
  <c r="E289"/>
  <c r="E232"/>
  <c r="E147"/>
  <c r="E206"/>
  <c r="E123"/>
  <c r="E49"/>
  <c r="E112"/>
  <c r="E34"/>
  <c r="E36"/>
  <c r="E86"/>
  <c r="E52"/>
  <c r="E35"/>
  <c r="AQ6"/>
  <c r="E522"/>
  <c r="E392"/>
  <c r="E342"/>
  <c r="E325"/>
  <c r="E383"/>
  <c r="E339"/>
  <c r="E324"/>
  <c r="E299"/>
  <c r="E235"/>
  <c r="E219"/>
  <c r="E275"/>
  <c r="E234"/>
  <c r="E220"/>
  <c r="E194"/>
  <c r="E174"/>
  <c r="E137"/>
  <c r="E190"/>
  <c r="E170"/>
  <c r="E129"/>
  <c r="E100"/>
  <c r="E78"/>
  <c r="E38"/>
  <c r="E96"/>
  <c r="E79"/>
  <c r="E18"/>
  <c r="E455"/>
  <c r="E412"/>
  <c r="E15"/>
  <c r="E482"/>
  <c r="E473"/>
  <c r="E428"/>
  <c r="E409"/>
  <c r="E488"/>
  <c r="E75"/>
  <c r="E43"/>
  <c r="E32"/>
  <c r="E94"/>
  <c r="E93"/>
  <c r="E60"/>
  <c r="E74"/>
  <c r="E42"/>
  <c r="E31"/>
  <c r="L6"/>
  <c r="E580"/>
  <c r="AL6"/>
  <c r="E14"/>
  <c r="E372"/>
  <c r="E362"/>
  <c r="E356"/>
  <c r="E318"/>
  <c r="E333"/>
  <c r="E394"/>
  <c r="E391"/>
  <c r="E357"/>
  <c r="E346"/>
  <c r="E315"/>
  <c r="E332"/>
  <c r="E351"/>
  <c r="E291"/>
  <c r="E273"/>
  <c r="E210"/>
  <c r="E295"/>
  <c r="E272"/>
  <c r="E211"/>
  <c r="E186"/>
  <c r="E166"/>
  <c r="E126"/>
  <c r="E182"/>
  <c r="E162"/>
  <c r="E121"/>
  <c r="E92"/>
  <c r="E70"/>
  <c r="E27"/>
  <c r="E88"/>
  <c r="E71"/>
  <c r="E28"/>
  <c r="E447"/>
  <c r="E404"/>
  <c r="E546"/>
  <c r="E489"/>
  <c r="E476"/>
  <c r="E444"/>
  <c r="E403"/>
  <c r="E531"/>
  <c r="AS6"/>
  <c r="E581"/>
  <c r="E547"/>
  <c r="E557"/>
  <c r="E505"/>
  <c r="E558"/>
  <c r="E367"/>
  <c r="E345"/>
  <c r="E477"/>
  <c r="E443"/>
  <c r="E432"/>
  <c r="E400"/>
  <c r="E414"/>
  <c r="P6"/>
  <c r="E548"/>
  <c r="E485"/>
  <c r="E478"/>
  <c r="E448"/>
  <c r="E411"/>
  <c r="AO6"/>
  <c r="E515"/>
  <c r="AG6"/>
  <c r="U6"/>
  <c r="Z6"/>
  <c r="E585"/>
  <c r="E576"/>
  <c r="E379"/>
  <c r="E327"/>
  <c r="E107"/>
  <c r="E164"/>
  <c r="E145"/>
  <c r="E204"/>
  <c r="E271"/>
  <c r="E252"/>
  <c r="E207"/>
  <c r="E89"/>
  <c r="E122"/>
  <c r="E269"/>
  <c r="E188"/>
  <c r="E191"/>
  <c r="E245"/>
  <c r="E263"/>
  <c r="E382"/>
  <c r="E423"/>
  <c r="E578"/>
  <c r="AI6"/>
  <c r="E518"/>
  <c r="E385"/>
  <c r="E128"/>
  <c r="E205"/>
  <c r="E352"/>
  <c r="E510"/>
  <c r="E545"/>
  <c r="E329"/>
  <c r="E550"/>
  <c r="E260"/>
  <c r="E395"/>
  <c r="E415"/>
  <c r="E114"/>
  <c r="AZ5"/>
  <c r="E3" i="6" s="1"/>
  <c r="D37" i="11" s="1"/>
  <c r="C10" i="15"/>
  <c r="I54"/>
  <c r="J57"/>
  <c r="J55" s="1"/>
  <c r="J58" s="1"/>
  <c r="Q50" s="1"/>
  <c r="F64"/>
  <c r="L58"/>
  <c r="Q73" s="1"/>
  <c r="N59"/>
  <c r="F71"/>
  <c r="C6"/>
  <c r="C101" i="43"/>
  <c r="C104" s="1"/>
  <c r="AF11"/>
  <c r="AF13" s="1"/>
  <c r="AD11"/>
  <c r="AD13" s="1"/>
  <c r="J101"/>
  <c r="J109" s="1"/>
  <c r="Y11"/>
  <c r="Y13" s="1"/>
  <c r="B113"/>
  <c r="D116" s="1"/>
  <c r="E116" s="1"/>
  <c r="F116" s="1"/>
  <c r="G116" s="1"/>
  <c r="H116" s="1"/>
  <c r="E22"/>
  <c r="Z7"/>
  <c r="AI11"/>
  <c r="AI13" s="1"/>
  <c r="D101"/>
  <c r="D104" s="1"/>
  <c r="E59" i="40"/>
  <c r="G101" i="43"/>
  <c r="G106" s="1"/>
  <c r="N104" i="46"/>
  <c r="AC11" i="43"/>
  <c r="AC13" s="1"/>
  <c r="H101"/>
  <c r="H104" s="1"/>
  <c r="AG11"/>
  <c r="AG13" s="1"/>
  <c r="N101"/>
  <c r="N103" s="1"/>
  <c r="K101"/>
  <c r="K103" s="1"/>
  <c r="H22"/>
  <c r="I101"/>
  <c r="I109" s="1"/>
  <c r="AB11"/>
  <c r="AB13" s="1"/>
  <c r="E101"/>
  <c r="E104" s="1"/>
  <c r="F101"/>
  <c r="F106" s="1"/>
  <c r="M101"/>
  <c r="M103" s="1"/>
  <c r="L101"/>
  <c r="L105" s="1"/>
  <c r="AA11"/>
  <c r="AA13" s="1"/>
  <c r="Z11"/>
  <c r="Z13" s="1"/>
  <c r="AJ11"/>
  <c r="AJ13" s="1"/>
  <c r="C27" i="15"/>
  <c r="Q71"/>
  <c r="F66"/>
  <c r="J106" i="43"/>
  <c r="H11" i="21"/>
  <c r="J11"/>
  <c r="F11"/>
  <c r="F11" i="39"/>
  <c r="H11"/>
  <c r="J11"/>
  <c r="F22" i="43"/>
  <c r="G22"/>
  <c r="K4" i="4"/>
  <c r="B46" i="48" s="1"/>
  <c r="B4" i="72" s="1"/>
  <c r="H66" i="43"/>
  <c r="H64"/>
  <c r="H61"/>
  <c r="H59"/>
  <c r="H65"/>
  <c r="H63"/>
  <c r="H62"/>
  <c r="H60"/>
  <c r="H67"/>
  <c r="E56" i="39"/>
  <c r="E51" i="40"/>
  <c r="C107" i="43"/>
  <c r="E16" i="6"/>
  <c r="E63" i="39"/>
  <c r="E57" i="40"/>
  <c r="E62" i="39"/>
  <c r="E60" i="40"/>
  <c r="E65" i="39"/>
  <c r="E27" i="6"/>
  <c r="E31" s="1"/>
  <c r="C30" i="69"/>
  <c r="C48" i="68"/>
  <c r="K16" i="1"/>
  <c r="C30" i="11"/>
  <c r="E6" i="70"/>
  <c r="A18" i="62"/>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F7" i="36"/>
  <c r="S7" s="1"/>
  <c r="H7" i="37"/>
  <c r="U7" s="1"/>
  <c r="J10" i="15"/>
  <c r="C47" i="69"/>
  <c r="D45" s="1"/>
  <c r="C29"/>
  <c r="D27" s="1"/>
  <c r="F27" i="68"/>
  <c r="F28" i="12"/>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C39"/>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H10" i="39"/>
  <c r="J10"/>
  <c r="C49" i="15"/>
  <c r="M16" i="1"/>
  <c r="N16" s="1"/>
  <c r="B21" s="1"/>
  <c r="Q60" i="67"/>
  <c r="Q73"/>
  <c r="F27" i="11"/>
  <c r="Q61" i="67"/>
  <c r="Q74"/>
  <c r="C49"/>
  <c r="F1"/>
  <c r="Q52"/>
  <c r="C16" i="15"/>
  <c r="M106" i="43" l="1"/>
  <c r="C102"/>
  <c r="C105"/>
  <c r="B23" i="1"/>
  <c r="C26" i="68" s="1"/>
  <c r="D22" s="1"/>
  <c r="B24" i="1"/>
  <c r="C26" i="12" s="1"/>
  <c r="D25" s="1"/>
  <c r="C29" i="68"/>
  <c r="D27" s="1"/>
  <c r="H6" i="3"/>
  <c r="AC6"/>
  <c r="AY6"/>
  <c r="J107" i="43"/>
  <c r="K109"/>
  <c r="E102"/>
  <c r="E52" i="80"/>
  <c r="F52" s="1"/>
  <c r="E53"/>
  <c r="F53" s="1"/>
  <c r="C49"/>
  <c r="C48"/>
  <c r="C106" i="43"/>
  <c r="C103"/>
  <c r="C109"/>
  <c r="D117"/>
  <c r="E117" s="1"/>
  <c r="F117" s="1"/>
  <c r="G117" s="1"/>
  <c r="H117" s="1"/>
  <c r="D102"/>
  <c r="B115"/>
  <c r="C115" s="1"/>
  <c r="G109"/>
  <c r="I116"/>
  <c r="J116" s="1"/>
  <c r="K116" s="1"/>
  <c r="L116" s="1"/>
  <c r="M116" s="1"/>
  <c r="D115"/>
  <c r="E115" s="1"/>
  <c r="F115" s="1"/>
  <c r="G115" s="1"/>
  <c r="H115" s="1"/>
  <c r="D107"/>
  <c r="B118"/>
  <c r="C118" s="1"/>
  <c r="E107"/>
  <c r="M104"/>
  <c r="I117"/>
  <c r="J117" s="1"/>
  <c r="K117" s="1"/>
  <c r="L117" s="1"/>
  <c r="M117" s="1"/>
  <c r="K106"/>
  <c r="K104"/>
  <c r="G118"/>
  <c r="H118" s="1"/>
  <c r="I115"/>
  <c r="J115" s="1"/>
  <c r="K115" s="1"/>
  <c r="L115" s="1"/>
  <c r="M115" s="1"/>
  <c r="I118"/>
  <c r="J118" s="1"/>
  <c r="K118" s="1"/>
  <c r="L118" s="1"/>
  <c r="M118" s="1"/>
  <c r="D103"/>
  <c r="D105"/>
  <c r="E109"/>
  <c r="H103"/>
  <c r="H109"/>
  <c r="C5" i="15"/>
  <c r="C32" s="1"/>
  <c r="H105" i="43"/>
  <c r="H106"/>
  <c r="Q60" i="15"/>
  <c r="D118" i="43"/>
  <c r="E118" s="1"/>
  <c r="F118" s="1"/>
  <c r="K107"/>
  <c r="K105"/>
  <c r="B116"/>
  <c r="C116" s="1"/>
  <c r="E105"/>
  <c r="E106"/>
  <c r="E103"/>
  <c r="F105"/>
  <c r="I105"/>
  <c r="I107"/>
  <c r="J104"/>
  <c r="G103"/>
  <c r="I102"/>
  <c r="I106"/>
  <c r="M102"/>
  <c r="J105"/>
  <c r="J103"/>
  <c r="G102"/>
  <c r="G107"/>
  <c r="I103"/>
  <c r="G105"/>
  <c r="G104"/>
  <c r="I104"/>
  <c r="J102"/>
  <c r="K102"/>
  <c r="N104"/>
  <c r="N102"/>
  <c r="F104"/>
  <c r="L106"/>
  <c r="L104"/>
  <c r="N106"/>
  <c r="L107"/>
  <c r="L103"/>
  <c r="N109"/>
  <c r="F107"/>
  <c r="F102"/>
  <c r="N107"/>
  <c r="F103"/>
  <c r="N105"/>
  <c r="B117"/>
  <c r="C117" s="1"/>
  <c r="H107"/>
  <c r="H102"/>
  <c r="F109"/>
  <c r="D109"/>
  <c r="D106"/>
  <c r="L109"/>
  <c r="L102"/>
  <c r="M109"/>
  <c r="M107"/>
  <c r="M105"/>
  <c r="D22"/>
  <c r="C21" s="1"/>
  <c r="C29" s="1"/>
  <c r="C30" s="1"/>
  <c r="E30" s="1"/>
  <c r="W11" i="39"/>
  <c r="AC11"/>
  <c r="S11" i="21"/>
  <c r="AA11"/>
  <c r="AB11" i="39"/>
  <c r="U11"/>
  <c r="W11" i="21"/>
  <c r="AC11"/>
  <c r="AA11" i="39"/>
  <c r="S11"/>
  <c r="U11" i="21"/>
  <c r="AB11"/>
  <c r="E66" i="39"/>
  <c r="AY86" i="3"/>
  <c r="AY580"/>
  <c r="AY235"/>
  <c r="AY519"/>
  <c r="AY127"/>
  <c r="AY461"/>
  <c r="AY173"/>
  <c r="AY289"/>
  <c r="AY261"/>
  <c r="AY549"/>
  <c r="AY211"/>
  <c r="AY438"/>
  <c r="AY298"/>
  <c r="AY434"/>
  <c r="AY545"/>
  <c r="AY301"/>
  <c r="AY408"/>
  <c r="AY164"/>
  <c r="AY477"/>
  <c r="AY319"/>
  <c r="AY61"/>
  <c r="AY57"/>
  <c r="AY480"/>
  <c r="AY559"/>
  <c r="AY137"/>
  <c r="AY345"/>
  <c r="AY458"/>
  <c r="AY506"/>
  <c r="AY542"/>
  <c r="AY63"/>
  <c r="AY135"/>
  <c r="AY378"/>
  <c r="AY456"/>
  <c r="BL6"/>
  <c r="AY184"/>
  <c r="AY241"/>
  <c r="AY338"/>
  <c r="AY445"/>
  <c r="AY305"/>
  <c r="AY250"/>
  <c r="AY174"/>
  <c r="AY523"/>
  <c r="AY520"/>
  <c r="AY435"/>
  <c r="AY316"/>
  <c r="AY258"/>
  <c r="AY40"/>
  <c r="AY374"/>
  <c r="AY255"/>
  <c r="AY146"/>
  <c r="AY76"/>
  <c r="AY540"/>
  <c r="AY481"/>
  <c r="AY300"/>
  <c r="AY489"/>
  <c r="AY147"/>
  <c r="AY95"/>
  <c r="AY83"/>
  <c r="AY155"/>
  <c r="AY131"/>
  <c r="AY268"/>
  <c r="AY318"/>
  <c r="AY106"/>
  <c r="AY395"/>
  <c r="AY452"/>
  <c r="AY569"/>
  <c r="AY77"/>
  <c r="AY206"/>
  <c r="AY149"/>
  <c r="AY263"/>
  <c r="AY392"/>
  <c r="BJ6"/>
  <c r="AY197"/>
  <c r="AY274"/>
  <c r="AY317"/>
  <c r="AY457"/>
  <c r="AY581"/>
  <c r="AY546"/>
  <c r="AY514"/>
  <c r="AY32"/>
  <c r="AY494"/>
  <c r="AY572"/>
  <c r="AY454"/>
  <c r="AY333"/>
  <c r="AY121"/>
  <c r="AY93"/>
  <c r="AY368"/>
  <c r="AY219"/>
  <c r="AY239"/>
  <c r="AY291"/>
  <c r="AY165"/>
  <c r="AY182"/>
  <c r="AY52"/>
  <c r="AY92"/>
  <c r="BO6"/>
  <c r="AY557"/>
  <c r="AY463"/>
  <c r="AY355"/>
  <c r="AY229"/>
  <c r="AY529"/>
  <c r="AY486"/>
  <c r="AY363"/>
  <c r="AY253"/>
  <c r="AY292"/>
  <c r="AY74"/>
  <c r="AY144"/>
  <c r="AY82"/>
  <c r="K20" i="6"/>
  <c r="K21"/>
  <c r="K22"/>
  <c r="K25"/>
  <c r="M25" s="1"/>
  <c r="I25" s="1"/>
  <c r="S25" s="1"/>
  <c r="K23"/>
  <c r="M23" s="1"/>
  <c r="I23" s="1"/>
  <c r="S23" s="1"/>
  <c r="K24"/>
  <c r="M24" s="1"/>
  <c r="I24" s="1"/>
  <c r="S24" s="1"/>
  <c r="K26"/>
  <c r="M26" s="1"/>
  <c r="I26" s="1"/>
  <c r="S26" s="1"/>
  <c r="K19"/>
  <c r="D3" i="37"/>
  <c r="C17" i="4"/>
  <c r="B4" i="52" s="1"/>
  <c r="B43" i="72" s="1"/>
  <c r="D19" i="11"/>
  <c r="C19" s="1"/>
  <c r="C20" s="1"/>
  <c r="C25" s="1"/>
  <c r="D14" i="12"/>
  <c r="D17" s="1"/>
  <c r="C17" s="1"/>
  <c r="D3" i="33"/>
  <c r="L18" i="9"/>
  <c r="E6" i="6"/>
  <c r="D10" i="11" s="1"/>
  <c r="C10" s="1"/>
  <c r="D3" i="34"/>
  <c r="M18" i="9"/>
  <c r="B118" s="1"/>
  <c r="B14" i="74" s="1"/>
  <c r="B1" s="1"/>
  <c r="E37" i="43"/>
  <c r="AA7" i="36"/>
  <c r="R36" s="1"/>
  <c r="E36" s="1"/>
  <c r="E40" s="1"/>
  <c r="F40" s="1"/>
  <c r="AC11" i="37"/>
  <c r="W11"/>
  <c r="AB7"/>
  <c r="T42" s="1"/>
  <c r="G42" s="1"/>
  <c r="G46" s="1"/>
  <c r="H46" s="1"/>
  <c r="W11" i="34"/>
  <c r="AC11"/>
  <c r="J5" i="67"/>
  <c r="J5" i="15"/>
  <c r="AB7" i="36"/>
  <c r="T36" s="1"/>
  <c r="E38" i="43"/>
  <c r="C47" i="68"/>
  <c r="D45" s="1"/>
  <c r="AA10" i="39"/>
  <c r="C13" i="12"/>
  <c r="P16" i="1"/>
  <c r="C11" i="12" s="1"/>
  <c r="F34" i="11"/>
  <c r="C37" s="1"/>
  <c r="AC10" i="40"/>
  <c r="C44" i="68"/>
  <c r="D41" s="1"/>
  <c r="C26" i="69"/>
  <c r="D22" s="1"/>
  <c r="C44"/>
  <c r="D41" s="1"/>
  <c r="C44" i="11"/>
  <c r="D41" s="1"/>
  <c r="E33" i="43"/>
  <c r="G35"/>
  <c r="I35" s="1"/>
  <c r="E35"/>
  <c r="G36"/>
  <c r="I36" s="1"/>
  <c r="G34"/>
  <c r="I34" s="1"/>
  <c r="E34"/>
  <c r="J7" i="21"/>
  <c r="AC7" s="1"/>
  <c r="V48" s="1"/>
  <c r="I48" s="1"/>
  <c r="F7" i="34"/>
  <c r="S7" s="1"/>
  <c r="AB7" i="35"/>
  <c r="T38" s="1"/>
  <c r="G38" s="1"/>
  <c r="G42" s="1"/>
  <c r="H42" s="1"/>
  <c r="U7"/>
  <c r="S7" i="37"/>
  <c r="AA7"/>
  <c r="R42" s="1"/>
  <c r="F7" i="21"/>
  <c r="S7" s="1"/>
  <c r="AA7" i="35"/>
  <c r="R38" s="1"/>
  <c r="S7"/>
  <c r="W7" i="36"/>
  <c r="AC7"/>
  <c r="V36" s="1"/>
  <c r="I36" s="1"/>
  <c r="AC7" i="35"/>
  <c r="V38" s="1"/>
  <c r="I38" s="1"/>
  <c r="W7"/>
  <c r="H7" i="21"/>
  <c r="AB7" s="1"/>
  <c r="H7" i="34"/>
  <c r="U7" s="1"/>
  <c r="W7" i="37"/>
  <c r="AC7"/>
  <c r="V42" s="1"/>
  <c r="I42" s="1"/>
  <c r="W7" i="34"/>
  <c r="AC7"/>
  <c r="V49" s="1"/>
  <c r="I49" s="1"/>
  <c r="I53" s="1"/>
  <c r="J53" s="1"/>
  <c r="F63" i="40"/>
  <c r="E65"/>
  <c r="E70" i="39"/>
  <c r="F70"/>
  <c r="S10" i="40"/>
  <c r="C38" i="67"/>
  <c r="W10" i="39"/>
  <c r="AC10"/>
  <c r="U10"/>
  <c r="AB10"/>
  <c r="F50" i="68"/>
  <c r="C47" i="11"/>
  <c r="D45" s="1"/>
  <c r="C29"/>
  <c r="D27" s="1"/>
  <c r="L16" i="1"/>
  <c r="M22" i="6" l="1"/>
  <c r="I22" s="1"/>
  <c r="S22" s="1"/>
  <c r="S9" i="1"/>
  <c r="C23" i="11"/>
  <c r="C26"/>
  <c r="D22" s="1"/>
  <c r="E6" i="3"/>
  <c r="AY531"/>
  <c r="AY213"/>
  <c r="AY390"/>
  <c r="AY400"/>
  <c r="AY94"/>
  <c r="AY511"/>
  <c r="AY136"/>
  <c r="AY450"/>
  <c r="AY431"/>
  <c r="AY550"/>
  <c r="AY102"/>
  <c r="AY30"/>
  <c r="AY336"/>
  <c r="AY243"/>
  <c r="AY116"/>
  <c r="AY306"/>
  <c r="AY424"/>
  <c r="BR6"/>
  <c r="AY287"/>
  <c r="AY227"/>
  <c r="D3" i="6"/>
  <c r="D25" s="1"/>
  <c r="AY364" i="3"/>
  <c r="AY419"/>
  <c r="AY29"/>
  <c r="AY247"/>
  <c r="AY68"/>
  <c r="AY478"/>
  <c r="AY473"/>
  <c r="AY168"/>
  <c r="AY98"/>
  <c r="AY281"/>
  <c r="AY50"/>
  <c r="AY42"/>
  <c r="AY237"/>
  <c r="AY455"/>
  <c r="AY260"/>
  <c r="AY447"/>
  <c r="AY539"/>
  <c r="AY44"/>
  <c r="AY157"/>
  <c r="AY270"/>
  <c r="AY360"/>
  <c r="AY186"/>
  <c r="AY215"/>
  <c r="AY475"/>
  <c r="AY403"/>
  <c r="AY552"/>
  <c r="AY96"/>
  <c r="AY169"/>
  <c r="AY266"/>
  <c r="AY352"/>
  <c r="AY312"/>
  <c r="AY453"/>
  <c r="AY402"/>
  <c r="AY505"/>
  <c r="AY522"/>
  <c r="AY551"/>
  <c r="BP6"/>
  <c r="AY79"/>
  <c r="AY19"/>
  <c r="AY151"/>
  <c r="AY265"/>
  <c r="AY394"/>
  <c r="AY315"/>
  <c r="AY451"/>
  <c r="AY500"/>
  <c r="AY568"/>
  <c r="AY71"/>
  <c r="AY200"/>
  <c r="AY143"/>
  <c r="AY257"/>
  <c r="AY386"/>
  <c r="AY307"/>
  <c r="AY443"/>
  <c r="AY18"/>
  <c r="AY183"/>
  <c r="AY236"/>
  <c r="AY444"/>
  <c r="AY212"/>
  <c r="AY420"/>
  <c r="AY555"/>
  <c r="AY20"/>
  <c r="AY133"/>
  <c r="AY254"/>
  <c r="AY507"/>
  <c r="AY166"/>
  <c r="BT6"/>
  <c r="AY512"/>
  <c r="AY586"/>
  <c r="AY417"/>
  <c r="AY208"/>
  <c r="AY564"/>
  <c r="AY154"/>
  <c r="AY179"/>
  <c r="AY442"/>
  <c r="AY535"/>
  <c r="AY101"/>
  <c r="AY365"/>
  <c r="AY533"/>
  <c r="AY163"/>
  <c r="AY387"/>
  <c r="AY171"/>
  <c r="AY366"/>
  <c r="AY343"/>
  <c r="AY85"/>
  <c r="AY283"/>
  <c r="AY88"/>
  <c r="AY325"/>
  <c r="AY534"/>
  <c r="AY37"/>
  <c r="AY380"/>
  <c r="AY492"/>
  <c r="AY415"/>
  <c r="AY515"/>
  <c r="AY493"/>
  <c r="AY172"/>
  <c r="AY248"/>
  <c r="AY485"/>
  <c r="AY547"/>
  <c r="AY54"/>
  <c r="AY293"/>
  <c r="AY351"/>
  <c r="AY103"/>
  <c r="AY75"/>
  <c r="AY26"/>
  <c r="AY573"/>
  <c r="AY178"/>
  <c r="AY397"/>
  <c r="AY275"/>
  <c r="AY348"/>
  <c r="AY422"/>
  <c r="AY536"/>
  <c r="AY582"/>
  <c r="AY194"/>
  <c r="AY282"/>
  <c r="AY385"/>
  <c r="AY344"/>
  <c r="AY484"/>
  <c r="AY426"/>
  <c r="AY407"/>
  <c r="AY14"/>
  <c r="AY565"/>
  <c r="AY570"/>
  <c r="AY99"/>
  <c r="AY46"/>
  <c r="AY156"/>
  <c r="AY285"/>
  <c r="AY232"/>
  <c r="AY362"/>
  <c r="AY469"/>
  <c r="AY437"/>
  <c r="AY560"/>
  <c r="AY91"/>
  <c r="AY38"/>
  <c r="AY148"/>
  <c r="AY277"/>
  <c r="AY224"/>
  <c r="AY354"/>
  <c r="AY490"/>
  <c r="AY51"/>
  <c r="AY476"/>
  <c r="AY320"/>
  <c r="AY337"/>
  <c r="AY396"/>
  <c r="AY267"/>
  <c r="AY153"/>
  <c r="AY21"/>
  <c r="AY81"/>
  <c r="AY496"/>
  <c r="BG6"/>
  <c r="BN6"/>
  <c r="AY503"/>
  <c r="AY430"/>
  <c r="AY467"/>
  <c r="AY309"/>
  <c r="AY388"/>
  <c r="AY279"/>
  <c r="AY181"/>
  <c r="AY73"/>
  <c r="BS6"/>
  <c r="AY384"/>
  <c r="AY262"/>
  <c r="AY302"/>
  <c r="AY141"/>
  <c r="AY185"/>
  <c r="AY36"/>
  <c r="AY69"/>
  <c r="BE6"/>
  <c r="AY562"/>
  <c r="AY436"/>
  <c r="AY327"/>
  <c r="AY244"/>
  <c r="AY43"/>
  <c r="AY460"/>
  <c r="AY350"/>
  <c r="AY252"/>
  <c r="AY111"/>
  <c r="AY31"/>
  <c r="AY139"/>
  <c r="AY34"/>
  <c r="AY66"/>
  <c r="AY176"/>
  <c r="AY115"/>
  <c r="AY188"/>
  <c r="AY276"/>
  <c r="AY297"/>
  <c r="AY225"/>
  <c r="AY335"/>
  <c r="AY470"/>
  <c r="AY409"/>
  <c r="AY180"/>
  <c r="AY228"/>
  <c r="AY358"/>
  <c r="AY465"/>
  <c r="AY433"/>
  <c r="BK6"/>
  <c r="AY541"/>
  <c r="AY108"/>
  <c r="AY45"/>
  <c r="AY28"/>
  <c r="AY201"/>
  <c r="AY138"/>
  <c r="AY118"/>
  <c r="AY294"/>
  <c r="AY231"/>
  <c r="AY214"/>
  <c r="AY381"/>
  <c r="AY554"/>
  <c r="AY104"/>
  <c r="AY24"/>
  <c r="AY177"/>
  <c r="AY290"/>
  <c r="AY210"/>
  <c r="AY349"/>
  <c r="AY332"/>
  <c r="AY488"/>
  <c r="AY446"/>
  <c r="AY427"/>
  <c r="BM6"/>
  <c r="BF6"/>
  <c r="AY510"/>
  <c r="AY584"/>
  <c r="AY122"/>
  <c r="AY205"/>
  <c r="AY49"/>
  <c r="AY577"/>
  <c r="AY543"/>
  <c r="AY571"/>
  <c r="AY525"/>
  <c r="AY406"/>
  <c r="AY472"/>
  <c r="AY340"/>
  <c r="AY370"/>
  <c r="AY259"/>
  <c r="AY150"/>
  <c r="AY72"/>
  <c r="F50" i="11"/>
  <c r="F34" i="68"/>
  <c r="C36" s="1"/>
  <c r="AY87" i="3"/>
  <c r="AY196"/>
  <c r="AY132"/>
  <c r="AY152"/>
  <c r="AY204"/>
  <c r="AY220"/>
  <c r="AY303"/>
  <c r="AY412"/>
  <c r="AY199"/>
  <c r="AY217"/>
  <c r="AY326"/>
  <c r="AY404"/>
  <c r="AY544"/>
  <c r="AY105"/>
  <c r="AY53"/>
  <c r="AY33"/>
  <c r="AY162"/>
  <c r="AY126"/>
  <c r="AY278"/>
  <c r="AY238"/>
  <c r="AY389"/>
  <c r="BH6"/>
  <c r="AY202"/>
  <c r="AY226"/>
  <c r="AY483"/>
  <c r="AY411"/>
  <c r="AY518"/>
  <c r="AY112"/>
  <c r="AY142"/>
  <c r="AY16"/>
  <c r="AY561"/>
  <c r="AY414"/>
  <c r="AY491"/>
  <c r="AY377"/>
  <c r="AY114"/>
  <c r="AY41"/>
  <c r="AY357"/>
  <c r="AY246"/>
  <c r="AY299"/>
  <c r="AY170"/>
  <c r="AY60"/>
  <c r="AY553"/>
  <c r="AY513"/>
  <c r="AY342"/>
  <c r="AY245"/>
  <c r="AY428"/>
  <c r="AY371"/>
  <c r="AY58"/>
  <c r="AY59"/>
  <c r="AY23"/>
  <c r="AY191"/>
  <c r="AY123"/>
  <c r="AY382"/>
  <c r="AY425"/>
  <c r="AY379"/>
  <c r="AY401"/>
  <c r="AY89"/>
  <c r="AY198"/>
  <c r="AY125"/>
  <c r="AY222"/>
  <c r="BB6"/>
  <c r="AY145"/>
  <c r="AY356"/>
  <c r="AY449"/>
  <c r="AY585"/>
  <c r="AY508"/>
  <c r="AY64"/>
  <c r="AY113"/>
  <c r="AY361"/>
  <c r="AY479"/>
  <c r="AY90"/>
  <c r="AY391"/>
  <c r="AY128"/>
  <c r="AY55"/>
  <c r="AY558"/>
  <c r="AY346"/>
  <c r="AY249"/>
  <c r="AY192"/>
  <c r="AY578"/>
  <c r="AY524"/>
  <c r="AY439"/>
  <c r="AY304"/>
  <c r="AY234"/>
  <c r="AY65"/>
  <c r="BQ6"/>
  <c r="AY393"/>
  <c r="AY286"/>
  <c r="AY311"/>
  <c r="AY124"/>
  <c r="AY240"/>
  <c r="AY107"/>
  <c r="AY359"/>
  <c r="AY62"/>
  <c r="AY538"/>
  <c r="AY313"/>
  <c r="AY556"/>
  <c r="AY295"/>
  <c r="AY193"/>
  <c r="AY526"/>
  <c r="AY67"/>
  <c r="AY269"/>
  <c r="AY242"/>
  <c r="AY462"/>
  <c r="AY583"/>
  <c r="AY347"/>
  <c r="AY233"/>
  <c r="AY120"/>
  <c r="F50" i="69"/>
  <c r="F11" i="12"/>
  <c r="C14" s="1"/>
  <c r="M59" i="67"/>
  <c r="J53" i="15"/>
  <c r="M59"/>
  <c r="L59" s="1"/>
  <c r="C29" i="12"/>
  <c r="D28" s="1"/>
  <c r="I41" i="36"/>
  <c r="J41" s="1"/>
  <c r="AY497" i="3"/>
  <c r="AY190"/>
  <c r="AY130"/>
  <c r="AY532"/>
  <c r="AY321"/>
  <c r="AY499"/>
  <c r="AY78"/>
  <c r="AY376"/>
  <c r="AY587"/>
  <c r="AY256"/>
  <c r="AY413"/>
  <c r="AY207"/>
  <c r="AY574"/>
  <c r="AY373"/>
  <c r="AY398"/>
  <c r="AY251"/>
  <c r="AY418"/>
  <c r="AY548"/>
  <c r="AY296"/>
  <c r="AY421"/>
  <c r="AY175"/>
  <c r="AY474"/>
  <c r="AY504"/>
  <c r="AY25"/>
  <c r="AY383"/>
  <c r="AY464"/>
  <c r="AY563"/>
  <c r="AY13"/>
  <c r="AY448"/>
  <c r="AY576"/>
  <c r="AY97"/>
  <c r="AY410"/>
  <c r="AY221"/>
  <c r="AY273"/>
  <c r="AY161"/>
  <c r="AY195"/>
  <c r="AY280"/>
  <c r="AY17"/>
  <c r="AY405"/>
  <c r="AY35"/>
  <c r="AY160"/>
  <c r="AY459"/>
  <c r="AY521"/>
  <c r="AY80"/>
  <c r="AY353"/>
  <c r="AY331"/>
  <c r="AY134"/>
  <c r="AY159"/>
  <c r="AY487"/>
  <c r="AY429"/>
  <c r="AY440"/>
  <c r="AY530"/>
  <c r="AY566"/>
  <c r="AY323"/>
  <c r="AY27"/>
  <c r="AY466"/>
  <c r="AY167"/>
  <c r="AY509"/>
  <c r="AY218"/>
  <c r="BI6"/>
  <c r="AY284"/>
  <c r="AY322"/>
  <c r="AY329"/>
  <c r="BD6"/>
  <c r="AY375"/>
  <c r="AY39"/>
  <c r="AY330"/>
  <c r="AY203"/>
  <c r="AY575"/>
  <c r="AY129"/>
  <c r="AY230"/>
  <c r="AY272"/>
  <c r="AY47"/>
  <c r="AY501"/>
  <c r="AY441"/>
  <c r="AY498"/>
  <c r="BC6"/>
  <c r="AY416"/>
  <c r="AY339"/>
  <c r="AY288"/>
  <c r="AY22"/>
  <c r="AY528"/>
  <c r="AY482"/>
  <c r="AY216"/>
  <c r="AY140"/>
  <c r="AY110"/>
  <c r="AY537"/>
  <c r="AY399"/>
  <c r="AY468"/>
  <c r="AY369"/>
  <c r="AY189"/>
  <c r="AY527"/>
  <c r="AY324"/>
  <c r="AY56"/>
  <c r="AY271"/>
  <c r="AY84"/>
  <c r="AY310"/>
  <c r="AY334"/>
  <c r="AY567"/>
  <c r="AY15"/>
  <c r="AY432"/>
  <c r="AY367"/>
  <c r="AY119"/>
  <c r="AY70"/>
  <c r="AY517"/>
  <c r="AY314"/>
  <c r="AY264"/>
  <c r="AY187"/>
  <c r="BA6"/>
  <c r="AY502"/>
  <c r="AY423"/>
  <c r="AY471"/>
  <c r="AY223"/>
  <c r="AY48"/>
  <c r="AY516"/>
  <c r="AY341"/>
  <c r="AY109"/>
  <c r="AY117"/>
  <c r="AY100"/>
  <c r="AY372"/>
  <c r="AY209"/>
  <c r="AY579"/>
  <c r="AY328"/>
  <c r="AY158"/>
  <c r="AY495"/>
  <c r="AY308"/>
  <c r="B2" i="80"/>
  <c r="E8" i="12" s="1"/>
  <c r="B3" i="80"/>
  <c r="E6" i="12" s="1"/>
  <c r="M21" i="6"/>
  <c r="I21" s="1"/>
  <c r="S21" s="1"/>
  <c r="S8" i="1"/>
  <c r="E8" i="70" s="1"/>
  <c r="S4" i="43"/>
  <c r="T4" s="1"/>
  <c r="V4" s="1"/>
  <c r="S7"/>
  <c r="T7" s="1"/>
  <c r="V7" s="1"/>
  <c r="C23"/>
  <c r="S2"/>
  <c r="T2" s="1"/>
  <c r="V2" s="1"/>
  <c r="S3"/>
  <c r="T3" s="1"/>
  <c r="V3" s="1"/>
  <c r="S6"/>
  <c r="T6" s="1"/>
  <c r="V6" s="1"/>
  <c r="S5"/>
  <c r="T5" s="1"/>
  <c r="V5" s="1"/>
  <c r="D113"/>
  <c r="J22" s="1"/>
  <c r="C38" i="15"/>
  <c r="E29" i="43"/>
  <c r="C26" s="1"/>
  <c r="D11" i="6"/>
  <c r="T48" i="21"/>
  <c r="G48" s="1"/>
  <c r="M20" i="6"/>
  <c r="I20" s="1"/>
  <c r="S20" s="1"/>
  <c r="S7" i="1"/>
  <c r="E7" i="70" s="1"/>
  <c r="D15" i="6"/>
  <c r="C34" i="11"/>
  <c r="C35" s="1"/>
  <c r="D10" i="6"/>
  <c r="D10" i="68"/>
  <c r="D19" s="1"/>
  <c r="C28" i="11"/>
  <c r="C27" s="1"/>
  <c r="C24"/>
  <c r="S6" i="1"/>
  <c r="M19" i="6"/>
  <c r="K27"/>
  <c r="D20" i="12"/>
  <c r="C20" s="1"/>
  <c r="AA7" i="34"/>
  <c r="R49" s="1"/>
  <c r="E49" s="1"/>
  <c r="C36" i="11"/>
  <c r="J24" i="67"/>
  <c r="J18"/>
  <c r="J24" i="15"/>
  <c r="J18"/>
  <c r="G36" i="36"/>
  <c r="R37"/>
  <c r="AB7" i="34"/>
  <c r="T49" s="1"/>
  <c r="G49" s="1"/>
  <c r="G53" s="1"/>
  <c r="H53" s="1"/>
  <c r="W7" i="21"/>
  <c r="AA7"/>
  <c r="R48" s="1"/>
  <c r="E48" s="1"/>
  <c r="E52" s="1"/>
  <c r="F52" s="1"/>
  <c r="C12" i="12"/>
  <c r="C15"/>
  <c r="U7" i="21"/>
  <c r="C27" i="43"/>
  <c r="I52" i="21"/>
  <c r="J52" s="1"/>
  <c r="I40" i="36"/>
  <c r="J40" s="1"/>
  <c r="R43" i="37"/>
  <c r="E42"/>
  <c r="I47" s="1"/>
  <c r="J47" s="1"/>
  <c r="G43" i="35"/>
  <c r="H43" s="1"/>
  <c r="I42"/>
  <c r="J42" s="1"/>
  <c r="R39"/>
  <c r="E38"/>
  <c r="I43" s="1"/>
  <c r="J43" s="1"/>
  <c r="G47" i="37"/>
  <c r="H47" s="1"/>
  <c r="I46"/>
  <c r="J46" s="1"/>
  <c r="G63" i="40"/>
  <c r="F65"/>
  <c r="G70" i="39"/>
  <c r="E6" i="76"/>
  <c r="C17" i="15"/>
  <c r="D14" i="6" l="1"/>
  <c r="AR9" i="1"/>
  <c r="T9"/>
  <c r="AQ9"/>
  <c r="D13" i="6"/>
  <c r="D19"/>
  <c r="C22" i="11"/>
  <c r="C31" s="1"/>
  <c r="H26" i="6"/>
  <c r="D24"/>
  <c r="D26"/>
  <c r="L19" i="9"/>
  <c r="D23" i="6"/>
  <c r="H24"/>
  <c r="D21"/>
  <c r="H25"/>
  <c r="R25" s="1"/>
  <c r="D6"/>
  <c r="H23"/>
  <c r="D22"/>
  <c r="D12"/>
  <c r="E61" i="40"/>
  <c r="D8" i="6"/>
  <c r="D9"/>
  <c r="H22"/>
  <c r="C18" i="4"/>
  <c r="A10" i="51" s="1"/>
  <c r="B9" i="72" s="1"/>
  <c r="D5" i="6"/>
  <c r="D29"/>
  <c r="D20"/>
  <c r="D28"/>
  <c r="M19" i="9"/>
  <c r="C118" s="1"/>
  <c r="C14" i="74" s="1"/>
  <c r="B2" s="1"/>
  <c r="C34" i="68"/>
  <c r="C38" s="1"/>
  <c r="L56" i="15"/>
  <c r="F1"/>
  <c r="Q52"/>
  <c r="Q74"/>
  <c r="Q61"/>
  <c r="H21" i="6"/>
  <c r="R21" s="1"/>
  <c r="R8" i="1" s="1"/>
  <c r="AR8"/>
  <c r="T8"/>
  <c r="AQ8"/>
  <c r="H20" i="6"/>
  <c r="R50" i="34"/>
  <c r="C49" s="1"/>
  <c r="R26" i="6"/>
  <c r="T7" i="1"/>
  <c r="AR7"/>
  <c r="AQ7"/>
  <c r="C38" i="11"/>
  <c r="C33" s="1"/>
  <c r="C42" s="1"/>
  <c r="C10" i="68"/>
  <c r="H9" s="1"/>
  <c r="B29" i="1" s="1"/>
  <c r="C8" i="68" s="1"/>
  <c r="I19" i="6"/>
  <c r="M27"/>
  <c r="AQ6" i="1"/>
  <c r="AR6"/>
  <c r="T6"/>
  <c r="E2" i="76"/>
  <c r="B2" i="43"/>
  <c r="C6" i="69" s="1"/>
  <c r="R49" i="21"/>
  <c r="C48" s="1"/>
  <c r="G54" i="34"/>
  <c r="H54" s="1"/>
  <c r="I53" i="21"/>
  <c r="J53" s="1"/>
  <c r="C37" i="36"/>
  <c r="C36"/>
  <c r="G40"/>
  <c r="H40" s="1"/>
  <c r="E41"/>
  <c r="F41" s="1"/>
  <c r="G41"/>
  <c r="H41" s="1"/>
  <c r="C19" i="68"/>
  <c r="D37"/>
  <c r="C37" s="1"/>
  <c r="C16" i="12"/>
  <c r="E47" i="37"/>
  <c r="F47" s="1"/>
  <c r="E46"/>
  <c r="F46" s="1"/>
  <c r="C43"/>
  <c r="C42"/>
  <c r="C39" i="35"/>
  <c r="C38"/>
  <c r="E43"/>
  <c r="F43" s="1"/>
  <c r="E42"/>
  <c r="F42" s="1"/>
  <c r="E54" i="34"/>
  <c r="F54" s="1"/>
  <c r="I54"/>
  <c r="J54" s="1"/>
  <c r="E53"/>
  <c r="F53" s="1"/>
  <c r="G52" i="21"/>
  <c r="H52" s="1"/>
  <c r="G53"/>
  <c r="H53" s="1"/>
  <c r="E53"/>
  <c r="F53" s="1"/>
  <c r="H63" i="40"/>
  <c r="G65"/>
  <c r="H70" i="39"/>
  <c r="B6" i="76"/>
  <c r="D30" i="6" l="1"/>
  <c r="R24"/>
  <c r="D16"/>
  <c r="R23"/>
  <c r="D27"/>
  <c r="A7" i="51"/>
  <c r="B7" i="72" s="1"/>
  <c r="R20" i="6"/>
  <c r="R7" i="1" s="1"/>
  <c r="R22" i="6"/>
  <c r="R9" i="1" s="1"/>
  <c r="C4" i="52"/>
  <c r="B45" i="72" s="1"/>
  <c r="C35" i="68"/>
  <c r="C50" i="34"/>
  <c r="C18" i="12"/>
  <c r="C21" s="1"/>
  <c r="C22" s="1"/>
  <c r="D31" i="6"/>
  <c r="I6" s="1"/>
  <c r="I27"/>
  <c r="H19"/>
  <c r="S19"/>
  <c r="S27" s="1"/>
  <c r="C7" i="69"/>
  <c r="B2" i="76"/>
  <c r="B3" s="1"/>
  <c r="B3" i="43"/>
  <c r="C49" i="21"/>
  <c r="C24" i="68"/>
  <c r="C33"/>
  <c r="C91" i="9" s="1"/>
  <c r="I63" i="40"/>
  <c r="H65"/>
  <c r="C39" i="11"/>
  <c r="C43" s="1"/>
  <c r="C41" s="1"/>
  <c r="I70" i="39"/>
  <c r="I5" i="6" l="1"/>
  <c r="C92" i="9"/>
  <c r="C94"/>
  <c r="H27" i="6"/>
  <c r="R19"/>
  <c r="C39" i="68"/>
  <c r="C43" s="1"/>
  <c r="C42"/>
  <c r="J63" i="40"/>
  <c r="I65"/>
  <c r="C46" i="11"/>
  <c r="C45" s="1"/>
  <c r="C49" s="1"/>
  <c r="C51" s="1"/>
  <c r="C52" s="1"/>
  <c r="B2" s="1"/>
  <c r="B3" s="1"/>
  <c r="J70" i="39"/>
  <c r="R27" i="6" l="1"/>
  <c r="R6" i="1"/>
  <c r="C41" i="68"/>
  <c r="C46"/>
  <c r="C45" s="1"/>
  <c r="K63" i="40"/>
  <c r="J65"/>
  <c r="K70" i="39"/>
  <c r="C56" i="11"/>
  <c r="C57" s="1"/>
  <c r="M21" i="15"/>
  <c r="M21" i="67"/>
  <c r="F35" i="15"/>
  <c r="F35" i="67"/>
  <c r="F63" l="1"/>
  <c r="C62" s="1"/>
  <c r="C34"/>
  <c r="F63" i="15"/>
  <c r="C62" s="1"/>
  <c r="C34"/>
  <c r="J20"/>
  <c r="J20" i="67"/>
  <c r="R16" i="1"/>
  <c r="C49" i="68"/>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AE8"/>
  <c r="C66" i="15" l="1"/>
  <c r="C60"/>
  <c r="C59" s="1"/>
  <c r="AG6" i="1"/>
  <c r="C80" i="15"/>
  <c r="C79" s="1"/>
  <c r="C65"/>
  <c r="Q68"/>
  <c r="F41" i="67"/>
  <c r="L51" i="15"/>
  <c r="M27" i="67"/>
  <c r="F41" i="15"/>
  <c r="M27"/>
  <c r="Q67" l="1"/>
  <c r="L57"/>
  <c r="L60" s="1"/>
  <c r="Q57" s="1"/>
  <c r="J26"/>
  <c r="J29" s="1"/>
  <c r="J26" i="67"/>
  <c r="J29" s="1"/>
  <c r="C58" i="15"/>
  <c r="C67" s="1"/>
  <c r="F69"/>
  <c r="C40"/>
  <c r="C44" s="1"/>
  <c r="F69" i="67"/>
  <c r="C68" s="1"/>
  <c r="C71" s="1"/>
  <c r="C40"/>
  <c r="C83" s="1"/>
  <c r="C82" s="1"/>
  <c r="C43" i="15" l="1"/>
  <c r="L46"/>
  <c r="B2" s="1"/>
  <c r="Q66"/>
  <c r="C68"/>
  <c r="C71" s="1"/>
  <c r="C83"/>
  <c r="C82" s="1"/>
  <c r="Q65"/>
  <c r="Q47"/>
  <c r="Q53" s="1"/>
  <c r="Q56"/>
  <c r="Q62" s="1"/>
  <c r="C43" i="67"/>
  <c r="C45"/>
  <c r="C46" s="1"/>
  <c r="Q65"/>
  <c r="Q75" s="1"/>
  <c r="Q56"/>
  <c r="Q62" s="1"/>
  <c r="Q47"/>
  <c r="Q53" s="1"/>
  <c r="D2"/>
  <c r="B2" s="1"/>
  <c r="AO7" i="1"/>
  <c r="AO8"/>
  <c r="AO6"/>
  <c r="E2" i="69"/>
  <c r="B3" i="15" l="1"/>
  <c r="D6" i="12" s="1"/>
  <c r="L18" s="1"/>
  <c r="D8"/>
  <c r="Q75" i="15"/>
  <c r="B8" i="70"/>
  <c r="B7"/>
  <c r="B6"/>
  <c r="C46" i="15"/>
  <c r="B2" i="69"/>
  <c r="B3" s="1"/>
  <c r="B3" i="67"/>
  <c r="D2" i="33"/>
  <c r="D2" i="35"/>
  <c r="D2" i="34"/>
  <c r="E2" i="68"/>
  <c r="D2" i="21"/>
  <c r="F20" i="31"/>
  <c r="D2" i="37"/>
  <c r="D2" i="36"/>
  <c r="B20" i="31" l="1"/>
  <c r="B2" i="36"/>
  <c r="B3" s="1"/>
  <c r="B2" i="35"/>
  <c r="B3" s="1"/>
  <c r="B2" i="37"/>
  <c r="B3" s="1"/>
  <c r="B2" i="34"/>
  <c r="B3" s="1"/>
  <c r="B2" i="21"/>
  <c r="B2" i="70"/>
  <c r="B3" s="1"/>
  <c r="B3" i="21" l="1"/>
  <c r="C6" i="12" s="1"/>
  <c r="C8"/>
  <c r="C4" s="1"/>
  <c r="C31" l="1"/>
  <c r="C23"/>
  <c r="C30" l="1"/>
  <c r="C28" s="1"/>
  <c r="C27"/>
  <c r="C25" s="1"/>
  <c r="J7" i="33"/>
  <c r="W7" s="1"/>
  <c r="F7"/>
  <c r="S7" s="1"/>
  <c r="H7"/>
  <c r="AB7" s="1"/>
  <c r="T48" s="1"/>
  <c r="G48" s="1"/>
  <c r="C32" i="12" l="1"/>
  <c r="B2" s="1"/>
  <c r="B3" s="1"/>
  <c r="G52" i="33"/>
  <c r="H52" s="1"/>
  <c r="AA7"/>
  <c r="R48" s="1"/>
  <c r="U7"/>
  <c r="AC7"/>
  <c r="V48" s="1"/>
  <c r="I48" s="1"/>
  <c r="D19" i="9"/>
  <c r="D20"/>
  <c r="J22" l="1"/>
  <c r="D21"/>
  <c r="D102"/>
  <c r="D103"/>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l="1"/>
  <c r="B3" s="1"/>
  <c r="C6" i="68"/>
  <c r="C7" s="1"/>
  <c r="C5" s="1"/>
  <c r="C23" l="1"/>
  <c r="C20"/>
  <c r="C28" l="1"/>
  <c r="C27" s="1"/>
  <c r="C25"/>
  <c r="C22" s="1"/>
  <c r="H112" i="9"/>
  <c r="D21" i="53" s="1"/>
  <c r="B39" i="72" s="1"/>
  <c r="H111" i="9"/>
  <c r="D126" s="1"/>
  <c r="D59"/>
  <c r="M55" s="1"/>
  <c r="C31" i="68" l="1"/>
  <c r="C52" s="1"/>
  <c r="C57" s="1"/>
  <c r="C56" s="1"/>
  <c r="D19" i="53"/>
  <c r="B38" i="72" s="1"/>
  <c r="I14" i="74"/>
  <c r="B8" s="1"/>
  <c r="D127" i="9"/>
  <c r="D13" i="52" s="1"/>
  <c r="D12"/>
  <c r="B2" i="68" l="1"/>
  <c r="B3" s="1"/>
  <c r="D20" i="53"/>
  <c r="B40" i="72" s="1"/>
  <c r="D8" i="74"/>
  <c r="C8"/>
  <c r="H107" i="9"/>
  <c r="D35"/>
  <c r="C19"/>
  <c r="C20"/>
  <c r="D34"/>
  <c r="G19" l="1"/>
  <c r="D27" s="1"/>
  <c r="C102"/>
  <c r="C21"/>
  <c r="D22"/>
  <c r="C103"/>
  <c r="G20"/>
  <c r="D122"/>
  <c r="H108"/>
  <c r="D15" i="53" s="1"/>
  <c r="B31" i="72" s="1"/>
  <c r="D13" i="53"/>
  <c r="G21" i="9" l="1"/>
  <c r="C32"/>
  <c r="C35" s="1"/>
  <c r="F118" s="1"/>
  <c r="D14" i="53"/>
  <c r="B32" i="72" s="1"/>
  <c r="B30"/>
  <c r="G14" i="74"/>
  <c r="B6" s="1"/>
  <c r="D123" i="9"/>
  <c r="D9" i="52" s="1"/>
  <c r="D8"/>
  <c r="H118" i="9" l="1"/>
  <c r="C104" s="1"/>
  <c r="C34"/>
  <c r="D118" s="1"/>
  <c r="G118"/>
  <c r="G4" i="52" s="1"/>
  <c r="B52" i="72" s="1"/>
  <c r="F119" i="9"/>
  <c r="F5" i="52" s="1"/>
  <c r="B53" i="72" s="1"/>
  <c r="F4" i="52"/>
  <c r="B51" i="72" s="1"/>
  <c r="D6" i="74"/>
  <c r="C6"/>
  <c r="H4" i="52" l="1"/>
  <c r="I118" i="9"/>
  <c r="I4" i="52" s="1"/>
  <c r="H119" i="9"/>
  <c r="H5" i="52" s="1"/>
  <c r="H101" i="9"/>
  <c r="D45" s="1"/>
  <c r="D14" i="74"/>
  <c r="F14" s="1"/>
  <c r="D119" i="9"/>
  <c r="D5" i="52" s="1"/>
  <c r="B49" i="72" s="1"/>
  <c r="D4" i="52"/>
  <c r="B47" i="72" s="1"/>
  <c r="E118" i="9" l="1"/>
  <c r="E4" i="52" s="1"/>
  <c r="B48" i="72" s="1"/>
  <c r="H109" i="9"/>
  <c r="D124" s="1"/>
  <c r="H102"/>
  <c r="D7" i="53" s="1"/>
  <c r="B21" i="72" s="1"/>
  <c r="D5" i="53"/>
  <c r="D6" s="1"/>
  <c r="B22" i="72" s="1"/>
  <c r="M48" i="9"/>
  <c r="C105"/>
  <c r="E14" i="74"/>
  <c r="D53" i="9"/>
  <c r="D48" s="1"/>
  <c r="M52" s="1"/>
  <c r="D52"/>
  <c r="D55"/>
  <c r="M53" s="1"/>
  <c r="C78"/>
  <c r="C73" s="1"/>
  <c r="C64"/>
  <c r="C63" s="1"/>
  <c r="C67" s="1"/>
  <c r="C68" s="1"/>
  <c r="D54" s="1"/>
  <c r="C85"/>
  <c r="C93"/>
  <c r="C86" s="1"/>
  <c r="C72"/>
  <c r="H110" l="1"/>
  <c r="D18" i="53" s="1"/>
  <c r="B35" i="72" s="1"/>
  <c r="M49" i="9"/>
  <c r="L64" s="1"/>
  <c r="M64" s="1"/>
  <c r="D16" i="53"/>
  <c r="B34" i="72" s="1"/>
  <c r="B20"/>
  <c r="C79" i="9"/>
  <c r="D10" i="52"/>
  <c r="D125" i="9"/>
  <c r="D11" i="52" s="1"/>
  <c r="H14" i="74"/>
  <c r="B7" s="1"/>
  <c r="C95" i="9"/>
  <c r="AD3" i="71"/>
  <c r="P21" i="43" s="1"/>
  <c r="L67" i="9" l="1"/>
  <c r="M67" s="1"/>
  <c r="L68"/>
  <c r="M68" s="1"/>
  <c r="L65"/>
  <c r="M65" s="1"/>
  <c r="L63"/>
  <c r="M63" s="1"/>
  <c r="L66"/>
  <c r="M66" s="1"/>
  <c r="D17" i="53"/>
  <c r="B36" i="72" s="1"/>
  <c r="C80" i="9"/>
  <c r="E80" s="1"/>
  <c r="E81" s="1"/>
  <c r="C96"/>
  <c r="E96" s="1"/>
  <c r="E97" s="1"/>
  <c r="D7" i="74"/>
  <c r="C7"/>
  <c r="P22" i="43"/>
  <c r="P23"/>
  <c r="B71" i="39" s="1"/>
  <c r="P24" i="43"/>
  <c r="B66" i="40" s="1"/>
  <c r="P25" i="43"/>
  <c r="M69" i="9" l="1"/>
  <c r="N69" s="1"/>
  <c r="C97"/>
  <c r="D58" s="1"/>
  <c r="D56" s="1"/>
  <c r="M54" s="1"/>
  <c r="N57" s="1"/>
  <c r="N58" s="1"/>
  <c r="C81"/>
  <c r="P57" l="1"/>
  <c r="N59"/>
  <c r="J27" s="1"/>
  <c r="N60" l="1"/>
  <c r="N61"/>
  <c r="E15" i="74" l="1"/>
  <c r="F15"/>
  <c r="B5"/>
  <c r="C5" l="1"/>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<sst xmlns="http://schemas.openxmlformats.org/spreadsheetml/2006/main" count="9465" uniqueCount="3617">
  <si>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</si>
  <si>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</si>
  <si>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</si>
  <si>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</si>
  <si>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</si>
  <si>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</si>
  <si>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</si>
  <si>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</si>
  <si>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</si>
  <si>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</si>
  <si>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</si>
  <si>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</si>
  <si>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</si>
  <si>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</si>
  <si>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</si>
  <si>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</si>
  <si>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</si>
  <si>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</si>
  <si>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</si>
  <si>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</si>
  <si>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</si>
  <si>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</si>
  <si>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</si>
  <si>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</si>
  <si>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</si>
  <si>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</si>
  <si>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</si>
  <si>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</si>
  <si>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</si>
  <si>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</si>
  <si>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</si>
  <si>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</si>
  <si>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</si>
  <si>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</si>
  <si>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</si>
  <si>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</si>
  <si>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</si>
  <si>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</si>
  <si>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</si>
  <si>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</si>
  <si>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</si>
  <si>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</si>
  <si>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</si>
  <si>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</si>
  <si>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</si>
  <si>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</si>
  <si>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</si>
  <si>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</si>
  <si>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</si>
  <si>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</si>
  <si>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</si>
  <si>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</si>
  <si>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</si>
  <si>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</si>
  <si>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</si>
  <si>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</si>
  <si>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</si>
  <si>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</si>
  <si>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</si>
  <si>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</si>
  <si>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</si>
  <si>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</si>
  <si>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</si>
  <si>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</si>
  <si>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</si>
  <si>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</si>
  <si>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</si>
  <si>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</si>
  <si>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</si>
  <si>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</si>
  <si>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</si>
  <si>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</si>
  <si>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</si>
  <si>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</si>
  <si>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</si>
  <si>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</si>
  <si>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</si>
  <si>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</si>
  <si>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</si>
  <si>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</si>
  <si>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</si>
  <si>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</si>
  <si>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</si>
  <si>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</si>
  <si>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</si>
  <si>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</si>
  <si>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</si>
  <si>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</si>
  <si>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</si>
  <si>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</si>
  <si>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</si>
  <si>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</si>
  <si>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</si>
  <si>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</si>
  <si>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</si>
  <si>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</si>
  <si>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</si>
  <si>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</si>
  <si>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</si>
  <si>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</si>
  <si>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</si>
  <si>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</si>
  <si>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</si>
  <si>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</si>
  <si>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</si>
  <si>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</si>
  <si>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</si>
  <si>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</si>
  <si>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</si>
  <si>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</si>
  <si>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</si>
  <si>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</si>
  <si>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</si>
  <si>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</si>
  <si>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</si>
  <si>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</si>
  <si>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</si>
  <si>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</si>
  <si>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</si>
  <si>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</si>
  <si>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</si>
  <si>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</si>
  <si>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</si>
  <si>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</si>
  <si>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</si>
  <si>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</si>
  <si>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</si>
  <si>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</si>
  <si>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</si>
  <si>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</si>
  <si>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</si>
  <si>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</si>
  <si>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</si>
  <si>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</si>
  <si>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</si>
  <si>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</si>
  <si>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</si>
  <si>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</si>
  <si>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</si>
  <si>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</si>
  <si>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</si>
  <si>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</si>
  <si>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</si>
  <si>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</si>
  <si>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</si>
  <si>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</si>
  <si>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</si>
  <si>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</si>
  <si>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</si>
  <si>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</si>
  <si>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</si>
  <si>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</si>
  <si>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</si>
  <si>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</si>
  <si>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</si>
  <si>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</si>
  <si>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</si>
  <si>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</si>
  <si>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</si>
  <si>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</si>
  <si>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</si>
  <si>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</si>
  <si>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</si>
  <si>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</si>
  <si>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</si>
  <si>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</si>
  <si>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</si>
  <si>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</si>
  <si>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</si>
  <si>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</si>
  <si>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</si>
  <si>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</si>
  <si>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</si>
  <si>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</si>
  <si>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</si>
  <si>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</si>
  <si>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</si>
  <si>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</si>
  <si>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</si>
  <si>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</si>
  <si>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</si>
  <si>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</si>
  <si>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</si>
  <si>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</si>
  <si>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</si>
  <si>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</si>
  <si>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</si>
  <si>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</si>
  <si>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</si>
  <si>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</si>
  <si>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</si>
  <si>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</si>
  <si>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</si>
  <si>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</si>
  <si>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</si>
  <si>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</si>
  <si>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</si>
  <si>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</si>
  <si>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</si>
  <si>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</si>
  <si>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</si>
  <si>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</si>
  <si>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</si>
  <si>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</si>
  <si>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</si>
  <si>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</si>
  <si>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</si>
  <si>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</si>
  <si>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</si>
  <si>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</si>
  <si>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</si>
  <si>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</si>
  <si>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</si>
  <si>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</si>
  <si>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</si>
  <si>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</si>
  <si>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</si>
  <si>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</si>
  <si>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</si>
  <si>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</si>
  <si>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</si>
  <si>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</si>
  <si>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</si>
  <si>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</si>
  <si>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</si>
  <si>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</si>
  <si>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</si>
  <si>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</si>
  <si>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</si>
  <si>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</si>
  <si>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</si>
  <si>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</si>
  <si>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</si>
  <si>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</si>
  <si>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</si>
  <si>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</si>
  <si>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</si>
  <si>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</si>
  <si>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</si>
  <si>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</si>
  <si>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</si>
  <si>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</si>
  <si>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</si>
  <si>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</si>
  <si>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</si>
  <si>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</si>
  <si>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</si>
  <si>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</si>
  <si>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</si>
  <si>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</si>
  <si>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</si>
  <si>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</si>
  <si>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</si>
  <si>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</si>
  <si>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</si>
  <si>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</si>
  <si>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</si>
  <si>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</si>
  <si>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</si>
  <si>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</si>
  <si>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</si>
  <si>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</si>
  <si>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</si>
  <si>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</si>
  <si>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</si>
  <si>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</si>
  <si>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</si>
  <si>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</si>
  <si>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</si>
  <si>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</si>
  <si>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</si>
  <si>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</si>
  <si>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</si>
  <si>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</si>
  <si>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</si>
  <si>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</si>
  <si>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</si>
  <si>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</si>
  <si>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</si>
  <si>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</si>
  <si>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</si>
  <si>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</si>
  <si>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</si>
  <si>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</si>
  <si>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</si>
  <si>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</si>
  <si>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</si>
  <si>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</si>
  <si>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</si>
  <si>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</si>
  <si>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</si>
  <si>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</si>
  <si>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</si>
  <si>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</si>
  <si>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</si>
  <si>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</si>
  <si>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</si>
  <si>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</si>
  <si>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</si>
  <si>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</si>
  <si>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</si>
  <si>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</si>
  <si>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</si>
  <si>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</si>
  <si>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</si>
  <si>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</si>
  <si>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</si>
  <si>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</si>
  <si>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</si>
  <si>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</si>
  <si>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</si>
  <si>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</si>
  <si>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</si>
  <si>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</si>
  <si>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</si>
  <si>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</si>
  <si>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</si>
  <si>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</si>
  <si>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</si>
  <si>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</si>
  <si>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</si>
  <si>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</si>
  <si>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</si>
  <si>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</si>
  <si>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</si>
  <si>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</si>
  <si>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</si>
  <si>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</si>
  <si>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</si>
  <si>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</si>
  <si>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</si>
  <si>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</si>
  <si>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</si>
  <si>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</si>
  <si>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</si>
  <si>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</si>
  <si>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</si>
  <si>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</si>
  <si>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</si>
  <si>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</si>
  <si>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</si>
  <si>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</si>
  <si>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</si>
  <si>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</si>
  <si>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</si>
  <si>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</si>
  <si>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</si>
  <si>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</si>
  <si>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</si>
  <si>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</si>
  <si>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</si>
  <si>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</si>
  <si>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</si>
  <si>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</si>
  <si>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</si>
  <si>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</si>
  <si>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</si>
  <si>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</si>
  <si>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</si>
  <si>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</si>
  <si>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</si>
  <si>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</si>
  <si>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</si>
  <si>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</si>
  <si>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</si>
  <si>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</si>
  <si>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</si>
  <si>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</si>
  <si>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</si>
  <si>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</si>
  <si>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</si>
  <si>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</si>
  <si>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</si>
  <si>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</si>
  <si>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</si>
  <si>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</si>
  <si>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</si>
  <si>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</si>
  <si>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</si>
  <si>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</si>
  <si>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</si>
  <si>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</si>
  <si>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</si>
  <si>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</si>
  <si>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</si>
  <si>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</si>
  <si>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</si>
  <si>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</si>
  <si>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</si>
  <si>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</si>
  <si>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</si>
  <si>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</si>
  <si>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</si>
  <si>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</si>
  <si>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</si>
  <si>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</si>
  <si>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</si>
  <si>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</si>
  <si>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</si>
  <si>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</si>
  <si>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</si>
  <si>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</si>
  <si>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</si>
  <si>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</si>
  <si>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</si>
  <si>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</si>
  <si>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</si>
  <si>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</si>
  <si>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</si>
  <si>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</si>
  <si>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</si>
  <si>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</si>
  <si>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</si>
  <si>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</si>
  <si>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</si>
  <si>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</si>
  <si>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</si>
  <si>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</si>
  <si>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</si>
  <si>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</si>
  <si>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</si>
  <si>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</si>
  <si>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</si>
  <si>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</si>
  <si>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</si>
  <si>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</si>
  <si>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</si>
  <si>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</si>
  <si>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</si>
  <si>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</si>
  <si>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</si>
  <si>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</si>
  <si>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</si>
  <si>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</si>
  <si>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</si>
  <si>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</si>
  <si>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</si>
  <si>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</si>
  <si>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</si>
  <si>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</si>
  <si>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</si>
  <si>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</si>
  <si>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</si>
  <si>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</si>
  <si>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</si>
  <si>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</si>
  <si>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</si>
  <si>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</si>
  <si>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</si>
  <si>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</si>
  <si>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</si>
  <si>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</si>
  <si>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</si>
  <si>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</si>
  <si>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</si>
  <si>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</si>
  <si>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</si>
  <si>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</si>
  <si>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</si>
  <si>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</si>
  <si>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</si>
  <si>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</si>
  <si>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</si>
  <si>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</si>
  <si>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</si>
  <si>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</si>
  <si>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</si>
  <si>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</si>
  <si>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</si>
  <si>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</si>
  <si>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</si>
  <si>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</si>
  <si>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</si>
  <si>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</si>
  <si>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</si>
  <si>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</si>
  <si>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</si>
  <si>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</si>
  <si>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</si>
  <si>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</si>
  <si>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</si>
  <si>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</si>
  <si>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</si>
  <si>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</si>
  <si>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</si>
  <si>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</si>
  <si>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</si>
  <si>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</si>
  <si>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</si>
  <si>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</si>
  <si>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</si>
  <si>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</si>
  <si>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</si>
  <si>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</si>
  <si>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</si>
  <si>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</si>
  <si>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</si>
  <si>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</si>
  <si>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</si>
  <si>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</si>
  <si>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</si>
  <si>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</si>
  <si>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</si>
  <si>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</si>
  <si>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</si>
  <si>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</si>
  <si>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</si>
  <si>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</si>
  <si>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</si>
  <si>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</si>
  <si>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</si>
  <si>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</si>
  <si>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</si>
  <si>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</si>
  <si>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</si>
  <si>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</si>
  <si>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</si>
  <si>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</si>
  <si>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</si>
  <si>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</si>
  <si>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</si>
  <si>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</si>
  <si>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</si>
  <si>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</si>
  <si>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</si>
  <si>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</si>
  <si>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</si>
  <si>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</si>
  <si>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</si>
  <si>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</si>
  <si>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</si>
  <si>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</si>
  <si>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</si>
  <si>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</si>
  <si>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</si>
  <si>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</si>
  <si>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</si>
  <si>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</si>
  <si>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</si>
  <si>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</si>
  <si>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</si>
  <si>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</si>
  <si>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</si>
  <si>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</si>
  <si>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</si>
  <si>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</si>
  <si>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</si>
  <si>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</si>
  <si>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</si>
  <si>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</si>
  <si>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</si>
  <si>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</si>
  <si>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</si>
  <si>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</si>
  <si>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</si>
  <si>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</si>
  <si>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</si>
  <si>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</si>
  <si>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</si>
  <si>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</si>
  <si>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</si>
  <si>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</si>
  <si>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</si>
  <si>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</si>
  <si>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</si>
  <si>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</si>
  <si>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</si>
  <si>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</si>
  <si>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</si>
  <si>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</si>
  <si>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</si>
  <si>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</si>
  <si>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</si>
  <si>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</si>
  <si>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</si>
  <si>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</si>
  <si>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</si>
  <si>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</si>
  <si>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</si>
  <si>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</si>
  <si>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</si>
  <si>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</si>
  <si>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</si>
  <si>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</si>
  <si>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</si>
  <si>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</si>
  <si>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</si>
  <si>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</si>
  <si>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</si>
  <si>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</si>
  <si>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</si>
  <si>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</si>
  <si>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</si>
  <si>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</si>
  <si>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</si>
  <si>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</si>
  <si>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</si>
  <si>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</si>
  <si>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</si>
  <si>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</si>
  <si>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</si>
  <si>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</si>
  <si>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</si>
  <si>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</si>
  <si>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</si>
  <si>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</si>
  <si>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</si>
  <si>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</si>
  <si>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</si>
  <si>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</si>
  <si>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</si>
  <si>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</si>
  <si>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</si>
  <si>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</si>
  <si>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</si>
  <si>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</si>
  <si>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</si>
  <si>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</si>
  <si>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</si>
  <si>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</si>
  <si>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</si>
  <si>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</si>
  <si>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</si>
  <si>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</si>
  <si>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</si>
  <si>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</si>
  <si>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</si>
  <si>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</si>
  <si>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</si>
  <si>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</si>
  <si>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</si>
  <si>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</si>
  <si>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</si>
  <si>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</si>
  <si>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</si>
  <si>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</si>
  <si>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</si>
  <si>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</si>
  <si>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</si>
  <si>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</si>
  <si>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</si>
  <si>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</si>
  <si>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</si>
  <si>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</si>
  <si>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</si>
  <si>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</si>
  <si>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</si>
  <si>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</si>
  <si>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</si>
  <si>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</si>
  <si>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</si>
  <si>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</si>
  <si>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</si>
  <si>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</si>
  <si>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</si>
  <si>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</si>
  <si>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</si>
  <si>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</si>
  <si>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</si>
  <si>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</si>
  <si>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</si>
  <si>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</si>
  <si>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</si>
  <si>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</si>
  <si>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</si>
  <si>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</si>
  <si>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</si>
  <si>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</si>
  <si>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</si>
  <si>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</si>
  <si>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</si>
  <si>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</si>
  <si>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</si>
  <si>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</si>
  <si>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</si>
  <si>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</si>
  <si>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</si>
  <si>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</si>
  <si>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</si>
  <si>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</si>
  <si>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</si>
  <si>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</si>
  <si>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</si>
  <si>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</si>
  <si>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</si>
  <si>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</si>
  <si>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</si>
  <si>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</si>
  <si>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</si>
  <si>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</si>
  <si>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</si>
  <si>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</si>
  <si>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</si>
  <si>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</si>
  <si>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</si>
  <si>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</si>
  <si>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</si>
  <si>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</si>
  <si>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</si>
  <si>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</si>
  <si>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</si>
  <si>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</si>
  <si>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</si>
  <si>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</si>
  <si>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</si>
  <si>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</si>
  <si>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</si>
  <si>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</si>
  <si>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</si>
  <si>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</si>
  <si>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</si>
  <si>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</si>
  <si>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</si>
  <si>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</si>
  <si>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</si>
  <si>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</si>
  <si>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</si>
  <si>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</si>
  <si>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</si>
  <si>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</si>
  <si>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</si>
  <si>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</si>
  <si>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</si>
  <si>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</si>
  <si>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</si>
  <si>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</si>
  <si>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</si>
  <si>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</si>
  <si>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</si>
  <si>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</si>
  <si>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</si>
  <si>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</si>
  <si>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</si>
  <si>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</si>
  <si>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</si>
  <si>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</si>
  <si>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</si>
  <si>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</si>
  <si>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</si>
  <si>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</si>
  <si>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</si>
  <si>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</si>
  <si>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</si>
  <si>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</si>
  <si>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</si>
  <si>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</si>
  <si>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</si>
  <si>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</si>
  <si>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</si>
  <si>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</si>
  <si>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</si>
  <si>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</si>
  <si>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</si>
  <si>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</si>
  <si>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</si>
  <si>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</si>
  <si>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</si>
  <si>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</si>
  <si>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</si>
  <si>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</si>
  <si>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</si>
  <si>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</si>
  <si>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</si>
  <si>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</si>
  <si>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</si>
  <si>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</si>
  <si>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</si>
  <si>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</si>
  <si>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</si>
  <si>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</si>
  <si>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</si>
  <si>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</si>
  <si>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</si>
  <si>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</si>
  <si>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</si>
  <si>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</si>
  <si>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</si>
  <si>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</si>
  <si>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</si>
  <si>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</si>
  <si>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</si>
  <si>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</si>
  <si>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</si>
  <si>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</si>
  <si>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</si>
  <si>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</si>
  <si>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</si>
  <si>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</si>
  <si>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</si>
  <si>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</si>
  <si>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</si>
  <si>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</si>
  <si>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</si>
  <si>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</si>
  <si>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</si>
  <si>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</si>
  <si>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</si>
  <si>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</si>
  <si>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</si>
  <si>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</si>
  <si>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</si>
  <si>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</si>
  <si>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</si>
  <si>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</si>
  <si>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</si>
  <si>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</si>
  <si>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</si>
  <si>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</si>
  <si>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</si>
  <si>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</si>
  <si>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</si>
  <si>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</si>
  <si>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</si>
  <si>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</si>
  <si>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</si>
  <si>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</si>
  <si>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</si>
  <si>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</si>
  <si>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</si>
  <si>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</si>
  <si>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</si>
  <si>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</si>
  <si>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</si>
  <si>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</si>
  <si>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</si>
  <si>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</si>
  <si>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</si>
  <si>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</si>
  <si>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</si>
  <si>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</si>
  <si>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</si>
  <si>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</si>
  <si>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</si>
  <si>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</si>
  <si>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</si>
  <si>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</si>
  <si>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</si>
  <si>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</si>
  <si>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</si>
  <si>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</si>
  <si>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</si>
  <si>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</si>
  <si>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</si>
  <si>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</si>
  <si>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</si>
  <si>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</si>
  <si>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</si>
  <si>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</si>
  <si>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</si>
  <si>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</si>
  <si>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</si>
  <si>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</si>
  <si>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</si>
  <si>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</si>
  <si>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</si>
  <si>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</si>
  <si>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</si>
  <si>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</si>
  <si>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</si>
  <si>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</si>
  <si>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</si>
  <si>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</si>
  <si>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</si>
  <si>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</si>
  <si>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</si>
  <si>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</si>
  <si>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</si>
  <si>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</si>
  <si>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</si>
  <si>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</si>
  <si>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</si>
  <si>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</si>
  <si>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</si>
  <si>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</si>
  <si>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</si>
  <si>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</si>
  <si>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</si>
  <si>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</si>
  <si>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</si>
  <si>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</si>
  <si>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</si>
  <si>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</si>
  <si>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</si>
  <si>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</si>
  <si>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</si>
  <si>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</si>
  <si>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</si>
  <si>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</si>
  <si>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</si>
  <si>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</si>
  <si>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</si>
  <si>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</si>
  <si>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</si>
  <si>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</si>
  <si>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</si>
  <si>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</si>
  <si>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</si>
  <si>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</si>
  <si>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</si>
  <si>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</si>
  <si>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</si>
  <si>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</si>
  <si>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</si>
  <si>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</si>
  <si>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</si>
  <si>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</si>
  <si>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</si>
  <si>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</si>
  <si>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</si>
  <si>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</si>
  <si>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</si>
  <si>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</si>
  <si>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</si>
  <si>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</si>
  <si>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</si>
  <si>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</si>
  <si>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</si>
  <si>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</si>
  <si>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</si>
  <si>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</si>
  <si>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</si>
  <si>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</si>
  <si>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</si>
  <si>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</si>
  <si>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</si>
  <si>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</si>
  <si>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</si>
  <si>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</si>
  <si>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</si>
  <si>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</si>
  <si>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</si>
  <si>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</si>
  <si>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</si>
  <si>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</si>
  <si>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</si>
  <si>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</si>
  <si>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</si>
  <si>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</si>
  <si>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</si>
  <si>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</si>
  <si>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</si>
  <si>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</si>
  <si>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</si>
  <si>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</si>
  <si>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</si>
  <si>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</si>
  <si>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</si>
  <si>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</si>
  <si>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</si>
  <si>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</si>
  <si>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</si>
  <si>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</si>
  <si>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</si>
  <si>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</si>
  <si>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</si>
  <si>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</si>
  <si>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</si>
  <si>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</si>
  <si>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</si>
  <si>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</si>
  <si>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</si>
  <si>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</si>
  <si>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</si>
  <si>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</si>
  <si>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</si>
  <si>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</si>
  <si>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</si>
  <si>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</si>
  <si>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</si>
  <si>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</si>
  <si>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</si>
  <si>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</si>
  <si>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</si>
  <si>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</si>
  <si>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</si>
  <si>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</si>
  <si>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</si>
  <si>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</si>
  <si>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</si>
  <si>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</si>
  <si>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</si>
  <si>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</si>
  <si>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</si>
  <si>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</si>
  <si>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</si>
  <si>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</si>
  <si>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</si>
  <si>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</si>
  <si>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</si>
  <si>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</si>
  <si>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</si>
  <si>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</si>
  <si>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</si>
  <si>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</si>
  <si>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</si>
  <si>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</si>
  <si>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</si>
  <si>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</si>
  <si>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</si>
  <si>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</si>
  <si>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</si>
  <si>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</si>
  <si>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</si>
  <si>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</si>
  <si>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</si>
  <si>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</si>
  <si>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</si>
  <si>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</si>
  <si>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</si>
  <si>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</si>
  <si>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</si>
  <si>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</si>
  <si>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</si>
  <si>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</si>
  <si>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</si>
  <si>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</si>
  <si>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</si>
  <si>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</si>
  <si>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</si>
  <si>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</si>
  <si>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</si>
  <si>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</si>
  <si>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</si>
  <si>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</si>
  <si>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</si>
  <si>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</si>
  <si>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</si>
  <si>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</si>
  <si>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</si>
  <si>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</si>
  <si>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</si>
  <si>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</si>
  <si>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</si>
  <si>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</si>
  <si>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</si>
  <si>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</si>
  <si>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</si>
  <si>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</si>
  <si>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</si>
  <si>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</si>
  <si>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</si>
  <si>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</si>
  <si>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</si>
  <si>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</si>
  <si>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</si>
  <si>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</si>
  <si>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</si>
  <si>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</si>
  <si>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</si>
  <si>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</si>
  <si>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</si>
  <si>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</si>
  <si>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</si>
  <si>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</si>
  <si>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</si>
  <si>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</si>
  <si>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</si>
  <si>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</si>
  <si>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</si>
  <si>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</si>
  <si>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</si>
  <si>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</si>
  <si>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</si>
  <si>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</si>
  <si>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</si>
  <si>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</si>
  <si>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</si>
  <si>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</si>
  <si>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</si>
  <si>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</si>
  <si>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</si>
  <si>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</si>
  <si>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</si>
  <si>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</si>
  <si>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</si>
  <si>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</si>
  <si>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</si>
  <si>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</si>
  <si>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</si>
  <si>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</si>
  <si>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</si>
  <si>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</si>
  <si>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</si>
  <si>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</si>
  <si>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</si>
  <si>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</si>
  <si>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</si>
  <si>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</si>
  <si>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</si>
  <si>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</si>
  <si>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</si>
  <si>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</si>
  <si>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</si>
  <si>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</si>
  <si>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</si>
  <si>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</si>
  <si>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</si>
  <si>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</si>
  <si>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</si>
  <si>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</si>
  <si>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</si>
  <si>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</si>
  <si>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</si>
  <si>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</si>
  <si>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</si>
  <si>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</si>
  <si>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</si>
  <si>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</si>
  <si>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</si>
  <si>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</si>
  <si>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</si>
  <si>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</si>
  <si>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</si>
  <si>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</si>
  <si>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</si>
  <si>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</si>
  <si>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</si>
  <si>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</si>
  <si>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</si>
  <si>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</si>
  <si>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</si>
  <si>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</si>
  <si>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</si>
  <si>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</si>
  <si>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</si>
  <si>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</si>
  <si>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</si>
  <si>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</si>
  <si>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</si>
  <si>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</si>
  <si>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</si>
  <si>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</si>
  <si>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</si>
  <si>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</si>
  <si>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</si>
  <si>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</si>
  <si>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</si>
  <si>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</si>
  <si>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</si>
  <si>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</si>
  <si>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</si>
  <si>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</si>
  <si>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</si>
  <si>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</si>
  <si>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</si>
  <si>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</si>
  <si>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</si>
  <si>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</si>
  <si>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</si>
  <si>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</si>
  <si>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</si>
  <si>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</si>
  <si>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</si>
  <si>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</si>
  <si>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</si>
  <si>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</si>
  <si>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</si>
  <si>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</si>
  <si>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</si>
  <si>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</si>
  <si>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</si>
  <si>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</si>
  <si>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</si>
  <si>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</si>
  <si>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</si>
  <si>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</si>
  <si>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</si>
  <si>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</si>
  <si>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</si>
  <si>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</si>
  <si>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</si>
  <si>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</si>
  <si>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</si>
  <si>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</si>
  <si>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</si>
  <si>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</si>
  <si>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</si>
  <si>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</si>
  <si>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</si>
  <si>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</si>
  <si>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</si>
  <si>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</si>
  <si>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</si>
  <si>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</si>
  <si>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</si>
  <si>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</si>
  <si>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</si>
  <si>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</si>
  <si>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</si>
  <si>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</si>
  <si>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</si>
  <si>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</si>
  <si>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</si>
  <si>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</si>
  <si>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</si>
  <si>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</si>
  <si>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</si>
  <si>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</si>
  <si>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</si>
  <si>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</si>
  <si>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</si>
  <si>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</si>
  <si>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</si>
  <si>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</si>
  <si>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</si>
  <si>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</si>
  <si>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</si>
  <si>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</si>
  <si>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</si>
  <si>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</si>
  <si>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</si>
  <si>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</si>
  <si>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</si>
  <si>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</si>
  <si>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</si>
  <si>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</si>
  <si>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</si>
  <si>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</si>
  <si>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</si>
  <si>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</si>
  <si>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</si>
  <si>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</si>
  <si>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</si>
  <si>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</si>
  <si>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</si>
  <si>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</si>
  <si>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</si>
  <si>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</si>
  <si>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</si>
  <si>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</si>
  <si>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</si>
  <si>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</si>
  <si>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</si>
  <si>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</si>
  <si>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</si>
  <si>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</si>
  <si>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</si>
  <si>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</si>
  <si>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</si>
  <si>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</si>
  <si>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</si>
  <si>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</si>
  <si>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</si>
  <si>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</si>
  <si>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</si>
  <si>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</si>
  <si>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</si>
  <si>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</si>
  <si>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</si>
  <si>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</si>
  <si>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</si>
  <si>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</si>
  <si>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</si>
  <si>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</si>
  <si>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</si>
  <si>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</si>
  <si>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</si>
  <si>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</si>
  <si>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</si>
  <si>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</si>
  <si>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</si>
  <si>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</si>
  <si>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</si>
  <si>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</si>
  <si>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</si>
  <si>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</si>
  <si>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</si>
  <si>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</si>
  <si>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</si>
  <si>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</si>
  <si>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</si>
  <si>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</si>
  <si>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</si>
  <si>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</si>
  <si>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</si>
  <si>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</si>
  <si>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</si>
  <si>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</si>
  <si>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</si>
  <si>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</si>
  <si>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</si>
  <si>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</si>
  <si>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</si>
  <si>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</si>
  <si>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</si>
  <si>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</si>
  <si>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</si>
  <si>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</si>
  <si>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</si>
  <si>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</si>
  <si>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</si>
  <si>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</si>
  <si>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</si>
  <si>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</si>
  <si>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</si>
  <si>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</si>
  <si>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</si>
  <si>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</si>
  <si>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</si>
  <si>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</si>
  <si>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</si>
  <si>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</si>
  <si>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</si>
  <si>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</si>
  <si>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</si>
  <si>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</si>
  <si>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</si>
  <si>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</si>
  <si>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</si>
  <si>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</si>
  <si>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</si>
  <si>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</si>
  <si>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</si>
  <si>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</si>
  <si>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</si>
  <si>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</si>
  <si>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</si>
  <si>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</si>
  <si>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</si>
  <si>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</si>
  <si>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</si>
  <si>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</si>
  <si>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</si>
  <si>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</si>
  <si>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</si>
  <si>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</si>
  <si>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</si>
  <si>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</si>
  <si>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</si>
  <si>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</si>
  <si>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</si>
  <si>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</si>
  <si>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</si>
  <si>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</si>
  <si>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</si>
  <si>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</si>
  <si>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</si>
  <si>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</si>
  <si>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</si>
  <si>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</si>
  <si>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</si>
  <si>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</si>
  <si>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</si>
  <si>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</si>
  <si>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</si>
  <si>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</si>
  <si>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</si>
  <si>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</si>
  <si>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</si>
  <si>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</si>
  <si>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</si>
  <si>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</si>
  <si>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</si>
  <si>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</si>
  <si>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</si>
  <si>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</si>
  <si>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</si>
  <si>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</si>
  <si>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</si>
  <si>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</si>
  <si>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</si>
  <si>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</si>
  <si>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</si>
  <si>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</si>
  <si>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</si>
  <si>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</si>
  <si>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</si>
  <si>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</si>
  <si>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</si>
  <si>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</si>
  <si>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</si>
  <si>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</si>
  <si>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</si>
  <si>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</si>
  <si>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</si>
  <si>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</si>
  <si>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</si>
  <si>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</si>
  <si>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</si>
  <si>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</si>
  <si>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</si>
  <si>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</si>
  <si>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</si>
  <si>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</si>
  <si>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</si>
  <si>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</si>
  <si>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</si>
  <si>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</si>
  <si>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</si>
  <si>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</si>
  <si>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</si>
  <si>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</si>
  <si>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</si>
  <si>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</si>
  <si>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</si>
  <si>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</si>
  <si>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</si>
  <si>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</si>
  <si>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</si>
  <si>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</si>
  <si>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</si>
  <si>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</si>
  <si>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</si>
  <si>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</si>
  <si>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</si>
  <si>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</si>
  <si>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</si>
  <si>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</si>
  <si>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</si>
  <si>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</si>
  <si>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</si>
  <si>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</si>
  <si>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</si>
  <si>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</si>
  <si>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</si>
  <si>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</si>
  <si>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</si>
  <si>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</si>
  <si>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</si>
  <si>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</si>
  <si>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</si>
  <si>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</si>
  <si>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</si>
  <si>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</si>
  <si>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</si>
  <si>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</si>
  <si>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</si>
  <si>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</si>
  <si>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</si>
  <si>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</si>
  <si>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</si>
  <si>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</si>
  <si>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</si>
  <si>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</si>
  <si>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</si>
  <si>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</si>
  <si>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</si>
  <si>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</si>
  <si>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</si>
  <si>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</si>
  <si>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</si>
  <si>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</si>
  <si>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</si>
  <si>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</si>
  <si>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</si>
  <si>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</si>
  <si>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</si>
  <si>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</si>
  <si>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</si>
  <si>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</si>
  <si>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</si>
  <si>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</si>
  <si>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</si>
  <si>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</si>
  <si>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</si>
  <si>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</si>
  <si>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</si>
  <si>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</si>
  <si>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</si>
  <si>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</si>
  <si>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</si>
  <si>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</si>
  <si>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</si>
  <si>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</si>
  <si>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</si>
  <si>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</si>
  <si>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</si>
  <si>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</si>
  <si>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</si>
  <si>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</si>
  <si>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</si>
  <si>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</si>
  <si>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</si>
  <si>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</si>
  <si>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</si>
  <si>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</si>
  <si>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</si>
  <si>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</si>
  <si>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</si>
  <si>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</si>
  <si>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</si>
  <si>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</si>
  <si>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</si>
  <si>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</si>
  <si>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</si>
  <si>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</si>
  <si>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</si>
  <si>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</si>
  <si>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</si>
  <si>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</si>
  <si>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</si>
  <si>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</si>
  <si>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</si>
  <si>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</si>
  <si>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</si>
  <si>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</si>
  <si>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</si>
  <si>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</si>
  <si>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</si>
  <si>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</si>
  <si>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</si>
  <si>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</si>
  <si>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</si>
  <si>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</si>
  <si>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</si>
  <si>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</si>
  <si>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</si>
  <si>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</si>
  <si>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</si>
  <si>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</si>
  <si>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</si>
  <si>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</si>
  <si>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</si>
  <si>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</si>
  <si>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</si>
  <si>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</si>
  <si>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</si>
  <si>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</si>
  <si>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</si>
  <si>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</si>
  <si>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</si>
  <si>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</si>
  <si>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</si>
  <si>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</si>
  <si>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</si>
  <si>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</si>
  <si>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</si>
  <si>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</si>
  <si>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</si>
  <si>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</si>
  <si>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</si>
  <si>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</si>
  <si>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</si>
  <si>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</si>
  <si>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</si>
  <si>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</si>
  <si>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</si>
  <si>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</si>
  <si>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</si>
  <si>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</si>
  <si>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</si>
  <si>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</si>
  <si>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</si>
  <si>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</si>
  <si>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</si>
  <si>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</si>
  <si>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</si>
  <si>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</si>
  <si>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</si>
  <si>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</si>
  <si>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</si>
  <si>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</si>
  <si>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</si>
  <si>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</si>
  <si>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</si>
  <si>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</si>
  <si>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</si>
  <si>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</si>
  <si>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</si>
  <si>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</si>
  <si>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</si>
  <si>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</si>
  <si>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</si>
  <si>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</si>
  <si>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</si>
  <si>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</si>
  <si>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</si>
  <si>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</si>
  <si>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</si>
  <si>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</si>
  <si>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</si>
  <si>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</si>
  <si>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</si>
  <si>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</si>
  <si>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</si>
  <si>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</si>
  <si>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</si>
  <si>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</si>
  <si>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</si>
  <si>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</si>
  <si>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</si>
  <si>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</si>
  <si>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</si>
  <si>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</si>
  <si>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</si>
  <si>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</si>
  <si>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</si>
  <si>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</si>
  <si>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</si>
  <si>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</si>
  <si>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</si>
  <si>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</si>
  <si>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</si>
  <si>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</si>
  <si>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</si>
  <si>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</si>
  <si>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</si>
  <si>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</si>
  <si>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</si>
  <si>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</si>
  <si>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</si>
  <si>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</si>
  <si>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</si>
  <si>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</si>
  <si>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</si>
  <si>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</si>
  <si>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</si>
  <si>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</si>
  <si>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</si>
  <si>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</si>
  <si>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</si>
  <si>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</si>
  <si>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</si>
  <si>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</si>
  <si>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</si>
  <si>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</si>
  <si>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</si>
  <si>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</si>
  <si>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</si>
  <si>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</si>
  <si>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</si>
  <si>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</si>
  <si>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</si>
  <si>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</si>
  <si>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</si>
  <si>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</si>
  <si>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</si>
  <si>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</si>
  <si>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</si>
  <si>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</si>
  <si>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</si>
  <si>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</si>
  <si>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</si>
  <si>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</si>
  <si>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</si>
  <si>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</si>
  <si>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</si>
  <si>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</si>
  <si>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</si>
  <si>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</si>
  <si>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</si>
  <si>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</si>
  <si>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</si>
  <si>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</si>
  <si>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</si>
  <si>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</si>
  <si>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</si>
  <si>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</si>
  <si>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</si>
  <si>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</si>
  <si>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</si>
  <si>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</si>
  <si>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</si>
  <si>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</si>
  <si>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</si>
  <si>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</si>
  <si>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</si>
  <si>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</si>
  <si>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</si>
  <si>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</si>
  <si>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</si>
  <si>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</si>
  <si>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</si>
  <si>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</si>
  <si>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</si>
  <si>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</si>
  <si>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</si>
  <si>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</si>
  <si>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</si>
  <si>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</si>
  <si>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</si>
  <si>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</si>
  <si>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</si>
  <si>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</si>
  <si>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</si>
  <si>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</si>
  <si>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</si>
  <si>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</si>
  <si>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</si>
  <si>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</si>
  <si>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</si>
  <si>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</si>
  <si>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</si>
  <si>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</si>
  <si>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</si>
  <si>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</si>
  <si>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</si>
  <si>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</si>
  <si>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</si>
  <si>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</si>
  <si>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</si>
  <si>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</si>
  <si>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</si>
  <si>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</si>
  <si>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</si>
  <si>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</si>
  <si>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</si>
  <si>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</si>
  <si>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</si>
  <si>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</si>
  <si>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</si>
  <si>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</si>
  <si>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</si>
  <si>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</si>
  <si>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</si>
  <si>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</si>
  <si>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</si>
  <si>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</si>
  <si>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</si>
  <si>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</si>
  <si>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</si>
  <si>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</si>
  <si>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</si>
  <si>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</si>
  <si>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</si>
  <si>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</si>
  <si>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</si>
  <si>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</si>
  <si>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</si>
  <si>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</si>
  <si>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</si>
  <si>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</si>
  <si>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</si>
  <si>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</si>
  <si>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</si>
  <si>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</si>
  <si>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</si>
  <si>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</si>
  <si>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</si>
  <si>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</si>
  <si>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</si>
  <si>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</si>
  <si>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</si>
  <si>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</si>
  <si>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</si>
  <si>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</si>
  <si>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</si>
  <si>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</si>
  <si>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</si>
  <si>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</si>
  <si>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</si>
  <si>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</si>
  <si>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</si>
  <si>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</si>
  <si>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</si>
  <si>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</si>
  <si>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</si>
  <si>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</si>
  <si>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</si>
  <si>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</si>
  <si>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</si>
  <si>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</si>
  <si>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</si>
  <si>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</si>
  <si>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</si>
  <si>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</si>
  <si>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</si>
  <si>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</si>
  <si>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</si>
  <si>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</si>
  <si>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</si>
  <si>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</si>
  <si>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</si>
  <si>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</si>
  <si>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</si>
  <si>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</si>
  <si>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</si>
  <si>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</si>
  <si>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</si>
  <si>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</si>
  <si>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</si>
  <si>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</si>
  <si>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</si>
  <si>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</si>
  <si>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</si>
  <si>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</si>
  <si>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</si>
  <si>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</si>
  <si>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</si>
  <si>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</si>
  <si>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</si>
  <si>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</si>
  <si>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</si>
  <si>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</si>
  <si>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</si>
  <si>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</si>
  <si>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</si>
  <si>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</si>
  <si>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</si>
  <si>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</si>
  <si>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</si>
  <si>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</si>
  <si>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</si>
  <si>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</si>
  <si>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</si>
  <si>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</si>
  <si>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</si>
  <si>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</si>
  <si>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</si>
  <si>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</si>
  <si>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</si>
  <si>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</si>
  <si>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</si>
  <si>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</si>
  <si>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</si>
  <si>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</si>
  <si>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</si>
  <si>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</si>
  <si>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</si>
  <si>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</si>
  <si>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</si>
  <si>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</si>
  <si>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</si>
  <si>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</si>
  <si>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</si>
  <si>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</si>
  <si>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</si>
  <si>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</si>
  <si>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</si>
  <si>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</si>
  <si>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</si>
  <si>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</si>
  <si>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</si>
  <si>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</si>
  <si>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</si>
  <si>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</si>
  <si>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</si>
  <si>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</si>
  <si>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</si>
  <si>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</si>
  <si>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</si>
  <si>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</si>
  <si>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</si>
  <si>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</si>
  <si>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</si>
  <si>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</si>
  <si>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</si>
  <si>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</si>
  <si>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</si>
  <si>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</si>
  <si>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</si>
  <si>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</si>
  <si>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</si>
  <si>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</si>
  <si>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</si>
  <si>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</si>
  <si>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</si>
  <si>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</si>
  <si>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</si>
  <si>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</si>
  <si>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</si>
  <si>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</si>
  <si>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</si>
  <si>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</si>
  <si>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</si>
  <si>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</si>
  <si>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</si>
  <si>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</si>
  <si>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</si>
  <si>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</si>
  <si>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</si>
  <si>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</si>
  <si>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</si>
  <si>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</si>
  <si>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</si>
  <si>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</si>
  <si>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</si>
  <si>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</si>
  <si>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</si>
  <si>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</si>
  <si>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</si>
  <si>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</si>
  <si>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</si>
  <si>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</si>
  <si>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</si>
  <si>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</si>
  <si>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</si>
  <si>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</si>
  <si>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</si>
  <si>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</si>
  <si>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</si>
  <si>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</si>
  <si>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</si>
  <si>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</si>
  <si>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</si>
  <si>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</si>
  <si>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</si>
  <si>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</si>
  <si>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</si>
  <si>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</si>
  <si>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</si>
  <si>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</si>
  <si>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</si>
  <si>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</si>
  <si>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</si>
  <si>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</si>
  <si>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</si>
  <si>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</si>
  <si>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</si>
  <si>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</si>
  <si>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</si>
  <si>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</si>
  <si>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</si>
  <si>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</si>
  <si>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</si>
  <si>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</si>
  <si>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</si>
  <si>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</si>
  <si>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</si>
  <si>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</si>
  <si>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</si>
  <si>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</si>
  <si>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</si>
  <si>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</si>
  <si>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</si>
  <si>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</si>
  <si>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</si>
  <si>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</si>
  <si>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</si>
  <si>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</si>
  <si>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</si>
  <si>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</si>
  <si>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</si>
  <si>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</si>
  <si>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</si>
  <si>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</si>
  <si>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</si>
  <si>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</si>
  <si>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</si>
  <si>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</si>
  <si>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</si>
  <si>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</si>
  <si>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</si>
  <si>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</si>
  <si>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</si>
  <si>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</si>
  <si>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</si>
  <si>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</si>
  <si>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</si>
  <si>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</si>
  <si>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</si>
  <si>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</si>
  <si>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</si>
  <si>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</si>
  <si>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</si>
  <si>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</si>
  <si>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</si>
  <si>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</si>
  <si>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</si>
  <si>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</si>
  <si>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</si>
  <si>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</si>
  <si>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</si>
  <si>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</si>
  <si>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</si>
  <si>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</si>
  <si>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</si>
  <si>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</si>
  <si>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</si>
  <si>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</si>
  <si>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</si>
  <si>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</si>
  <si>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</si>
  <si>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</si>
  <si>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</si>
  <si>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</si>
  <si>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</si>
  <si>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</si>
  <si>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</si>
  <si>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</si>
  <si>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</si>
  <si>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</si>
  <si>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</si>
  <si>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</si>
  <si>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</si>
  <si>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</si>
  <si>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</si>
  <si>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</si>
  <si>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</si>
  <si>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</si>
  <si>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</si>
  <si>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</si>
  <si>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</si>
  <si>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</si>
  <si>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</si>
  <si>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</si>
  <si>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</si>
  <si>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</si>
  <si>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</si>
  <si>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</si>
  <si>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</si>
  <si>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</si>
  <si>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</si>
  <si>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</si>
  <si>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</si>
  <si>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</si>
  <si>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</si>
  <si>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</si>
  <si>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</si>
  <si>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</si>
  <si>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</si>
  <si>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</si>
  <si>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</si>
  <si>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</si>
  <si>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</si>
  <si>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</si>
  <si>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</si>
  <si>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</si>
  <si>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</si>
  <si>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</si>
  <si>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</si>
  <si>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</si>
  <si>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</si>
  <si>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</si>
  <si>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</si>
  <si>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</si>
  <si>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</si>
  <si>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</si>
  <si>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</si>
  <si>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</si>
  <si>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</si>
  <si>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</si>
  <si>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</si>
  <si>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</si>
  <si>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</si>
  <si>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</si>
  <si>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</si>
  <si>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</si>
  <si>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</si>
  <si>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</si>
  <si>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</si>
  <si>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</si>
  <si>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</si>
  <si>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</si>
  <si>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</si>
  <si>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</si>
  <si>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</si>
  <si>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</si>
  <si>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</si>
  <si>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</si>
  <si>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</si>
  <si>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</si>
  <si>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</si>
  <si>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</si>
  <si>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</si>
  <si>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</si>
  <si>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</si>
  <si>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</si>
  <si>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</si>
  <si>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</si>
  <si>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</si>
  <si>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</si>
  <si>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</si>
  <si>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</si>
  <si>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</si>
  <si>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</si>
  <si>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</si>
  <si>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</si>
  <si>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</si>
  <si>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</si>
  <si>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</si>
  <si>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</si>
  <si>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</si>
  <si>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</si>
  <si>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</si>
  <si>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</si>
  <si>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</si>
  <si>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</si>
  <si>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</si>
  <si>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</si>
  <si>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</si>
  <si>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</si>
  <si>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</si>
  <si>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</si>
  <si>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</si>
  <si>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</si>
  <si>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</si>
  <si>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</si>
  <si>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</si>
  <si>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</si>
  <si>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</si>
  <si>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</si>
  <si>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</si>
  <si>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</si>
  <si>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</si>
  <si>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</si>
  <si>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</si>
  <si>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</si>
  <si>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</si>
  <si>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</si>
  <si>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</si>
  <si>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</si>
  <si>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</si>
  <si>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</si>
  <si>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</si>
  <si>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</si>
  <si>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</si>
  <si>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</si>
  <si>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</si>
  <si>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</si>
  <si>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</si>
  <si>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</si>
  <si>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</si>
  <si>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</si>
  <si>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</si>
  <si>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</si>
  <si>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</si>
  <si>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</si>
  <si>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</si>
  <si>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</si>
  <si>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</si>
  <si>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</si>
  <si>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</si>
  <si>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</si>
  <si>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</si>
  <si>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</si>
  <si>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</si>
  <si>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</si>
  <si>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</si>
  <si>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</si>
  <si>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</si>
  <si>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</si>
  <si>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</si>
  <si>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</si>
  <si>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</si>
  <si>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</si>
  <si>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</si>
  <si>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</si>
  <si>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</si>
  <si>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</si>
  <si>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</si>
  <si>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</si>
  <si>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</si>
  <si>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</si>
  <si>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</si>
  <si>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</si>
  <si>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</si>
  <si>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</si>
  <si>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</si>
  <si>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</si>
  <si>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</si>
  <si>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</si>
  <si>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</si>
  <si>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</si>
  <si>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</si>
  <si>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</si>
  <si>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</si>
  <si>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</si>
  <si>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</si>
  <si>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</si>
  <si>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</si>
  <si>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</si>
  <si>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</si>
  <si>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</si>
  <si>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</si>
  <si>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</si>
  <si>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</si>
  <si>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</si>
  <si>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</si>
  <si>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</si>
  <si>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</si>
  <si>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</si>
  <si>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</si>
  <si>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</si>
  <si>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</si>
  <si>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</si>
  <si>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</si>
  <si>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</si>
  <si>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</si>
  <si>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</si>
  <si>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</si>
  <si>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</si>
  <si>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</si>
  <si>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</si>
  <si>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</si>
  <si>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</si>
  <si>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</si>
  <si>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</si>
  <si>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</si>
  <si>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</si>
  <si>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</si>
  <si>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</si>
  <si>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</si>
  <si>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</si>
  <si>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</si>
  <si>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</si>
  <si>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</si>
  <si>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</si>
  <si>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</si>
  <si>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</si>
  <si>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</si>
  <si>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</si>
  <si>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</si>
  <si>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</si>
  <si>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</si>
  <si>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</si>
  <si>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</si>
  <si>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</si>
  <si>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</si>
  <si>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</si>
  <si>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</si>
  <si>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</si>
  <si>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</si>
  <si>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</si>
  <si>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</si>
  <si>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</si>
  <si>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</si>
  <si>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</si>
  <si>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</si>
  <si>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</si>
  <si>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</si>
  <si>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</si>
  <si>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</si>
  <si>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</si>
  <si>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</si>
  <si>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</si>
  <si>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</si>
  <si>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</si>
  <si>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</si>
  <si>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</si>
  <si>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</si>
  <si>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</si>
  <si>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</si>
  <si>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</si>
  <si>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</si>
  <si>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</si>
  <si>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</si>
  <si>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</si>
  <si>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</si>
  <si>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</si>
  <si>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</si>
  <si>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</si>
  <si>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</si>
  <si>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</si>
  <si>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</si>
  <si>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</si>
  <si>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</si>
  <si>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</si>
  <si>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</si>
  <si>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</si>
  <si>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</si>
  <si>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</si>
  <si>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</si>
  <si>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</si>
  <si>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</si>
  <si>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</si>
  <si>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</si>
  <si>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</si>
  <si>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</si>
  <si>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</si>
  <si>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</si>
  <si>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</si>
  <si>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</si>
  <si>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</si>
  <si>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</si>
  <si>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</si>
  <si>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</si>
  <si>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</si>
  <si>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</si>
  <si>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</si>
  <si>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</si>
  <si>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</si>
  <si>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</si>
  <si>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</si>
  <si>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</si>
  <si>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</si>
  <si>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</si>
  <si>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</si>
  <si>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</si>
  <si>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</si>
  <si>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</si>
  <si>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</si>
  <si>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</si>
  <si>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</si>
  <si>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</si>
  <si>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</si>
  <si>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</si>
  <si>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</si>
  <si>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</si>
  <si>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</si>
  <si>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</si>
  <si>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</si>
  <si>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</si>
  <si>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</si>
  <si>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</si>
  <si>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</si>
  <si>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</si>
  <si>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</si>
  <si>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</si>
  <si>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</si>
  <si>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</si>
  <si>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</si>
  <si>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</si>
  <si>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</si>
  <si>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</si>
  <si>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</si>
  <si>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</si>
  <si>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</si>
  <si>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</si>
  <si>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</si>
  <si>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</si>
  <si>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</si>
  <si>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</si>
  <si>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</si>
  <si>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</si>
  <si>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</si>
  <si>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</si>
  <si>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</si>
  <si>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</si>
  <si>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</si>
  <si>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</si>
  <si>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</si>
  <si>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</si>
  <si>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</si>
  <si>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</si>
  <si>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</si>
  <si>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</si>
  <si>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</si>
  <si>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</si>
  <si>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</si>
  <si>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</si>
  <si>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</si>
  <si>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</si>
  <si>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</si>
  <si>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</si>
  <si>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</si>
  <si>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</si>
  <si>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</si>
  <si>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</si>
  <si>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</si>
  <si>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</si>
  <si>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</si>
  <si>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</si>
  <si>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</si>
  <si>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</si>
  <si>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</si>
  <si>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</si>
  <si>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</si>
  <si>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</si>
  <si>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</si>
  <si>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</si>
  <si>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</si>
  <si>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</si>
  <si>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</si>
  <si>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</si>
  <si>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</si>
  <si>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</si>
  <si>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</si>
  <si>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</si>
  <si>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</si>
  <si>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</si>
  <si>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</si>
  <si>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</si>
  <si>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</si>
  <si>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</si>
  <si>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</si>
  <si>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</si>
  <si>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</si>
  <si>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</si>
  <si>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</si>
  <si>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</si>
  <si>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</si>
  <si>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</si>
  <si>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</si>
  <si>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</si>
  <si>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</si>
  <si>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</si>
  <si>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</si>
  <si>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</si>
  <si>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</si>
  <si>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</si>
  <si>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</si>
  <si>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</si>
  <si>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</si>
  <si>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</si>
  <si>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</si>
  <si>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</si>
  <si>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</si>
  <si>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</si>
  <si>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</si>
  <si>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</si>
  <si>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</si>
  <si>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</si>
  <si>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</si>
  <si>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</si>
  <si>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</si>
  <si>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</si>
  <si>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</si>
  <si>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</si>
  <si>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</si>
  <si>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</si>
  <si>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</si>
  <si>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</si>
  <si>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</si>
  <si>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</si>
  <si>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</si>
  <si>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</si>
  <si>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</si>
  <si>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</si>
  <si>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</si>
  <si>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</si>
  <si>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</si>
  <si>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</si>
  <si>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</si>
  <si>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</si>
  <si>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</si>
  <si>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</si>
  <si>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</si>
  <si>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</si>
  <si>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</si>
  <si>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</si>
  <si>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</si>
  <si>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</si>
  <si>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</si>
  <si>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</si>
  <si>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</si>
  <si>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</si>
  <si>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</si>
  <si>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</si>
  <si>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</si>
  <si>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</si>
  <si>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</si>
  <si>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</si>
  <si>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</si>
  <si>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</si>
  <si>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</si>
  <si>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</si>
  <si>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</si>
  <si>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</si>
  <si>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</si>
  <si>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</si>
  <si>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</si>
  <si>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</si>
  <si>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</si>
  <si>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</si>
  <si>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</si>
  <si>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</si>
  <si>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</si>
  <si>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</si>
  <si>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</si>
  <si>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</si>
  <si>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</si>
  <si>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</si>
  <si>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</si>
  <si>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</si>
  <si>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</si>
  <si>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</si>
  <si>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</si>
  <si>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</si>
  <si>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</si>
  <si>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</si>
  <si>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</si>
  <si>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</si>
  <si>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</si>
  <si>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</si>
  <si>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</si>
  <si>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</si>
  <si>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</si>
  <si>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</si>
  <si>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</si>
  <si>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</si>
  <si>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</si>
  <si>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</si>
  <si>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</si>
  <si>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</si>
  <si>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</si>
  <si>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</si>
  <si>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</si>
  <si>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</si>
  <si>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</si>
  <si>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</si>
  <si>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</si>
  <si>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</si>
  <si>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</si>
  <si>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</si>
  <si>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</si>
  <si>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</si>
  <si>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</si>
  <si>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</si>
  <si>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</si>
  <si>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</si>
  <si>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</si>
  <si>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</si>
  <si>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</si>
  <si>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</si>
  <si>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</si>
  <si>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</si>
  <si>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</si>
  <si>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</si>
  <si>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</si>
  <si>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</si>
  <si>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</si>
  <si>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</si>
  <si>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</si>
  <si>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</si>
  <si>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</si>
  <si>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</si>
  <si>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</si>
  <si>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</si>
  <si>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</si>
  <si>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</si>
  <si>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</si>
  <si>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</si>
  <si>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</si>
  <si>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</si>
  <si>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</si>
  <si>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</si>
  <si>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</si>
  <si>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</si>
  <si>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</si>
  <si>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</si>
  <si>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</si>
  <si>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</si>
  <si>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</si>
  <si>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</si>
  <si>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</si>
  <si>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</si>
  <si>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</si>
  <si>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</si>
  <si>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</si>
  <si>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</si>
  <si>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</si>
  <si>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</si>
  <si>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</si>
  <si>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</si>
  <si>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</si>
  <si>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</si>
  <si>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</si>
  <si>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</si>
  <si>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</si>
  <si>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</si>
  <si>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</si>
  <si>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</si>
  <si>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</si>
  <si>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</si>
  <si>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</si>
  <si>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</si>
  <si>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</si>
  <si>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</si>
  <si>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</si>
  <si>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</si>
  <si>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</si>
  <si>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</si>
  <si>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</si>
  <si>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</si>
  <si>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</si>
  <si>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</si>
  <si>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</si>
  <si>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</si>
  <si>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</si>
  <si>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</si>
  <si>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</si>
  <si>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</si>
  <si>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</si>
  <si>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</si>
  <si>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</si>
  <si>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</si>
  <si>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</si>
  <si>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</si>
  <si>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</si>
  <si>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</si>
  <si>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</si>
  <si>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</si>
  <si>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</si>
  <si>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</si>
  <si>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</si>
  <si>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</si>
  <si>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</si>
  <si>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</si>
  <si>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</si>
  <si>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</si>
  <si>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</si>
  <si>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</si>
  <si>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</si>
  <si>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</si>
  <si>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</si>
  <si>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</si>
  <si>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</si>
  <si>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</si>
  <si>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</si>
  <si>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</si>
  <si>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</si>
  <si>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</si>
  <si>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</si>
  <si>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</si>
  <si>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</si>
  <si>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</si>
  <si>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</si>
  <si>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</si>
  <si>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</si>
  <si>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</si>
  <si>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</si>
  <si>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</si>
  <si>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</si>
  <si>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</si>
  <si>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</si>
  <si>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</si>
  <si>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</si>
  <si>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</si>
  <si>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</si>
  <si>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</si>
  <si>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</si>
  <si>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</si>
  <si>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</si>
  <si>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</si>
  <si>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</si>
  <si>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</si>
  <si>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</si>
  <si>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</si>
  <si>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</si>
  <si>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</si>
  <si>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</si>
  <si>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</si>
  <si>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</si>
  <si>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</si>
  <si>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</si>
  <si>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</si>
  <si>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</si>
  <si>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</si>
  <si>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</si>
  <si>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</si>
  <si>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</si>
  <si>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</si>
  <si>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</si>
  <si>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</si>
  <si>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</si>
  <si>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</si>
  <si>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</si>
  <si>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</si>
  <si>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</si>
  <si>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</si>
  <si>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</si>
  <si>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</si>
  <si>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</si>
  <si>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</si>
  <si>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</si>
  <si>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</si>
  <si>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</si>
  <si>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</si>
  <si>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</si>
  <si>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</si>
  <si>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</si>
  <si>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</si>
  <si>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</si>
  <si>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</si>
  <si>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</si>
  <si>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</si>
  <si>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</si>
  <si>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</si>
  <si>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</si>
  <si>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</si>
  <si>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</si>
  <si>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</si>
  <si>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</si>
  <si>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</si>
  <si>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</si>
  <si>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</si>
  <si>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</si>
  <si>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</si>
  <si>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</si>
  <si>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</si>
  <si>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</si>
  <si>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</si>
  <si>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</si>
  <si>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</si>
  <si>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</si>
  <si>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</si>
  <si>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</si>
  <si>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</si>
  <si>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</si>
  <si>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</si>
  <si>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</si>
  <si>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</si>
  <si>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</si>
  <si>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</si>
  <si>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</si>
  <si>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</si>
  <si>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</si>
  <si>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</si>
  <si>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</si>
  <si>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</si>
  <si>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</si>
  <si>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</si>
  <si>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</si>
  <si>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</si>
  <si>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</si>
  <si>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</si>
  <si>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</si>
  <si>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</si>
  <si>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</si>
  <si>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</si>
  <si>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</si>
  <si>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</si>
  <si>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</si>
  <si>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</si>
  <si>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</si>
  <si>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</si>
  <si>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</si>
  <si>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</si>
  <si>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</si>
  <si>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</si>
  <si>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</si>
  <si>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</si>
  <si>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</si>
  <si>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</si>
  <si>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</si>
  <si>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</si>
  <si>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</si>
  <si>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</si>
  <si>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</si>
  <si>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</si>
  <si>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</si>
  <si>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</si>
  <si>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</si>
  <si>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</si>
  <si>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</si>
  <si>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</si>
  <si>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</si>
  <si>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</si>
  <si>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</si>
  <si>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</si>
  <si>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</si>
  <si>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</si>
  <si>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</si>
  <si>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</si>
  <si>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</si>
  <si>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</si>
  <si>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</si>
  <si>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</si>
  <si>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</si>
  <si>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</si>
  <si>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</si>
  <si>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</si>
  <si>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</si>
  <si>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</si>
  <si>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</si>
  <si>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</si>
  <si>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</si>
  <si>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</si>
  <si>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</si>
  <si>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</si>
  <si>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</si>
  <si>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</si>
  <si>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</si>
  <si>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</si>
  <si>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</si>
  <si>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</si>
  <si>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</si>
  <si>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</si>
  <si>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</si>
  <si>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</si>
  <si>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</si>
  <si>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</si>
  <si>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</si>
  <si>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</si>
  <si>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</si>
  <si>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</si>
  <si>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</si>
  <si>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</si>
  <si>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</si>
  <si>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</si>
  <si>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</si>
  <si>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</si>
  <si>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</si>
  <si>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</si>
  <si>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</si>
  <si>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</si>
  <si>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</si>
  <si>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</si>
  <si>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</si>
  <si>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</si>
  <si>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</si>
  <si>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</si>
  <si>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</si>
  <si>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</si>
  <si>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</si>
  <si>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</si>
  <si>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</si>
  <si>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</si>
  <si>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</si>
  <si>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</si>
  <si>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</si>
  <si>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</si>
  <si>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</si>
  <si>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</si>
  <si>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</si>
  <si>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</si>
  <si>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</si>
  <si>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</si>
  <si>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</si>
  <si>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</si>
  <si>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</si>
  <si>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</si>
  <si>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</si>
  <si>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</si>
  <si>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</si>
  <si>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</si>
  <si>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</si>
  <si>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</si>
  <si>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</si>
  <si>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</si>
  <si>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</si>
  <si>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</si>
  <si>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</si>
  <si>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</si>
  <si>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</si>
  <si>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</si>
  <si>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</si>
  <si>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</si>
  <si>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</si>
  <si>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</si>
  <si>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</si>
  <si>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</si>
  <si>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</si>
  <si>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</si>
  <si>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</si>
  <si>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</si>
  <si>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</si>
  <si>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</si>
  <si>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</si>
  <si>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</si>
  <si>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</si>
  <si>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</si>
  <si>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</si>
  <si>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</si>
  <si>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</si>
  <si>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</si>
  <si>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</si>
  <si>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</si>
  <si>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</si>
  <si>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</si>
  <si>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</si>
  <si>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</si>
  <si>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</si>
  <si>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</si>
  <si>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</si>
  <si>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</si>
  <si>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</si>
  <si>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</si>
  <si>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</si>
  <si>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</si>
  <si>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</si>
  <si>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</si>
  <si>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</si>
  <si>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</si>
  <si>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</si>
  <si>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</si>
  <si>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</si>
  <si>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</si>
  <si>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</si>
  <si>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</si>
  <si>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</si>
  <si>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</si>
  <si>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</si>
  <si>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</si>
  <si>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</si>
  <si>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</si>
  <si>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</si>
  <si>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</si>
  <si>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</si>
  <si>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</si>
  <si>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</si>
  <si>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</si>
  <si>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</si>
  <si>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</si>
  <si>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</si>
  <si>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</si>
  <si>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</si>
  <si>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</si>
  <si>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</si>
  <si>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</si>
  <si>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</si>
  <si>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</si>
  <si>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</si>
  <si>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</si>
  <si>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</si>
  <si>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</si>
  <si>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</si>
  <si>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</si>
  <si>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</si>
  <si>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</si>
  <si>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</si>
  <si>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</si>
  <si>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</si>
  <si>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</si>
  <si>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</si>
  <si>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</si>
  <si>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</si>
  <si>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</si>
  <si>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</si>
  <si>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</si>
  <si>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</si>
  <si>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</si>
  <si>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</si>
  <si>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</si>
  <si>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</si>
  <si>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</si>
  <si>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</si>
  <si>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</si>
  <si>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</si>
  <si>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</si>
  <si>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</si>
  <si>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</si>
  <si>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</si>
  <si>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</si>
  <si>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</si>
  <si>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</si>
  <si>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</si>
  <si>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</si>
  <si>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</si>
  <si>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</si>
  <si>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</si>
  <si>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</si>
  <si>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</si>
  <si>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</si>
  <si>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</si>
  <si>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</si>
  <si>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</si>
  <si>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</si>
  <si>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</si>
  <si>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</si>
  <si>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</si>
  <si>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</si>
  <si>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</si>
  <si>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</si>
  <si>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</si>
  <si>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</si>
  <si>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</si>
  <si>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</si>
  <si>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</si>
  <si>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</si>
  <si>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</si>
  <si>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</si>
  <si>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</si>
  <si>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</si>
  <si>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</si>
  <si>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</si>
  <si>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</si>
  <si>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</si>
  <si>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</si>
  <si>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</si>
  <si>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</si>
  <si>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</si>
  <si>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</si>
  <si>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</si>
  <si>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</si>
  <si>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</si>
  <si>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</si>
  <si>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</si>
  <si>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</si>
  <si>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</si>
  <si>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</si>
  <si>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</si>
  <si>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</si>
  <si>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</si>
  <si>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</si>
  <si>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</si>
  <si>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</si>
  <si>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</si>
  <si>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</si>
  <si>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</si>
  <si>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</si>
  <si>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</si>
  <si>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</si>
  <si>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</si>
  <si>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</si>
  <si>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</si>
  <si>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</si>
  <si>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</si>
  <si>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</si>
  <si>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</si>
  <si>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</si>
  <si>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</si>
  <si>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</si>
  <si>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</si>
  <si>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</si>
  <si>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</si>
  <si>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</si>
  <si>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</si>
  <si>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</si>
  <si>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</si>
  <si>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</si>
  <si>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</si>
  <si>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</si>
  <si>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</si>
  <si>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</si>
  <si>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</si>
  <si>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</si>
  <si>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</si>
  <si>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</si>
  <si>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</si>
  <si>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</si>
  <si>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</si>
  <si>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</si>
  <si>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</si>
  <si>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</si>
  <si>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</si>
  <si>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</si>
  <si>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</si>
  <si>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</si>
  <si>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</si>
  <si>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</si>
  <si>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</si>
  <si>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</si>
  <si>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</si>
  <si>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</si>
  <si>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</si>
  <si>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</si>
  <si>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</si>
  <si>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</si>
  <si>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</si>
  <si>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</si>
  <si>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</si>
  <si>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</si>
  <si>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</si>
  <si>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</si>
  <si>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</si>
  <si>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</si>
  <si>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</si>
  <si>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</si>
  <si>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</si>
  <si>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</si>
  <si>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</si>
  <si>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</si>
  <si>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</si>
  <si>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</si>
  <si>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</si>
  <si>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</si>
  <si>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</si>
  <si>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</si>
  <si>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</si>
  <si>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</si>
  <si>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</si>
  <si>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</si>
  <si>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</si>
  <si>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</si>
  <si>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</si>
  <si>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</si>
  <si>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</si>
  <si>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</si>
  <si>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</si>
  <si>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</si>
  <si>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</si>
  <si>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</si>
  <si>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</si>
  <si>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</si>
  <si>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</si>
  <si>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</si>
  <si>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</si>
  <si>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</si>
  <si>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</si>
  <si>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</si>
  <si>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</si>
  <si>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</si>
  <si>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</si>
  <si>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两限房</t>
    <phoneticPr fontId="16" type="noConversion"/>
  </si>
  <si>
    <t>欧红伟</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</si>
  <si>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</si>
  <si>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</si>
  <si>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</si>
  <si>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</si>
  <si>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</si>
  <si>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</si>
  <si>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</si>
  <si>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</si>
  <si>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</si>
  <si>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</si>
  <si>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</si>
  <si>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</si>
  <si>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</si>
  <si>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</si>
  <si>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叠拼</t>
    <phoneticPr fontId="7" type="noConversion"/>
  </si>
  <si>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</si>
  <si>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</si>
  <si>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</si>
  <si>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</si>
  <si>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</si>
  <si>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</si>
  <si>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</si>
  <si>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</si>
  <si>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</si>
  <si>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</si>
  <si>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</si>
  <si>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</si>
  <si>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</si>
  <si>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</si>
  <si>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</si>
  <si>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</si>
  <si>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</si>
  <si>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</si>
  <si>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</si>
  <si>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</si>
  <si>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</si>
  <si>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</si>
  <si>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</si>
  <si>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</si>
  <si>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</si>
  <si>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</si>
  <si>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</si>
  <si>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</si>
  <si>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</si>
  <si>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</si>
  <si>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</si>
  <si>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</si>
  <si>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</si>
  <si>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</si>
  <si>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</si>
  <si>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</si>
  <si>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</si>
  <si>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</si>
  <si>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招标</t>
  </si>
  <si>
    <t>成交日期</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</si>
  <si>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</si>
  <si>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</si>
  <si>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</si>
  <si>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</si>
  <si>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</si>
  <si>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</si>
  <si>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</si>
  <si>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</si>
  <si>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</si>
  <si>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</si>
  <si>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</si>
  <si>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</si>
  <si>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</si>
  <si>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</si>
  <si>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</si>
  <si>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</si>
  <si>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</si>
  <si>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</si>
  <si>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</si>
  <si>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</si>
  <si>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</si>
  <si>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</si>
  <si>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</si>
  <si>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</si>
  <si>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</si>
  <si>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</si>
  <si>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</si>
  <si>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</si>
  <si>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</si>
  <si>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</si>
  <si>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</si>
  <si>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</si>
  <si>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</si>
  <si>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</si>
  <si>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</si>
  <si>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</si>
  <si>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</si>
  <si>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</si>
  <si>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</si>
  <si>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 xml:space="preserve">   </t>
    <phoneticPr fontId="31" type="noConversion"/>
  </si>
  <si>
    <t>未包含在土地购买价格中</t>
  </si>
  <si>
    <t>收益法（车库）</t>
  </si>
  <si>
    <t>收益法（车库）</t>
    <phoneticPr fontId="16" type="noConversion"/>
  </si>
  <si>
    <t>在建（套用方法）</t>
  </si>
  <si>
    <t>钢混</t>
  </si>
  <si>
    <t>非生产用房</t>
  </si>
  <si>
    <t>泰禾拾景园</t>
    <phoneticPr fontId="3" type="noConversion"/>
  </si>
  <si>
    <t>正常</t>
  </si>
  <si>
    <t>住宅</t>
    <phoneticPr fontId="25" type="noConversion"/>
  </si>
  <si>
    <t>60-70（含）</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</si>
  <si>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</si>
  <si>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</si>
  <si>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</si>
  <si>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</si>
  <si>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</si>
  <si>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</si>
  <si>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</si>
  <si>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</si>
  <si>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</si>
  <si>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</si>
  <si>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</si>
  <si>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</si>
  <si>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</si>
  <si>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</si>
  <si>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</si>
  <si>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</si>
  <si>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</si>
  <si>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</si>
  <si>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</si>
  <si>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</si>
  <si>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</si>
  <si>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比较法-叠拼</t>
    <phoneticPr fontId="16" type="noConversion"/>
  </si>
  <si>
    <t>成本法</t>
  </si>
  <si>
    <t>假设开发法</t>
  </si>
  <si>
    <t>成本比率</t>
  </si>
  <si>
    <t>居住项目</t>
  </si>
  <si>
    <t>无</t>
  </si>
  <si>
    <t>含保障性住房</t>
  </si>
  <si>
    <t>限价商品房</t>
    <phoneticPr fontId="6" type="noConversion"/>
  </si>
  <si>
    <t>通路</t>
  </si>
  <si>
    <t>通电</t>
  </si>
  <si>
    <t>通讯</t>
  </si>
  <si>
    <t>通上水</t>
  </si>
  <si>
    <t>通下水</t>
  </si>
  <si>
    <t>燃气</t>
  </si>
  <si>
    <t>自定义</t>
  </si>
  <si>
    <t>情况3</t>
  </si>
  <si>
    <t>非个人房产</t>
  </si>
  <si>
    <t>出让金+开发费</t>
  </si>
  <si>
    <t>F1</t>
  </si>
  <si>
    <t>F1</t>
    <phoneticPr fontId="31"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</si>
  <si>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</si>
  <si>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</si>
  <si>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</si>
  <si>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</si>
  <si>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</si>
  <si>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独栋</t>
  </si>
  <si>
    <t>抵押在建建筑面积清单</t>
  </si>
  <si>
    <t>1-201</t>
  </si>
  <si>
    <t>2-303</t>
  </si>
  <si>
    <t>1-301</t>
  </si>
  <si>
    <t>3-102</t>
  </si>
  <si>
    <t>3-302</t>
  </si>
  <si>
    <t>1-501</t>
  </si>
  <si>
    <t>1-502</t>
  </si>
  <si>
    <t>2-501</t>
  </si>
  <si>
    <t>3-501</t>
  </si>
  <si>
    <t>3-502</t>
  </si>
  <si>
    <t>3-101</t>
  </si>
  <si>
    <t>1-101</t>
  </si>
  <si>
    <t>1-302</t>
  </si>
  <si>
    <t>2-301</t>
  </si>
  <si>
    <t>2-302</t>
  </si>
  <si>
    <t>2-602</t>
  </si>
  <si>
    <t>4-501</t>
  </si>
  <si>
    <t>4-101</t>
  </si>
  <si>
    <t>4-102</t>
  </si>
  <si>
    <t>1-703</t>
  </si>
  <si>
    <t>2-701</t>
  </si>
  <si>
    <t>住宅内外均为精装修</t>
    <phoneticPr fontId="143" type="noConversion"/>
  </si>
  <si>
    <t>高层</t>
  </si>
  <si>
    <t>高层</t>
    <phoneticPr fontId="16" type="noConversion"/>
  </si>
  <si>
    <t>高层</t>
    <phoneticPr fontId="7" type="noConversion"/>
  </si>
  <si>
    <t>车库</t>
    <phoneticPr fontId="7" type="noConversion"/>
  </si>
  <si>
    <t>按租金收入计税</t>
  </si>
  <si>
    <t>东方蓝海中心</t>
    <phoneticPr fontId="3" type="noConversion"/>
  </si>
  <si>
    <t>昌平区北七家镇</t>
    <phoneticPr fontId="3" type="noConversion"/>
  </si>
  <si>
    <t>高层</t>
    <phoneticPr fontId="143" type="noConversion"/>
  </si>
  <si>
    <t>华润理想国</t>
    <phoneticPr fontId="3" type="noConversion"/>
  </si>
  <si>
    <t>招商·都会湾</t>
    <phoneticPr fontId="3" type="noConversion"/>
  </si>
  <si>
    <t>昌平区</t>
    <phoneticPr fontId="3" type="noConversion"/>
  </si>
  <si>
    <t>1-102</t>
  </si>
  <si>
    <t>2-502</t>
  </si>
  <si>
    <t>3-301</t>
  </si>
  <si>
    <t>2-102</t>
  </si>
  <si>
    <t>4-301</t>
  </si>
  <si>
    <t>4-302</t>
  </si>
  <si>
    <t>4-502</t>
  </si>
  <si>
    <t>2-101</t>
  </si>
  <si>
    <t>5-101</t>
  </si>
  <si>
    <t>5-102</t>
  </si>
  <si>
    <t>5-301</t>
  </si>
  <si>
    <t>5-302</t>
  </si>
  <si>
    <t>5-502</t>
  </si>
  <si>
    <t>叠拼</t>
    <phoneticPr fontId="143" type="noConversion"/>
  </si>
  <si>
    <t>高层</t>
    <phoneticPr fontId="143" type="noConversion"/>
  </si>
  <si>
    <t>地下</t>
    <phoneticPr fontId="143" type="noConversion"/>
  </si>
  <si>
    <t>合计</t>
    <phoneticPr fontId="143" type="noConversion"/>
  </si>
  <si>
    <t>高层</t>
    <phoneticPr fontId="25" type="noConversion"/>
  </si>
  <si>
    <t>北京城建·龙樾华府</t>
    <phoneticPr fontId="3" type="noConversion"/>
  </si>
  <si>
    <t>毛坯</t>
  </si>
  <si>
    <t>北科建泰禾·丽春湖院子</t>
    <phoneticPr fontId="25" type="noConversion"/>
  </si>
  <si>
    <t>昌平</t>
    <phoneticPr fontId="25" type="noConversion"/>
  </si>
  <si>
    <t>京基鹭府</t>
    <phoneticPr fontId="3" type="noConversion"/>
  </si>
  <si>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</si>
  <si>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</si>
  <si>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</si>
  <si>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</si>
  <si>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</si>
  <si>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</si>
  <si>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</si>
  <si>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</si>
  <si>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</si>
  <si>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</si>
  <si>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</si>
  <si>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</si>
  <si>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</si>
  <si>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</si>
  <si>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</si>
  <si>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</si>
  <si>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</si>
  <si>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</si>
  <si>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</si>
  <si>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</si>
  <si>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</si>
  <si>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</si>
  <si>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起始价(万元)</t>
  </si>
  <si>
    <t>推出每亩价(万元/亩)</t>
  </si>
  <si>
    <t>成交每亩价(万元/亩)</t>
  </si>
  <si>
    <t>推出楼面价(元/㎡)</t>
  </si>
  <si>
    <t>推出楼面价(除保障房)(元/㎡)</t>
  </si>
  <si>
    <t>成交楼面价(除保障房)(元/㎡)</t>
  </si>
  <si>
    <t>溢价率</t>
  </si>
  <si>
    <t>出让年限</t>
  </si>
  <si>
    <t>竞报整体自持比例(%)</t>
  </si>
  <si>
    <t>竞报商品住房自持比例(%)</t>
  </si>
  <si>
    <t>竞报商办部分自持比例(%)</t>
  </si>
  <si>
    <t>土地星级</t>
  </si>
  <si>
    <t>北京经济技术开发区河西区X92R1地块R2二类居住用地</t>
  </si>
  <si>
    <t>大兴区</t>
  </si>
  <si>
    <t>北京经济技术开发区河西区X92R1地块</t>
  </si>
  <si>
    <t>京土整储挂(开)[2019]010号</t>
  </si>
  <si>
    <t>R2二类居住用地</t>
  </si>
  <si>
    <t>≤2.2</t>
  </si>
  <si>
    <t>≤30%</t>
  </si>
  <si>
    <t>&amp;lt;45米</t>
  </si>
  <si>
    <t>限地价,限房价,竞自持,报高标准商品住宅建设方案,90/70</t>
  </si>
  <si>
    <t>限地价,限房价,90/70</t>
  </si>
  <si>
    <t>未开工</t>
  </si>
  <si>
    <t>2019-05-17</t>
  </si>
  <si>
    <t>2019-06-06</t>
  </si>
  <si>
    <t>2019-06-21</t>
  </si>
  <si>
    <t>已成交</t>
  </si>
  <si>
    <t>北京雅信房地产开发有限公司</t>
  </si>
  <si>
    <t>居住70年、商业40年、办公50年</t>
  </si>
  <si>
    <t>3星</t>
  </si>
  <si>
    <t>北京经济技术开发区河西区X92R2地块R2二类居住用地</t>
  </si>
  <si>
    <t>北京经济技术开发区河西区X92R2地块</t>
  </si>
  <si>
    <t>京土整储挂(开)[2019]011号</t>
  </si>
  <si>
    <t>港中旅房地产开发有限公司</t>
  </si>
  <si>
    <t>4星</t>
  </si>
  <si>
    <t>北京市大兴区瀛海镇YZ00-0803-6024、6025、6032、6035、6038地块F1住宅混合公建用地、A33基础教育用地、S32公交场站设施用地</t>
  </si>
  <si>
    <t>大兴区瀛海镇</t>
  </si>
  <si>
    <t>京土整储挂(兴)[2019]001号</t>
  </si>
  <si>
    <t>F1住宅混合公建用地、A33基础教育用地、S32公交场站设施用地</t>
  </si>
  <si>
    <t>f1=2.5,a33=0.8</t>
  </si>
  <si>
    <t>F1≤60米,A33≤12米</t>
  </si>
  <si>
    <t>2019-01-17</t>
  </si>
  <si>
    <t>2019-02-11</t>
  </si>
  <si>
    <t>2019-02-25</t>
  </si>
  <si>
    <t>居住70年,商业40年,办公50年</t>
  </si>
  <si>
    <t>北京市大兴区黄村镇三合庄村DX00-0202-6009地块F1住宅混合公建用地</t>
  </si>
  <si>
    <t>大兴区黄村镇三合庄村</t>
  </si>
  <si>
    <t>京土整储挂(兴)[2019]002号</t>
  </si>
  <si>
    <t>F1住宅混合公建用地</t>
  </si>
  <si>
    <t>≤50米</t>
  </si>
  <si>
    <t>北京金地达远企业管理咨询有限公司</t>
  </si>
  <si>
    <t>北京市昌平区沙河镇七里渠南北村土地一级开发项目CP00-1600-0015等地块R2二类居住用地、B4综合性商业金融服务业用地</t>
  </si>
  <si>
    <t>昌平区</t>
  </si>
  <si>
    <t>昌平区沙河镇七里渠南北村</t>
  </si>
  <si>
    <t>京土整储挂(昌)[2018]047号</t>
  </si>
  <si>
    <t>R2二类居住用地、B4综合性商业金融服务业用地</t>
  </si>
  <si>
    <t>R2≤30%;B4≤50%</t>
  </si>
  <si>
    <t>详见挂牌文件</t>
  </si>
  <si>
    <t>2018-11-26</t>
  </si>
  <si>
    <t>2018-12-17</t>
  </si>
  <si>
    <t>2018-12-29</t>
  </si>
  <si>
    <t>北京建工地产有限责任公司、北京首都开发股份有限公司和北京润置商业运营管理有限公司联合体</t>
  </si>
  <si>
    <t>北京市大兴区采育镇区01-0119地块R2二类居住用地</t>
  </si>
  <si>
    <t>大兴区采育镇</t>
  </si>
  <si>
    <t>京土整储挂(兴)[2018]035号</t>
  </si>
  <si>
    <t>≤30</t>
  </si>
  <si>
    <t>限地价,限房价,竞自持,报高标准商品住宅建设方案</t>
  </si>
  <si>
    <t>限地价,限房价</t>
  </si>
  <si>
    <t>2018-10-23</t>
  </si>
  <si>
    <t>2018-11-12</t>
  </si>
  <si>
    <t>北京城建新城投资开发有限公司</t>
  </si>
  <si>
    <t>1星</t>
  </si>
  <si>
    <t>≤45</t>
  </si>
  <si>
    <t>北京市大兴区采育镇区01-0128A地块R2二类居住用地</t>
  </si>
  <si>
    <t>京土整储挂(兴)[2018]031号</t>
  </si>
  <si>
    <t>30米</t>
  </si>
  <si>
    <t>限地价,限房价,竞自持</t>
  </si>
  <si>
    <t>2018-10-22</t>
  </si>
  <si>
    <t>北京住总房地产开发有限责任公司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</si>
  <si>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</si>
  <si>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</si>
  <si>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</si>
  <si>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</si>
  <si>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</si>
  <si>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</si>
  <si>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</si>
  <si>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</si>
  <si>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</si>
  <si>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</si>
  <si>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</si>
  <si>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</si>
  <si>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</si>
  <si>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</si>
  <si>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</si>
  <si>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</si>
  <si>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2星</t>
  </si>
  <si>
    <t>北京经济技术开发区河西区X89R1地块R2二类居住用地</t>
  </si>
  <si>
    <t>北京经济技术开发区河西区X89R1地块</t>
  </si>
  <si>
    <t>京土整储挂(开)[2018]021号</t>
  </si>
  <si>
    <t>≤60</t>
  </si>
  <si>
    <t>开工中</t>
  </si>
  <si>
    <t>2018-09-10</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</si>
  <si>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</si>
  <si>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</si>
  <si>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</si>
  <si>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</si>
  <si>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</si>
  <si>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</si>
  <si>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北京市大兴区魏善庄镇DX07-0102-6013地块R2二类居住用地、DX07-0102-6016地块A33基础教育用地</t>
  </si>
  <si>
    <t>大兴区魏善庄镇</t>
  </si>
  <si>
    <t>京土整储挂(兴)[2018]015号</t>
  </si>
  <si>
    <t>R2二类居住用地、A33基础教育用地</t>
  </si>
  <si>
    <t>R2≤30%;A33≤35%</t>
  </si>
  <si>
    <t>R2≤45;A33≤15</t>
  </si>
  <si>
    <t>2018-07-20</t>
  </si>
  <si>
    <t>2018-08-09</t>
  </si>
  <si>
    <t>2018-08-23</t>
  </si>
  <si>
    <t>北京喜茂置业有限公司</t>
  </si>
  <si>
    <t>北京市大兴区魏善庄镇DX07-0102-6015地块R2二类居住用地</t>
  </si>
  <si>
    <t>京土整储挂(兴)[2018]016号</t>
  </si>
  <si>
    <t>北京市大兴区庞各庄镇PGZ02-21地块R2二类居住用地</t>
  </si>
  <si>
    <t>大兴区庞各庄镇</t>
  </si>
  <si>
    <t>京土整储挂(兴)[2017]115号</t>
  </si>
  <si>
    <t>2017-12-29</t>
  </si>
  <si>
    <t>2018-01-19</t>
  </si>
  <si>
    <t>2018-02-02</t>
  </si>
  <si>
    <t>北京市大兴区黄村镇三合庄0202-0206、0202-0208地块F1住宅混合公建用地</t>
  </si>
  <si>
    <t>大兴区黄村镇</t>
  </si>
  <si>
    <t>京土整储挂(兴)[2017]114号</t>
  </si>
  <si>
    <t>≤35%</t>
  </si>
  <si>
    <t>2017-12-27</t>
  </si>
  <si>
    <t>2018-01-16</t>
  </si>
  <si>
    <t>2018-01-30</t>
  </si>
  <si>
    <t>招商局地产(北京)有限公司和北京永世同创信息咨询有限公司联合体</t>
  </si>
  <si>
    <t>北京市大兴区黄村镇DX00-0103-1304地块R2二类居住用地</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</si>
  <si>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</si>
  <si>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</si>
  <si>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</si>
  <si>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</si>
  <si>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</si>
  <si>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</si>
  <si>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京土整储挂(昌)[2017]103号</t>
  </si>
  <si>
    <t>R2二类居住用地、F1住宅混合公建用地、B4综合性商业金融服务业用地、A33基础教育用地</t>
  </si>
  <si>
    <t>R2、A33≤30%;B1≤40%;F1≤45%</t>
  </si>
  <si>
    <t>R2、F1≤18;A33≤12;B1≤45</t>
  </si>
  <si>
    <t>2017-12-14</t>
  </si>
  <si>
    <t>2018-01-03</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</si>
  <si>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</si>
  <si>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</si>
  <si>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</si>
  <si>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</si>
  <si>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</si>
  <si>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</si>
  <si>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2017-12-08</t>
  </si>
  <si>
    <t>2017-12-28</t>
  </si>
  <si>
    <t>昌平区北七家镇中心区,定泗路以南</t>
  </si>
  <si>
    <t>京土整储挂(昌)[2017]093号</t>
  </si>
  <si>
    <t>R2≤25%;A33≤30%</t>
  </si>
  <si>
    <t>R2≤45;A33≤12</t>
  </si>
  <si>
    <t>限地价,限房价,竞自持,90/70</t>
  </si>
  <si>
    <t>已完工</t>
  </si>
  <si>
    <t>2017-11-17</t>
  </si>
  <si>
    <t>2017-12-07</t>
  </si>
  <si>
    <t>北京市大兴区魏善庄镇2016年世界月季大会周边配套(国家新媒体产业基地B组团)土地一级开发项目AA-43(DX07-0102-6011)地块R2二类居住用地</t>
  </si>
  <si>
    <t>京土整储挂(兴)[2017]081号</t>
  </si>
  <si>
    <t>居住建筑规模全部建设“共有产权住房”</t>
  </si>
  <si>
    <t>2017-09-30</t>
  </si>
  <si>
    <t>2017-10-24</t>
  </si>
  <si>
    <t>北京首都开发股份有限公司和保利(北京)房地产开发有限公司联合体</t>
  </si>
  <si>
    <t>昌平区北七家镇东部</t>
  </si>
  <si>
    <t>京土整储挂(昌)[2017]080号</t>
  </si>
  <si>
    <t>北京市大兴区黄村镇DX00-0301-0029等地块R2二类居住用地、F3其他类多功能用地、A33基础教育用地</t>
  </si>
  <si>
    <t>京土整储挂(兴)[2017]075号</t>
  </si>
  <si>
    <t>R2二类居住用地、F3其他类多功能用地、A33基础教育用地</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</si>
  <si>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</si>
  <si>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</si>
  <si>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</si>
  <si>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</si>
  <si>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</si>
  <si>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</si>
  <si>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</si>
  <si>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</si>
  <si>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</si>
  <si>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</si>
  <si>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R2≤36;A33≤18</t>
  </si>
  <si>
    <t>2017-09-21</t>
  </si>
  <si>
    <t>2017-10-11</t>
  </si>
  <si>
    <t>北京金隅大成开发有限公司</t>
  </si>
  <si>
    <t>昌平区北七家镇立汤路东侧、东三旗村的东北部</t>
  </si>
  <si>
    <t>京土整储挂(昌)[2017]071号</t>
  </si>
  <si>
    <t>≥30且≤60</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</si>
  <si>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</si>
  <si>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</si>
  <si>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</si>
  <si>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</si>
  <si>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</si>
  <si>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</si>
  <si>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</si>
  <si>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</si>
  <si>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</si>
  <si>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</si>
  <si>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</si>
  <si>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</si>
  <si>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</si>
  <si>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</si>
  <si>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</si>
  <si>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</si>
  <si>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</si>
  <si>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</si>
  <si>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2017-06-30</t>
  </si>
  <si>
    <t>2017-08-08</t>
  </si>
  <si>
    <t>北京中瑞凯华投资管理有限公司和北京德俊置业有限公司联合体</t>
  </si>
  <si>
    <t>5星</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</si>
  <si>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</si>
  <si>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</si>
  <si>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</si>
  <si>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</si>
  <si>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</si>
  <si>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</si>
  <si>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</si>
  <si>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</si>
  <si>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京土整储挂(兴)[2017]047号</t>
  </si>
  <si>
    <t>r2:2;a33:0.8</t>
  </si>
  <si>
    <t>2017-06-23</t>
  </si>
  <si>
    <t>2017-07-13</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</si>
  <si>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</si>
  <si>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</si>
  <si>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</si>
  <si>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</si>
  <si>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京土整储挂(昌)[2017]049号</t>
  </si>
  <si>
    <t>B4综合性商业金融服务业用地、A61机构养老设施用地、R2二类居住用地、A33基础教育用地</t>
  </si>
  <si>
    <t>详见出让文件</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</si>
  <si>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</si>
  <si>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</si>
  <si>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</si>
  <si>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</si>
  <si>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</si>
  <si>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</si>
  <si>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</si>
  <si>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京土整储挂(昌)[2017]045号</t>
  </si>
  <si>
    <t>30-60</t>
  </si>
  <si>
    <t>居住建筑规模全部建设“自住型商品住房”,销售价格27000元/平方米(含全装修费用)</t>
  </si>
  <si>
    <t>大兴区瀛海镇C4组团YZ00-0803-0602地块F2公建混合住宅用地</t>
  </si>
  <si>
    <t>大兴区瀛海镇区C4组团</t>
  </si>
  <si>
    <t>京土整储挂(兴)[2017]043号</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</si>
  <si>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</si>
  <si>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</si>
  <si>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</si>
  <si>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</si>
  <si>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</si>
  <si>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</si>
  <si>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</si>
  <si>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</si>
  <si>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</si>
  <si>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</si>
  <si>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</si>
  <si>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</si>
  <si>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</si>
  <si>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</si>
  <si>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</si>
  <si>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2017-03-02</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</si>
  <si>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</si>
  <si>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</si>
  <si>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</si>
  <si>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</si>
  <si>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</si>
  <si>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</si>
  <si>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</si>
  <si>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</si>
  <si>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</si>
  <si>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</si>
  <si>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</si>
  <si>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</si>
  <si>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</si>
  <si>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</si>
  <si>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</si>
  <si>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</si>
  <si>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</si>
  <si>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</si>
  <si>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昌平区南邵镇</t>
  </si>
  <si>
    <t>京土整储挂(昌)[2016]007号</t>
  </si>
  <si>
    <t>公共租赁房,</t>
  </si>
  <si>
    <t>2016-03-31</t>
  </si>
  <si>
    <t>2016-04-20</t>
  </si>
  <si>
    <t>京土整储挂(昌)[2016]008号</t>
  </si>
  <si>
    <t>昌平区南邵镇</t>
    <phoneticPr fontId="3" type="noConversion"/>
  </si>
  <si>
    <t>——</t>
    <phoneticPr fontId="143" type="noConversion"/>
  </si>
  <si>
    <r>
      <rPr>
        <sz val="11"/>
        <color rgb="FF000000"/>
        <rFont val="宋体"/>
        <family val="3"/>
        <charset val="134"/>
      </rPr>
      <t>序号</t>
    </r>
  </si>
  <si>
    <r>
      <rPr>
        <sz val="11"/>
        <color rgb="FF000000"/>
        <rFont val="宋体"/>
        <family val="3"/>
        <charset val="134"/>
      </rPr>
      <t>楼栋号</t>
    </r>
  </si>
  <si>
    <r>
      <rPr>
        <sz val="11"/>
        <color rgb="FF000000"/>
        <rFont val="宋体"/>
        <family val="3"/>
        <charset val="134"/>
      </rPr>
      <t>房号</t>
    </r>
    <phoneticPr fontId="143" type="noConversion"/>
  </si>
  <si>
    <r>
      <t>16</t>
    </r>
    <r>
      <rPr>
        <sz val="11"/>
        <color rgb="FF000000"/>
        <rFont val="宋体"/>
        <family val="3"/>
        <charset val="134"/>
      </rPr>
      <t>层墙柱模板安装</t>
    </r>
    <phoneticPr fontId="143" type="noConversion"/>
  </si>
  <si>
    <r>
      <t>1#</t>
    </r>
    <r>
      <rPr>
        <sz val="11"/>
        <color rgb="FF000000"/>
        <rFont val="宋体"/>
        <family val="3"/>
        <charset val="134"/>
      </rPr>
      <t>地下车库</t>
    </r>
  </si>
  <si>
    <r>
      <rPr>
        <sz val="11"/>
        <color rgb="FF000000"/>
        <rFont val="宋体"/>
        <family val="3"/>
        <charset val="134"/>
      </rPr>
      <t>已完成</t>
    </r>
    <phoneticPr fontId="143" type="noConversion"/>
  </si>
  <si>
    <r>
      <t>2#</t>
    </r>
    <r>
      <rPr>
        <sz val="11"/>
        <color rgb="FF000000"/>
        <rFont val="宋体"/>
        <family val="3"/>
        <charset val="134"/>
      </rPr>
      <t>地下车库</t>
    </r>
  </si>
  <si>
    <r>
      <rPr>
        <sz val="11"/>
        <color rgb="FF000000"/>
        <rFont val="宋体"/>
        <family val="3"/>
        <charset val="134"/>
      </rPr>
      <t>合计</t>
    </r>
  </si>
  <si>
    <r>
      <rPr>
        <sz val="11"/>
        <color rgb="FF000000"/>
        <rFont val="宋体"/>
        <family val="3"/>
        <charset val="134"/>
      </rPr>
      <t>规划建筑面积</t>
    </r>
    <r>
      <rPr>
        <sz val="11"/>
        <color rgb="FF000000"/>
        <rFont val="Arial"/>
        <family val="2"/>
      </rPr>
      <t>(m</t>
    </r>
    <r>
      <rPr>
        <vertAlign val="superscript"/>
        <sz val="11"/>
        <color indexed="8"/>
        <rFont val="Arial"/>
        <family val="2"/>
      </rPr>
      <t>2</t>
    </r>
    <r>
      <rPr>
        <sz val="11"/>
        <color indexed="8"/>
        <rFont val="Arial"/>
        <family val="2"/>
      </rPr>
      <t>)</t>
    </r>
    <phoneticPr fontId="143" type="noConversion"/>
  </si>
  <si>
    <r>
      <rPr>
        <sz val="11"/>
        <color indexed="8"/>
        <rFont val="宋体"/>
        <family val="3"/>
        <charset val="134"/>
      </rPr>
      <t>地下</t>
    </r>
    <r>
      <rPr>
        <sz val="11"/>
        <color indexed="8"/>
        <rFont val="Arial"/>
        <family val="2"/>
      </rPr>
      <t>2</t>
    </r>
    <r>
      <rPr>
        <sz val="11"/>
        <color indexed="8"/>
        <rFont val="宋体"/>
        <family val="3"/>
        <charset val="134"/>
      </rPr>
      <t>层</t>
    </r>
  </si>
  <si>
    <r>
      <rPr>
        <sz val="11"/>
        <color rgb="FF000000"/>
        <rFont val="宋体"/>
        <family val="3"/>
        <charset val="134"/>
      </rPr>
      <t>砌筑完成</t>
    </r>
    <r>
      <rPr>
        <sz val="11"/>
        <color rgb="FF000000"/>
        <rFont val="Arial"/>
        <family val="2"/>
      </rPr>
      <t>100%</t>
    </r>
    <r>
      <rPr>
        <sz val="11"/>
        <color rgb="FF000000"/>
        <rFont val="宋体"/>
        <family val="3"/>
        <charset val="134"/>
      </rPr>
      <t>，抹灰完成</t>
    </r>
    <r>
      <rPr>
        <sz val="11"/>
        <color rgb="FF000000"/>
        <rFont val="Arial"/>
        <family val="2"/>
      </rPr>
      <t>60%</t>
    </r>
    <r>
      <rPr>
        <sz val="11"/>
        <color rgb="FF000000"/>
        <rFont val="宋体"/>
        <family val="3"/>
        <charset val="134"/>
      </rPr>
      <t>；外装外架改移完成</t>
    </r>
    <r>
      <rPr>
        <sz val="11"/>
        <color rgb="FF000000"/>
        <rFont val="Arial"/>
        <family val="2"/>
      </rPr>
      <t>40%</t>
    </r>
    <r>
      <rPr>
        <sz val="11"/>
        <color rgb="FF000000"/>
        <rFont val="宋体"/>
        <family val="3"/>
        <charset val="134"/>
      </rPr>
      <t>，保温样板施工</t>
    </r>
    <phoneticPr fontId="143" type="noConversion"/>
  </si>
  <si>
    <r>
      <rPr>
        <sz val="11"/>
        <color rgb="FF000000"/>
        <rFont val="宋体"/>
        <family val="3"/>
        <charset val="134"/>
      </rPr>
      <t>地下</t>
    </r>
    <r>
      <rPr>
        <sz val="11"/>
        <color rgb="FF000000"/>
        <rFont val="Arial"/>
        <family val="2"/>
      </rPr>
      <t>4</t>
    </r>
    <r>
      <rPr>
        <sz val="11"/>
        <color rgb="FF000000"/>
        <rFont val="宋体"/>
        <family val="3"/>
        <charset val="134"/>
      </rPr>
      <t>层至地下</t>
    </r>
    <r>
      <rPr>
        <sz val="11"/>
        <color rgb="FF000000"/>
        <rFont val="Arial"/>
        <family val="2"/>
      </rPr>
      <t>2</t>
    </r>
    <r>
      <rPr>
        <sz val="11"/>
        <color rgb="FF000000"/>
        <rFont val="宋体"/>
        <family val="3"/>
        <charset val="134"/>
      </rPr>
      <t>层</t>
    </r>
  </si>
  <si>
    <r>
      <rPr>
        <sz val="11"/>
        <color theme="1"/>
        <rFont val="宋体"/>
        <family val="3"/>
        <charset val="134"/>
      </rPr>
      <t>工程进度</t>
    </r>
    <phoneticPr fontId="143" type="noConversion"/>
  </si>
  <si>
    <r>
      <rPr>
        <sz val="11"/>
        <color theme="1"/>
        <rFont val="宋体"/>
        <family val="3"/>
        <charset val="134"/>
      </rPr>
      <t>已完成</t>
    </r>
    <phoneticPr fontId="143" type="noConversion"/>
  </si>
  <si>
    <t>郑燚</t>
  </si>
  <si>
    <r>
      <t>12#</t>
    </r>
    <r>
      <rPr>
        <sz val="11"/>
        <color rgb="FFFF0000"/>
        <rFont val="宋体"/>
        <family val="3"/>
        <charset val="134"/>
      </rPr>
      <t>商品房</t>
    </r>
  </si>
  <si>
    <r>
      <t>13#</t>
    </r>
    <r>
      <rPr>
        <sz val="11"/>
        <color rgb="FFFF0000"/>
        <rFont val="宋体"/>
        <family val="3"/>
        <charset val="134"/>
      </rPr>
      <t>商品房</t>
    </r>
  </si>
  <si>
    <r>
      <t>14#</t>
    </r>
    <r>
      <rPr>
        <sz val="11"/>
        <color rgb="FFFF0000"/>
        <rFont val="宋体"/>
        <family val="3"/>
        <charset val="134"/>
      </rPr>
      <t>商品房</t>
    </r>
  </si>
  <si>
    <r>
      <t>15#</t>
    </r>
    <r>
      <rPr>
        <sz val="11"/>
        <color rgb="FFFF0000"/>
        <rFont val="宋体"/>
        <family val="3"/>
        <charset val="134"/>
      </rPr>
      <t>商品房</t>
    </r>
  </si>
  <si>
    <r>
      <t>16#</t>
    </r>
    <r>
      <rPr>
        <sz val="11"/>
        <color rgb="FFFF0000"/>
        <rFont val="宋体"/>
        <family val="3"/>
        <charset val="134"/>
      </rPr>
      <t>商品房</t>
    </r>
  </si>
  <si>
    <r>
      <t>17#</t>
    </r>
    <r>
      <rPr>
        <sz val="11"/>
        <color rgb="FFFF0000"/>
        <rFont val="宋体"/>
        <family val="3"/>
        <charset val="134"/>
      </rPr>
      <t>商品房</t>
    </r>
  </si>
  <si>
    <r>
      <t>20#</t>
    </r>
    <r>
      <rPr>
        <sz val="11"/>
        <color rgb="FFFF0000"/>
        <rFont val="宋体"/>
        <family val="3"/>
        <charset val="134"/>
      </rPr>
      <t>商品房</t>
    </r>
  </si>
  <si>
    <r>
      <t>21#</t>
    </r>
    <r>
      <rPr>
        <sz val="11"/>
        <color rgb="FFFF0000"/>
        <rFont val="宋体"/>
        <family val="3"/>
        <charset val="134"/>
      </rPr>
      <t>商品房</t>
    </r>
  </si>
  <si>
    <r>
      <t>22#</t>
    </r>
    <r>
      <rPr>
        <sz val="11"/>
        <color rgb="FFFF0000"/>
        <rFont val="宋体"/>
        <family val="3"/>
        <charset val="134"/>
      </rPr>
      <t>商品房</t>
    </r>
  </si>
  <si>
    <r>
      <t>23#</t>
    </r>
    <r>
      <rPr>
        <sz val="11"/>
        <color rgb="FFFF0000"/>
        <rFont val="宋体"/>
        <family val="3"/>
        <charset val="134"/>
      </rPr>
      <t>商品房</t>
    </r>
  </si>
  <si>
    <r>
      <t>7#</t>
    </r>
    <r>
      <rPr>
        <sz val="11"/>
        <color rgb="FFFF0000"/>
        <rFont val="宋体"/>
        <family val="3"/>
        <charset val="134"/>
      </rPr>
      <t>商品房</t>
    </r>
  </si>
  <si>
    <r>
      <t>8#</t>
    </r>
    <r>
      <rPr>
        <sz val="11"/>
        <color rgb="FFFF0000"/>
        <rFont val="宋体"/>
        <family val="3"/>
        <charset val="134"/>
      </rPr>
      <t>商品房</t>
    </r>
  </si>
  <si>
    <r>
      <t>9#</t>
    </r>
    <r>
      <rPr>
        <sz val="11"/>
        <color rgb="FFFF0000"/>
        <rFont val="宋体"/>
        <family val="3"/>
        <charset val="134"/>
      </rPr>
      <t>商品房</t>
    </r>
  </si>
  <si>
    <r>
      <t>10#</t>
    </r>
    <r>
      <rPr>
        <sz val="11"/>
        <color rgb="FFFF0000"/>
        <rFont val="宋体"/>
        <family val="3"/>
        <charset val="134"/>
      </rPr>
      <t>商品房</t>
    </r>
  </si>
  <si>
    <r>
      <t>6#</t>
    </r>
    <r>
      <rPr>
        <sz val="11"/>
        <color rgb="FFFF0000"/>
        <rFont val="宋体"/>
        <family val="3"/>
        <charset val="134"/>
      </rPr>
      <t>商品房</t>
    </r>
  </si>
  <si>
    <r>
      <t>24#</t>
    </r>
    <r>
      <rPr>
        <sz val="11"/>
        <color rgb="FFFF0000"/>
        <rFont val="宋体"/>
        <family val="3"/>
        <charset val="134"/>
      </rPr>
      <t>商品房</t>
    </r>
  </si>
  <si>
    <t>二次结构砌筑完成，构造柱浇筑至十八层，抹灰开始充筋</t>
    <phoneticPr fontId="143" type="noConversion"/>
  </si>
  <si>
    <t>正在外部装修及设备安装</t>
    <phoneticPr fontId="143" type="noConversion"/>
  </si>
  <si>
    <t>地上</t>
    <phoneticPr fontId="143" type="noConversion"/>
  </si>
  <si>
    <t>地下</t>
    <phoneticPr fontId="143" type="noConversion"/>
  </si>
  <si>
    <t>套内</t>
    <phoneticPr fontId="143" type="noConversion"/>
  </si>
  <si>
    <t>小计</t>
    <phoneticPr fontId="143" type="noConversion"/>
  </si>
  <si>
    <t>地下建筑面积</t>
    <phoneticPr fontId="143" type="noConversion"/>
  </si>
  <si>
    <t>地上建筑面积</t>
    <phoneticPr fontId="143" type="noConversion"/>
  </si>
  <si>
    <t>戊类库房</t>
  </si>
  <si>
    <t>仓储</t>
  </si>
  <si>
    <t>仓储</t>
    <phoneticPr fontId="7"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</si>
</sst>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
      <i/>
      <sz val="10"/>
      <color rgb="FFFF0000"/>
      <name val="Arial"/>
      <family val="2"/>
    </font>
    <font>
      <sz val="11"/>
      <color rgb="FF000000"/>
      <name val="宋体"/>
      <family val="3"/>
      <charset val="134"/>
    </font>
    <font>
      <sz val="11"/>
      <color rgb="FF000000"/>
      <name val="Arial"/>
      <family val="2"/>
    </font>
    <font>
      <vertAlign val="superscript"/>
      <sz val="11"/>
      <color indexed="8"/>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77" fontId="260" fillId="5" borderId="1" xfId="1" applyNumberFormat="1" applyFont="1" applyFill="1" applyBorder="1" applyAlignment="1" applyProtection="1">
      <alignment horizontal="center"/>
    </xf>
    <xf numFmtId="181" fontId="148" fillId="5" borderId="61" xfId="0"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left" vertical="center" wrapText="1"/>
      <protection locked="0"/>
    </xf>
    <xf numFmtId="0" fontId="120" fillId="5" borderId="1" xfId="0" applyFont="1" applyFill="1" applyBorder="1" applyAlignment="1" applyProtection="1">
      <alignment horizontal="center" vertical="center"/>
    </xf>
    <xf numFmtId="0" fontId="106" fillId="5" borderId="37" xfId="0" applyNumberFormat="1" applyFont="1" applyFill="1" applyBorder="1" applyAlignment="1" applyProtection="1">
      <alignment horizontal="center" vertical="center" wrapText="1"/>
      <protection locked="0"/>
    </xf>
    <xf numFmtId="9" fontId="56" fillId="7" borderId="5"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99" fillId="0" borderId="0" xfId="0" applyFont="1">
      <alignment vertical="center"/>
    </xf>
    <xf numFmtId="49" fontId="99" fillId="0" borderId="0" xfId="0" applyNumberFormat="1" applyFont="1">
      <alignment vertical="center"/>
    </xf>
    <xf numFmtId="49" fontId="0" fillId="0" borderId="0" xfId="0" applyNumberFormat="1">
      <alignment vertical="center"/>
    </xf>
    <xf numFmtId="10" fontId="56" fillId="0" borderId="1" xfId="1" applyNumberFormat="1" applyFont="1" applyFill="1" applyBorder="1" applyAlignment="1" applyProtection="1">
      <alignment horizontal="center" vertical="center"/>
      <protection locked="0"/>
    </xf>
    <xf numFmtId="9" fontId="0" fillId="0" borderId="0" xfId="0" applyNumberFormat="1">
      <alignment vertical="center"/>
    </xf>
    <xf numFmtId="0" fontId="101" fillId="0" borderId="0" xfId="0" applyFont="1" applyAlignment="1"/>
    <xf numFmtId="0" fontId="262" fillId="0" borderId="1" xfId="0" applyFont="1" applyFill="1" applyBorder="1" applyAlignment="1">
      <alignment horizontal="left" vertical="center" wrapText="1"/>
    </xf>
    <xf numFmtId="49" fontId="104" fillId="0" borderId="1" xfId="0" applyNumberFormat="1" applyFont="1" applyBorder="1" applyAlignment="1">
      <alignment horizontal="left" vertical="center"/>
    </xf>
    <xf numFmtId="0" fontId="262" fillId="0" borderId="2" xfId="0" applyFont="1" applyFill="1" applyBorder="1" applyAlignment="1">
      <alignment horizontal="left" vertical="center" wrapText="1"/>
    </xf>
    <xf numFmtId="0" fontId="104" fillId="0" borderId="2" xfId="0" applyNumberFormat="1" applyFont="1" applyFill="1" applyBorder="1" applyAlignment="1">
      <alignment horizontal="left" vertical="center"/>
    </xf>
    <xf numFmtId="0" fontId="104" fillId="0" borderId="1" xfId="0" applyNumberFormat="1" applyFont="1" applyFill="1" applyBorder="1" applyAlignment="1">
      <alignment horizontal="left" vertical="center"/>
    </xf>
    <xf numFmtId="0" fontId="47" fillId="0" borderId="1" xfId="0" quotePrefix="1" applyFont="1" applyFill="1" applyBorder="1" applyAlignment="1">
      <alignment horizontal="left" vertical="center" wrapText="1"/>
    </xf>
    <xf numFmtId="49" fontId="262" fillId="0" borderId="1" xfId="0" applyNumberFormat="1" applyFont="1" applyFill="1" applyBorder="1" applyAlignment="1">
      <alignment horizontal="left" vertical="center" wrapText="1"/>
    </xf>
    <xf numFmtId="0" fontId="106" fillId="0" borderId="1" xfId="0" applyFont="1" applyFill="1" applyBorder="1" applyAlignment="1">
      <alignment horizontal="left" vertical="center" wrapText="1"/>
    </xf>
    <xf numFmtId="0" fontId="106" fillId="0" borderId="1" xfId="0" applyFont="1" applyFill="1" applyBorder="1" applyAlignment="1">
      <alignment horizontal="left" vertical="center" wrapText="1"/>
    </xf>
    <xf numFmtId="0" fontId="67" fillId="0" borderId="0" xfId="0" applyNumberFormat="1" applyFont="1" applyAlignment="1">
      <alignment horizontal="center" vertical="center"/>
    </xf>
    <xf numFmtId="0" fontId="122" fillId="0" borderId="0" xfId="0" applyNumberFormat="1" applyFont="1" applyBorder="1" applyAlignment="1">
      <alignment horizontal="left" vertical="center"/>
    </xf>
    <xf numFmtId="0" fontId="262" fillId="0" borderId="0" xfId="0" applyNumberFormat="1" applyFont="1" applyFill="1" applyBorder="1" applyAlignment="1">
      <alignment horizontal="left" vertical="center" wrapText="1"/>
    </xf>
    <xf numFmtId="0" fontId="261" fillId="0" borderId="0" xfId="0" applyNumberFormat="1" applyFont="1" applyFill="1" applyBorder="1" applyAlignment="1">
      <alignment horizontal="left" vertical="center" wrapText="1"/>
    </xf>
    <xf numFmtId="0" fontId="104" fillId="0" borderId="0" xfId="0" applyNumberFormat="1" applyFont="1" applyBorder="1" applyAlignment="1">
      <alignment horizontal="left" vertical="center"/>
    </xf>
    <xf numFmtId="0" fontId="0" fillId="0" borderId="0" xfId="0" applyNumberFormat="1">
      <alignment vertical="center"/>
    </xf>
    <xf numFmtId="0" fontId="106" fillId="0" borderId="1" xfId="0" applyNumberFormat="1" applyFont="1" applyFill="1" applyBorder="1" applyAlignment="1">
      <alignment horizontal="left" vertical="center"/>
    </xf>
    <xf numFmtId="0" fontId="106" fillId="0" borderId="1" xfId="11" applyNumberFormat="1" applyFont="1" applyFill="1" applyBorder="1" applyAlignment="1" applyProtection="1">
      <alignment horizontal="left" vertical="center" shrinkToFit="1"/>
    </xf>
    <xf numFmtId="177" fontId="137" fillId="0" borderId="1" xfId="1" applyNumberFormat="1" applyFont="1" applyFill="1" applyBorder="1" applyAlignment="1" applyProtection="1">
      <alignment vertical="center"/>
      <protection locked="0"/>
    </xf>
    <xf numFmtId="0" fontId="140" fillId="6" borderId="13" xfId="0" applyFont="1" applyFill="1" applyBorder="1" applyAlignment="1" applyProtection="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62" fillId="0" borderId="5" xfId="0" applyFont="1" applyFill="1" applyBorder="1" applyAlignment="1">
      <alignment horizontal="left" vertical="center" wrapText="1"/>
    </xf>
    <xf numFmtId="0" fontId="262" fillId="0" borderId="54" xfId="0" applyFont="1" applyFill="1" applyBorder="1" applyAlignment="1">
      <alignment horizontal="left" vertical="center" wrapText="1"/>
    </xf>
    <xf numFmtId="0" fontId="262" fillId="0" borderId="3" xfId="0" applyFont="1" applyFill="1" applyBorder="1" applyAlignment="1">
      <alignment horizontal="left" vertical="center" wrapText="1"/>
    </xf>
    <xf numFmtId="0" fontId="106" fillId="0" borderId="13" xfId="0" applyFont="1" applyFill="1" applyBorder="1" applyAlignment="1">
      <alignment horizontal="left" vertical="center" wrapText="1"/>
    </xf>
    <xf numFmtId="0" fontId="106" fillId="0" borderId="15" xfId="0" applyFont="1" applyFill="1" applyBorder="1" applyAlignment="1">
      <alignment horizontal="left" vertical="center" wrapText="1"/>
    </xf>
    <xf numFmtId="0" fontId="106" fillId="0" borderId="2" xfId="0" applyFont="1" applyFill="1" applyBorder="1" applyAlignment="1">
      <alignment horizontal="left" vertical="center" wrapText="1"/>
    </xf>
    <xf numFmtId="49" fontId="262" fillId="0" borderId="13" xfId="0" applyNumberFormat="1" applyFont="1" applyFill="1" applyBorder="1" applyAlignment="1">
      <alignment horizontal="left" vertical="center" wrapText="1"/>
    </xf>
    <xf numFmtId="49" fontId="262" fillId="0" borderId="15" xfId="0" applyNumberFormat="1" applyFont="1" applyFill="1" applyBorder="1" applyAlignment="1">
      <alignment horizontal="left" vertical="center" wrapText="1"/>
    </xf>
    <xf numFmtId="49" fontId="262" fillId="0" borderId="2" xfId="0" applyNumberFormat="1" applyFont="1" applyFill="1" applyBorder="1" applyAlignment="1">
      <alignment horizontal="left" vertical="center" wrapText="1"/>
    </xf>
    <xf numFmtId="0" fontId="106" fillId="0" borderId="1" xfId="0" applyFont="1" applyFill="1" applyBorder="1" applyAlignment="1">
      <alignment horizontal="left" vertical="center" wrapText="1"/>
    </xf>
    <xf numFmtId="49" fontId="261" fillId="0" borderId="13" xfId="0" applyNumberFormat="1" applyFont="1" applyFill="1" applyBorder="1" applyAlignment="1">
      <alignment horizontal="left" vertical="center" wrapText="1"/>
    </xf>
    <xf numFmtId="0" fontId="67" fillId="0" borderId="0" xfId="0" applyFont="1" applyAlignment="1">
      <alignment horizontal="center" vertical="center"/>
    </xf>
    <xf numFmtId="49" fontId="262" fillId="0" borderId="1" xfId="0" applyNumberFormat="1" applyFont="1" applyFill="1" applyBorder="1" applyAlignment="1">
      <alignment horizontal="left"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1</xdr:row>
      <xdr:rowOff>0</xdr:rowOff>
    </xdr:from>
    <xdr:to>
      <xdr:col>22</xdr:col>
      <xdr:colOff>132513</xdr:colOff>
      <xdr:row>17</xdr:row>
      <xdr:rowOff>83828</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9361714" y="348343"/>
          <a:ext cx="6685714"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9977;&#26376;&#22312;&#23478;\&#24247;&#27491;-&#22025;&#20852;\F05&#25216;&#26415;&#25253;&#21578;\&#27979;&#31639;&#34920;-&#26410;&#24314;-&#39640;&#358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仓储）"/>
      <sheetName val="收益法（车库）"/>
      <sheetName val="收益法 (元)"/>
      <sheetName val="收益法（汇总）"/>
      <sheetName val="酒店收入计算"/>
      <sheetName val="比较法-高板"/>
      <sheetName val="比较法-叠拼"/>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329497</v>
          </cell>
        </row>
        <row r="59">
          <cell r="N59">
            <v>288695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北京市昌平区南邵镇（中关村科技园昌平园东区二期）0303-54地块出让国有建设用地使用权及在建建筑物房地产抵押价值预评估</v>
      </c>
    </row>
    <row r="3" spans="1:2" s="1587" customFormat="1">
      <c r="A3" s="1585" t="s">
        <v>1221</v>
      </c>
      <c r="B3" s="1586" t="str">
        <f>'预评函-封皮'!B40</f>
        <v>北京泰禾嘉兴房地产开发有限公司</v>
      </c>
    </row>
    <row r="4" spans="1:2" s="1587" customFormat="1">
      <c r="A4" s="1585" t="s">
        <v>1222</v>
      </c>
      <c r="B4" s="1586" t="str">
        <f ca="1">'预评函-封皮'!B46</f>
        <v>欧红伟（注册号：1120000080)、郑燚（注册号：1120070131)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受贵公司委托，我公司对北京市昌平区南邵镇（中关村科技园昌平园东区二期）0303-54地块出让国有建设用地使用权及在建建筑物房地产抵押价值进行了预评估。</v>
      </c>
    </row>
    <row r="7" spans="1:2" s="1587" customFormat="1">
      <c r="A7" s="1585" t="s">
        <v>1264</v>
      </c>
      <c r="B7" s="1586" t="str">
        <f>'预评函-1'!A7</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14226.66平方米，建筑面积为63702.13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14226.66平方米，规划建筑面积为63702.13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为估价委托人在向兴业银行、兴业信托办理贷款手续过程中，确定房地产抵押贷款额度提供参考依据而评估房地产抵押价值。</v>
      </c>
    </row>
    <row r="12" spans="1:2" s="1587" customFormat="1">
      <c r="A12" s="1585" t="s">
        <v>1226</v>
      </c>
      <c r="B12" s="1586" t="str">
        <f>'预评函-1'!A15</f>
        <v>2019年6月17日（评估专业人员实地查勘之日）</v>
      </c>
    </row>
    <row r="13" spans="1:2" s="1587" customFormat="1">
      <c r="A13" s="1585" t="s">
        <v>1227</v>
      </c>
      <c r="B13" s="1586"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本次评估采用的主估价方法为成本法和假设开发法。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150264</v>
      </c>
    </row>
    <row r="21" spans="1:2" s="1587" customFormat="1">
      <c r="A21" s="1585" t="s">
        <v>1235</v>
      </c>
      <c r="B21" s="1586">
        <f ca="1">'预评函-2'!D7</f>
        <v>23589</v>
      </c>
    </row>
    <row r="22" spans="1:2" s="1587" customFormat="1">
      <c r="A22" s="1585" t="s">
        <v>1236</v>
      </c>
      <c r="B22" s="1586" t="str">
        <f ca="1">'预评函-2'!D6</f>
        <v>壹拾伍亿零贰佰陆拾肆万元整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v>
      </c>
    </row>
    <row r="30" spans="1:2" s="1587" customFormat="1">
      <c r="A30" s="1585" t="s">
        <v>1292</v>
      </c>
      <c r="B30" s="1586" t="str">
        <f>'预评函-2'!D13</f>
        <v>——</v>
      </c>
    </row>
    <row r="31" spans="1:2" s="1587" customFormat="1">
      <c r="A31" s="1585" t="s">
        <v>1274</v>
      </c>
      <c r="B31" s="1586" t="e">
        <f>'预评函-2'!D15</f>
        <v>#VALUE!</v>
      </c>
    </row>
    <row r="32" spans="1:2" s="1587" customFormat="1">
      <c r="A32" s="1585" t="s">
        <v>1241</v>
      </c>
      <c r="B32" s="1586" t="e">
        <f>'预评函-2'!D14</f>
        <v>#VALUE!</v>
      </c>
    </row>
    <row r="33" spans="1:2" s="1587" customFormat="1">
      <c r="A33" s="1585" t="s">
        <v>1276</v>
      </c>
      <c r="B33" s="1586" t="str">
        <f>'预评函-2'!B16</f>
        <v>3.抵押担保权已注销时的房地产抵押价值</v>
      </c>
    </row>
    <row r="34" spans="1:2" s="1587" customFormat="1">
      <c r="A34" s="1585" t="s">
        <v>1294</v>
      </c>
      <c r="B34" s="1586">
        <f ca="1">'预评函-2'!D16</f>
        <v>150264</v>
      </c>
    </row>
    <row r="35" spans="1:2" s="1587" customFormat="1">
      <c r="A35" s="1585" t="s">
        <v>1275</v>
      </c>
      <c r="B35" s="1586">
        <f ca="1">'预评函-2'!D18</f>
        <v>23589</v>
      </c>
    </row>
    <row r="36" spans="1:2" s="1587" customFormat="1">
      <c r="A36" s="1585" t="s">
        <v>1242</v>
      </c>
      <c r="B36" s="1586" t="str">
        <f ca="1">'预评函-2'!D17</f>
        <v>壹拾伍亿零贰佰陆拾肆万元整</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北京市昌平区南邵镇（中关村科技园昌平园东区二期）0303-54地块出让国有建设用地使用权及在建建筑物房地产</v>
      </c>
    </row>
    <row r="42" spans="1:2" s="1587" customFormat="1">
      <c r="A42" s="1585" t="s">
        <v>1288</v>
      </c>
      <c r="B42" s="1586" t="str">
        <f>'预评函-3'!B2</f>
        <v>建筑面积</v>
      </c>
    </row>
    <row r="43" spans="1:2" s="1587" customFormat="1">
      <c r="A43" s="1585" t="s">
        <v>1289</v>
      </c>
      <c r="B43" s="1586">
        <f>'预评函-3'!B4</f>
        <v>63702.12999999999</v>
      </c>
    </row>
    <row r="44" spans="1:2" s="1587" customFormat="1">
      <c r="A44" s="1585" t="s">
        <v>1273</v>
      </c>
      <c r="B44" s="1586" t="str">
        <f>'预评函-3'!C2</f>
        <v>(分摊)土地面积</v>
      </c>
    </row>
    <row r="45" spans="1:2" s="1587" customFormat="1">
      <c r="A45" s="1585" t="s">
        <v>1245</v>
      </c>
      <c r="B45" s="1586">
        <f>'预评函-3'!C4</f>
        <v>14226.66</v>
      </c>
    </row>
    <row r="46" spans="1:2" s="1587" customFormat="1">
      <c r="A46" s="1585" t="s">
        <v>1271</v>
      </c>
      <c r="B46" s="1586" t="str">
        <f>'预评函-3'!D2</f>
        <v>出让国有建设用地使用权价值</v>
      </c>
    </row>
    <row r="47" spans="1:2" s="1587" customFormat="1">
      <c r="A47" s="1585" t="s">
        <v>1246</v>
      </c>
      <c r="B47" s="1586">
        <f ca="1">'预评函-3'!D4</f>
        <v>120211</v>
      </c>
    </row>
    <row r="48" spans="1:2" s="1587" customFormat="1">
      <c r="A48" s="1585" t="s">
        <v>1247</v>
      </c>
      <c r="B48" s="1586">
        <f ca="1">'预评函-3'!E4</f>
        <v>18871</v>
      </c>
    </row>
    <row r="49" spans="1:2" s="1587" customFormat="1">
      <c r="A49" s="1585" t="s">
        <v>1248</v>
      </c>
      <c r="B49" s="1586" t="str">
        <f ca="1">'预评函-3'!D5</f>
        <v>壹拾贰亿零贰佰壹拾壹万元整</v>
      </c>
    </row>
    <row r="50" spans="1:2" s="1587" customFormat="1">
      <c r="A50" s="1585" t="s">
        <v>1272</v>
      </c>
      <c r="B50" s="1586" t="str">
        <f>'预评函-3'!F2</f>
        <v>在建建筑物价值</v>
      </c>
    </row>
    <row r="51" spans="1:2" s="1587" customFormat="1">
      <c r="A51" s="1585" t="s">
        <v>1249</v>
      </c>
      <c r="B51" s="1586">
        <f ca="1">'预评函-3'!F4</f>
        <v>30053</v>
      </c>
    </row>
    <row r="52" spans="1:2" s="1587" customFormat="1">
      <c r="A52" s="1585" t="s">
        <v>1250</v>
      </c>
      <c r="B52" s="1586">
        <f ca="1">'预评函-3'!G4</f>
        <v>4718</v>
      </c>
    </row>
    <row r="53" spans="1:2" s="1587" customFormat="1">
      <c r="A53" s="1585" t="s">
        <v>1278</v>
      </c>
      <c r="B53" s="1586" t="str">
        <f ca="1">'预评函-3'!F5</f>
        <v>叁亿零伍拾叁万元整</v>
      </c>
    </row>
    <row r="54" spans="1:2" s="1587" customFormat="1">
      <c r="A54" s="1585" t="s">
        <v>1296</v>
      </c>
      <c r="B54" s="1586" t="str">
        <f>'预评函-3'!A8</f>
        <v/>
      </c>
    </row>
    <row r="55" spans="1:2" s="1587" customFormat="1">
      <c r="A55" s="1585" t="s">
        <v>1279</v>
      </c>
      <c r="B55" s="1586" t="str">
        <f>'预评函-3'!A10</f>
        <v>抵押担保权已注销时的房地产抵押价值</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欧红伟</v>
      </c>
    </row>
    <row r="71" spans="1:2">
      <c r="A71" s="1585" t="s">
        <v>1261</v>
      </c>
      <c r="B71" s="1586">
        <f ca="1">'预评函-4'!B4</f>
        <v>1120000080</v>
      </c>
    </row>
    <row r="72" spans="1:2">
      <c r="A72" s="1585" t="s">
        <v>1262</v>
      </c>
      <c r="B72" s="1594" t="str">
        <f>'预评函-4'!A5</f>
        <v>郑燚</v>
      </c>
    </row>
    <row r="73" spans="1:2" s="1581" customFormat="1" ht="15" thickBot="1">
      <c r="A73" s="1588" t="s">
        <v>1263</v>
      </c>
      <c r="B73" s="1589">
        <f ca="1">'预评函-4'!B5</f>
        <v>1120070131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4" sqref="B24"/>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1691</v>
      </c>
      <c r="C1" s="2003" t="s">
        <v>759</v>
      </c>
      <c r="D1" s="2004" t="s">
        <v>1692</v>
      </c>
      <c r="E1" s="2004" t="s">
        <v>1693</v>
      </c>
      <c r="F1" s="2004" t="s">
        <v>1694</v>
      </c>
      <c r="G1" s="2004" t="s">
        <v>1695</v>
      </c>
      <c r="H1" s="2004" t="s">
        <v>1696</v>
      </c>
      <c r="I1" s="2004" t="s">
        <v>1697</v>
      </c>
      <c r="J1" s="2004" t="s">
        <v>1698</v>
      </c>
      <c r="K1" s="2004" t="s">
        <v>1699</v>
      </c>
      <c r="L1" s="2004" t="s">
        <v>1700</v>
      </c>
      <c r="M1" s="2004" t="s">
        <v>1701</v>
      </c>
      <c r="N1" s="2004" t="s">
        <v>1702</v>
      </c>
      <c r="O1" s="2004" t="s">
        <v>1703</v>
      </c>
      <c r="P1" s="2005" t="s">
        <v>753</v>
      </c>
      <c r="Q1" s="2005" t="s">
        <v>1144</v>
      </c>
      <c r="R1" s="2004" t="s">
        <v>1138</v>
      </c>
      <c r="S1" s="2004" t="s">
        <v>1704</v>
      </c>
      <c r="T1" s="2006" t="s">
        <v>1705</v>
      </c>
      <c r="U1" s="2004" t="s">
        <v>1706</v>
      </c>
      <c r="V1" s="2004" t="s">
        <v>1707</v>
      </c>
      <c r="W1" s="2004" t="s">
        <v>755</v>
      </c>
    </row>
    <row r="2" spans="1:23">
      <c r="A2" s="2008" t="s">
        <v>22</v>
      </c>
      <c r="B2" s="2008" t="s">
        <v>1708</v>
      </c>
      <c r="C2" s="2009" t="s">
        <v>760</v>
      </c>
      <c r="D2" s="2010" t="s">
        <v>1709</v>
      </c>
      <c r="E2" s="2010" t="s">
        <v>1710</v>
      </c>
      <c r="F2" s="2010" t="s">
        <v>1711</v>
      </c>
      <c r="G2" s="2010">
        <v>40</v>
      </c>
      <c r="H2" s="2010" t="s">
        <v>1711</v>
      </c>
      <c r="I2" s="2010" t="s">
        <v>1712</v>
      </c>
      <c r="J2" s="2010" t="s">
        <v>1713</v>
      </c>
      <c r="K2" s="2010" t="s">
        <v>1714</v>
      </c>
      <c r="L2" s="2010" t="s">
        <v>1714</v>
      </c>
      <c r="M2" s="2010" t="s">
        <v>1714</v>
      </c>
      <c r="N2" s="2010" t="s">
        <v>1714</v>
      </c>
      <c r="O2" s="2010" t="s">
        <v>1714</v>
      </c>
      <c r="P2" s="2010" t="s">
        <v>1714</v>
      </c>
      <c r="Q2" s="2010" t="s">
        <v>1714</v>
      </c>
      <c r="R2" s="2010" t="s">
        <v>1140</v>
      </c>
      <c r="S2" s="2010" t="s">
        <v>1714</v>
      </c>
      <c r="T2" s="2010" t="s">
        <v>1715</v>
      </c>
      <c r="U2" s="2010" t="s">
        <v>1714</v>
      </c>
      <c r="V2" s="2010" t="s">
        <v>1716</v>
      </c>
      <c r="W2" s="2010" t="s">
        <v>1714</v>
      </c>
    </row>
    <row r="3" spans="1:23">
      <c r="A3" s="2008" t="s">
        <v>1717</v>
      </c>
      <c r="B3" s="2011" t="s">
        <v>1145</v>
      </c>
      <c r="C3" s="2012" t="s">
        <v>761</v>
      </c>
      <c r="D3" s="2010" t="s">
        <v>1718</v>
      </c>
      <c r="E3" s="2010" t="s">
        <v>16</v>
      </c>
      <c r="F3" s="2010" t="s">
        <v>1719</v>
      </c>
      <c r="G3" s="2010">
        <v>50</v>
      </c>
      <c r="H3" s="2010" t="s">
        <v>1719</v>
      </c>
      <c r="I3" s="2010" t="s">
        <v>1720</v>
      </c>
      <c r="J3" s="2010" t="s">
        <v>1721</v>
      </c>
      <c r="K3" s="2010" t="s">
        <v>1722</v>
      </c>
      <c r="L3" s="2010" t="s">
        <v>1722</v>
      </c>
      <c r="M3" s="2010" t="s">
        <v>1722</v>
      </c>
      <c r="N3" s="2010" t="s">
        <v>1722</v>
      </c>
      <c r="O3" s="2010" t="s">
        <v>1722</v>
      </c>
      <c r="P3" s="2010" t="s">
        <v>1722</v>
      </c>
      <c r="Q3" s="2010" t="s">
        <v>1722</v>
      </c>
      <c r="R3" s="2010" t="s">
        <v>1139</v>
      </c>
      <c r="S3" s="2010" t="s">
        <v>1722</v>
      </c>
      <c r="T3" s="2010" t="s">
        <v>1723</v>
      </c>
      <c r="U3" s="2010" t="s">
        <v>1722</v>
      </c>
      <c r="V3" s="2010" t="s">
        <v>1724</v>
      </c>
      <c r="W3" s="2010" t="s">
        <v>1722</v>
      </c>
    </row>
    <row r="4" spans="1:23">
      <c r="A4" s="2008" t="s">
        <v>1725</v>
      </c>
      <c r="B4" s="2008" t="s">
        <v>1726</v>
      </c>
      <c r="C4" s="2009" t="s">
        <v>762</v>
      </c>
      <c r="D4" s="2010" t="s">
        <v>868</v>
      </c>
      <c r="E4" s="2010" t="s">
        <v>1727</v>
      </c>
      <c r="F4" s="2010" t="s">
        <v>1728</v>
      </c>
      <c r="G4" s="2010">
        <v>70</v>
      </c>
      <c r="H4" s="2010" t="s">
        <v>1728</v>
      </c>
      <c r="I4" s="2010" t="s">
        <v>1729</v>
      </c>
      <c r="K4" s="2010" t="s">
        <v>1730</v>
      </c>
      <c r="L4" s="2010" t="s">
        <v>1730</v>
      </c>
      <c r="M4" s="2010" t="s">
        <v>1730</v>
      </c>
      <c r="N4" s="2010" t="s">
        <v>1730</v>
      </c>
      <c r="O4" s="2010" t="s">
        <v>1730</v>
      </c>
      <c r="P4" s="2010" t="s">
        <v>1730</v>
      </c>
      <c r="Q4" s="2010" t="s">
        <v>1730</v>
      </c>
      <c r="R4" s="2010" t="s">
        <v>1141</v>
      </c>
      <c r="S4" s="2010" t="s">
        <v>1730</v>
      </c>
      <c r="T4" s="2010" t="s">
        <v>1731</v>
      </c>
      <c r="U4" s="2010" t="s">
        <v>1730</v>
      </c>
      <c r="W4" s="2010" t="s">
        <v>1730</v>
      </c>
    </row>
    <row r="5" spans="1:23">
      <c r="A5" s="2008" t="s">
        <v>1732</v>
      </c>
      <c r="B5" s="2011" t="s">
        <v>3154</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11" t="s">
        <v>3183</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757</v>
      </c>
      <c r="C17" s="2009"/>
    </row>
    <row r="18" spans="1:3">
      <c r="A18" s="2008" t="s">
        <v>1766</v>
      </c>
      <c r="B18" s="2008" t="s">
        <v>757</v>
      </c>
      <c r="C18" s="2009"/>
    </row>
    <row r="19" spans="1:3">
      <c r="A19" s="2008" t="s">
        <v>1767</v>
      </c>
      <c r="B19" s="2008" t="s">
        <v>757</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3055</v>
      </c>
      <c r="B27" s="2008" t="s">
        <v>757</v>
      </c>
      <c r="C27" s="2009"/>
    </row>
    <row r="28" spans="1:3">
      <c r="A28" s="2008" t="s">
        <v>3233</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及在建建筑物房地产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38"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6" t="s">
        <v>864</v>
      </c>
      <c r="C54" s="2013" t="s">
        <v>1281</v>
      </c>
    </row>
    <row r="55" spans="1:4">
      <c r="A55" s="3038"/>
      <c r="B55" s="2016" t="s">
        <v>865</v>
      </c>
      <c r="C55" s="2013" t="s">
        <v>1282</v>
      </c>
    </row>
    <row r="56" spans="1:4">
      <c r="A56" s="3038"/>
      <c r="B56" s="2016" t="s">
        <v>866</v>
      </c>
      <c r="C56" s="2013" t="s">
        <v>1286</v>
      </c>
    </row>
    <row r="57" spans="1:4">
      <c r="A57" s="3038"/>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6" customWidth="1"/>
    <col min="2" max="2" width="12" style="2026" customWidth="1"/>
    <col min="3" max="3" width="11.5" style="2026" customWidth="1"/>
    <col min="4" max="4" width="13.625" style="2026" customWidth="1"/>
    <col min="5" max="6" width="10" style="2026" customWidth="1"/>
    <col min="7" max="7" width="10.75" style="2026" customWidth="1"/>
    <col min="8" max="8" width="10" style="2026"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1775</v>
      </c>
      <c r="B1" s="3047"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北京市昌平区南邵镇（中关村科技园昌平园东区二期）0303-54地块出让国有建设用地使用权及在建建筑物房地产抵押价值预评估</v>
      </c>
      <c r="C1" s="3048"/>
      <c r="D1" s="3048"/>
      <c r="E1" s="3048"/>
      <c r="F1" s="3048"/>
      <c r="G1" s="3048"/>
      <c r="H1" s="3048"/>
      <c r="I1" s="3049"/>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北京市昌平区南邵镇（中关村科技园昌平园东区二期）0303-54地块出让国有建设用地使用权及在建建筑物房地产抵押价值</v>
      </c>
    </row>
    <row r="2" spans="1:19" ht="18" customHeight="1">
      <c r="A2" s="2020" t="s">
        <v>1776</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北京市昌平区南邵镇（中关村科技园昌平园东区二期）0303-54地块出让国有建设用地使用权及在建建筑物房地产</v>
      </c>
    </row>
    <row r="3" spans="1:19" ht="18" customHeight="1">
      <c r="A3" s="2029" t="s">
        <v>1777</v>
      </c>
      <c r="B3" s="2030">
        <v>43633</v>
      </c>
      <c r="C3" s="2031" t="s">
        <v>1778</v>
      </c>
      <c r="D3" s="2030">
        <f>B3</f>
        <v>43633</v>
      </c>
      <c r="E3" s="2020"/>
      <c r="F3" s="2020"/>
      <c r="G3" s="2020"/>
      <c r="H3" s="2020"/>
      <c r="I3" s="2020"/>
      <c r="J3" s="2020"/>
      <c r="K3" s="2021"/>
      <c r="L3" s="2022"/>
      <c r="M3" s="2022"/>
      <c r="N3" s="2023"/>
      <c r="O3" s="2024"/>
      <c r="P3" s="2023"/>
      <c r="Q3" s="2023"/>
      <c r="R3" s="2023"/>
      <c r="S3" s="2025"/>
    </row>
    <row r="4" spans="1:19" ht="18" customHeight="1" thickBot="1">
      <c r="A4" s="2032" t="s">
        <v>1779</v>
      </c>
      <c r="B4" s="2033" t="s">
        <v>3056</v>
      </c>
      <c r="C4" s="1033">
        <f ca="1">SUMIF(注册房地产估价师,B4,估价师及机构信息!B3:B24)</f>
        <v>1120000080</v>
      </c>
      <c r="D4" s="2033" t="s">
        <v>3589</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欧红伟（注册号：1120000080)、郑燚（注册号：1120070131)</v>
      </c>
      <c r="L4" s="2022"/>
      <c r="M4" s="2022"/>
      <c r="N4" s="2023"/>
      <c r="O4" s="2024"/>
      <c r="P4" s="2023"/>
      <c r="Q4" s="2023"/>
      <c r="R4" s="2023"/>
      <c r="S4" s="2025"/>
    </row>
    <row r="5" spans="1:19" ht="37.5" customHeight="1" thickTop="1">
      <c r="A5" s="2038" t="s">
        <v>1780</v>
      </c>
      <c r="B5" s="2934" t="s">
        <v>3065</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1781</v>
      </c>
      <c r="B6" s="2935" t="s">
        <v>3058</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1782</v>
      </c>
      <c r="B7" s="2934" t="s">
        <v>3057</v>
      </c>
      <c r="C7" s="2042"/>
      <c r="D7" s="2043"/>
      <c r="E7" s="2028"/>
      <c r="F7" s="2036"/>
      <c r="G7" s="2036"/>
      <c r="H7" s="2036"/>
      <c r="I7" s="2036"/>
      <c r="J7" s="2036"/>
      <c r="K7" s="2045"/>
      <c r="L7" s="2022"/>
      <c r="M7" s="2022"/>
      <c r="N7" s="2023"/>
      <c r="O7" s="2024"/>
      <c r="P7" s="2023"/>
      <c r="Q7" s="2023"/>
      <c r="R7" s="2023"/>
    </row>
    <row r="8" spans="1:19" ht="18" customHeight="1">
      <c r="A8" s="2041" t="s">
        <v>1783</v>
      </c>
      <c r="B8" s="2046" t="s">
        <v>3059</v>
      </c>
      <c r="C8" s="2047"/>
      <c r="D8" s="3050" t="s">
        <v>1784</v>
      </c>
      <c r="E8" s="2048" t="s">
        <v>3061</v>
      </c>
      <c r="F8" s="2049"/>
      <c r="G8" s="2020"/>
      <c r="H8" s="2020"/>
      <c r="I8" s="2020"/>
      <c r="J8" s="2036"/>
      <c r="K8" s="2037"/>
      <c r="L8" s="2022"/>
      <c r="M8" s="2022"/>
      <c r="N8" s="2023"/>
      <c r="O8" s="2024"/>
      <c r="P8" s="2023"/>
      <c r="Q8" s="2023"/>
      <c r="R8" s="2023"/>
    </row>
    <row r="9" spans="1:19" ht="18" customHeight="1" thickBot="1">
      <c r="A9" s="2034" t="s">
        <v>1785</v>
      </c>
      <c r="B9" s="2050" t="s">
        <v>3060</v>
      </c>
      <c r="C9" s="2051"/>
      <c r="D9" s="3051"/>
      <c r="E9" s="2050"/>
      <c r="F9" s="2052"/>
      <c r="G9" s="2053"/>
      <c r="H9" s="2053"/>
      <c r="I9" s="2053"/>
      <c r="J9" s="2036"/>
      <c r="K9" s="2045"/>
      <c r="L9" s="2022"/>
      <c r="M9" s="2022"/>
      <c r="N9" s="2023"/>
      <c r="O9" s="2024"/>
      <c r="P9" s="2023"/>
      <c r="Q9" s="2023"/>
      <c r="R9" s="2023"/>
    </row>
    <row r="10" spans="1:19" ht="18" customHeight="1" thickTop="1">
      <c r="A10" s="2054" t="s">
        <v>1786</v>
      </c>
      <c r="B10" s="2055" t="s">
        <v>3062</v>
      </c>
      <c r="C10" s="2056"/>
      <c r="D10" s="2040"/>
      <c r="E10" s="2057" t="s">
        <v>1787</v>
      </c>
      <c r="F10" s="2058" t="s">
        <v>3063</v>
      </c>
      <c r="G10" s="2059"/>
      <c r="H10" s="2060"/>
      <c r="I10" s="2040"/>
      <c r="J10" s="2036"/>
      <c r="K10" s="2045"/>
      <c r="L10" s="2022"/>
      <c r="M10" s="2022"/>
      <c r="N10" s="2023"/>
      <c r="O10" s="2024"/>
      <c r="P10" s="2023"/>
      <c r="Q10" s="2023"/>
      <c r="R10" s="2023"/>
    </row>
    <row r="11" spans="1:19" ht="18" customHeight="1">
      <c r="A11" s="2061" t="s">
        <v>1788</v>
      </c>
      <c r="B11" s="2062" t="s">
        <v>3064</v>
      </c>
      <c r="C11" s="2936" t="s">
        <v>3066</v>
      </c>
      <c r="D11" s="2063"/>
      <c r="E11" s="2036"/>
      <c r="F11" s="2036"/>
      <c r="G11" s="2036"/>
      <c r="H11" s="2036"/>
      <c r="I11" s="2036"/>
      <c r="J11" s="2036"/>
      <c r="K11" s="2045"/>
      <c r="L11" s="2022"/>
      <c r="M11" s="2022"/>
      <c r="N11" s="2023"/>
      <c r="O11" s="2024"/>
      <c r="P11" s="2023"/>
      <c r="Q11" s="2023"/>
      <c r="R11" s="2023"/>
    </row>
    <row r="12" spans="1:19" ht="18" customHeight="1">
      <c r="A12" s="2064" t="s">
        <v>1789</v>
      </c>
      <c r="B12" s="2062" t="s">
        <v>3042</v>
      </c>
      <c r="C12" s="2065" t="s">
        <v>1790</v>
      </c>
      <c r="D12" s="2066" t="s">
        <v>1791</v>
      </c>
      <c r="E12" s="2066" t="s">
        <v>1792</v>
      </c>
      <c r="F12" s="2066" t="s">
        <v>1793</v>
      </c>
      <c r="G12" s="2066" t="s">
        <v>1794</v>
      </c>
      <c r="H12" s="2066" t="s">
        <v>1795</v>
      </c>
      <c r="I12" s="2066" t="s">
        <v>1796</v>
      </c>
      <c r="J12" s="2036"/>
      <c r="K12" s="2045"/>
      <c r="L12" s="2022"/>
      <c r="M12" s="2022"/>
      <c r="N12" s="2023"/>
      <c r="O12" s="2024"/>
      <c r="P12" s="2023"/>
      <c r="Q12" s="2023"/>
      <c r="R12" s="2023"/>
    </row>
    <row r="13" spans="1:19" ht="18" customHeight="1">
      <c r="A13" s="2067"/>
      <c r="B13" s="2068"/>
      <c r="C13" s="2069" t="s">
        <v>1797</v>
      </c>
      <c r="D13" s="2070">
        <v>67887</v>
      </c>
      <c r="E13" s="2070">
        <v>56929</v>
      </c>
      <c r="F13" s="2070"/>
      <c r="G13" s="2070">
        <v>60582</v>
      </c>
      <c r="H13" s="2070">
        <v>60582</v>
      </c>
      <c r="I13" s="1043"/>
      <c r="J13" s="2036"/>
      <c r="K13" s="2045"/>
      <c r="L13" s="2022"/>
      <c r="M13" s="2022"/>
      <c r="N13" s="2023"/>
      <c r="O13" s="2024"/>
      <c r="P13" s="2023"/>
      <c r="Q13" s="2023"/>
      <c r="R13" s="2023"/>
    </row>
    <row r="14" spans="1:19" ht="18" customHeight="1">
      <c r="A14" s="2067"/>
      <c r="B14" s="2068"/>
      <c r="C14" s="2069" t="s">
        <v>1798</v>
      </c>
      <c r="D14" s="1046">
        <v>70</v>
      </c>
      <c r="E14" s="1046">
        <v>40</v>
      </c>
      <c r="F14" s="1046">
        <v>50</v>
      </c>
      <c r="G14" s="1046">
        <v>50</v>
      </c>
      <c r="H14" s="1046">
        <v>50</v>
      </c>
      <c r="I14" s="1046"/>
      <c r="J14" s="2036"/>
      <c r="K14" s="2071"/>
      <c r="L14" s="2022"/>
      <c r="M14" s="2022"/>
      <c r="N14" s="2023"/>
      <c r="O14" s="2024"/>
      <c r="P14" s="2023"/>
      <c r="Q14" s="2023"/>
      <c r="R14" s="2023"/>
    </row>
    <row r="15" spans="1:19" ht="18" customHeight="1">
      <c r="A15" s="2054"/>
      <c r="B15" s="2072"/>
      <c r="C15" s="2069" t="s">
        <v>1799</v>
      </c>
      <c r="D15" s="1045">
        <f>IF(B12="出让",IF(D13="","",ROUNDDOWN(MIN((D13-$D$3)/365,D14),2)),D14)</f>
        <v>66.44</v>
      </c>
      <c r="E15" s="1045">
        <f>IF(B12="出让",IF(E13="","",ROUNDDOWN(MIN((E13-$D$3)/365,E14),2)),E14)</f>
        <v>36.42</v>
      </c>
      <c r="F15" s="1045" t="str">
        <f>IF(B12="出让",IF(F13="","",ROUNDDOWN(MIN((F13-$D$3)/365,F14),2)),F14)</f>
        <v/>
      </c>
      <c r="G15" s="1045">
        <f>IF(B12="出让",IF(G13="","",ROUNDDOWN(MIN((G13-$D$3)/365,G14),2)),G14)</f>
        <v>46.43</v>
      </c>
      <c r="H15" s="1045">
        <f>IF(B12="出让",IF(H13="","",ROUNDDOWN(MIN((H13-$D$3)/365,H14),2)),H14)</f>
        <v>46.43</v>
      </c>
      <c r="I15" s="1045" t="str">
        <f>IF(B12="出让",IF(I13="","",ROUNDDOWN(MIN((I13-$D$3)/365,I14),2)),I14)</f>
        <v/>
      </c>
      <c r="J15" s="2036"/>
      <c r="K15" s="2073"/>
      <c r="L15" s="2074"/>
      <c r="M15" s="2074"/>
      <c r="N15" s="2075"/>
      <c r="O15" s="2074"/>
      <c r="P15" s="2075"/>
      <c r="Q15" s="2023"/>
      <c r="R15" s="2023"/>
    </row>
    <row r="16" spans="1:19" ht="30.75" customHeight="1">
      <c r="A16" s="2057" t="s">
        <v>1800</v>
      </c>
      <c r="B16" s="3057"/>
      <c r="C16" s="3058"/>
      <c r="D16" s="3059"/>
      <c r="E16" s="2076" t="s">
        <v>1801</v>
      </c>
      <c r="F16" s="3060"/>
      <c r="G16" s="3061"/>
      <c r="H16" s="3061"/>
      <c r="I16" s="3062"/>
      <c r="J16" s="2023"/>
      <c r="K16" s="2073"/>
      <c r="L16" s="2074"/>
      <c r="M16" s="2074"/>
      <c r="N16" s="2075"/>
      <c r="O16" s="2074"/>
      <c r="P16" s="2075"/>
      <c r="Q16" s="2023"/>
      <c r="R16" s="2023"/>
    </row>
    <row r="17" spans="1:22" ht="18" customHeight="1">
      <c r="A17" s="2077" t="s">
        <v>1802</v>
      </c>
      <c r="B17" s="2029" t="s">
        <v>1803</v>
      </c>
      <c r="C17" s="1050">
        <f>'数据-汇总表'!E3</f>
        <v>63702.12999999999</v>
      </c>
      <c r="D17" s="2078" t="s">
        <v>1804</v>
      </c>
      <c r="E17" s="3063" t="s">
        <v>3067</v>
      </c>
      <c r="F17" s="3064"/>
      <c r="G17" s="3064"/>
      <c r="H17" s="3064"/>
      <c r="I17" s="3065"/>
      <c r="J17" s="2023"/>
      <c r="K17" s="2079"/>
      <c r="L17" s="2074"/>
      <c r="M17" s="2074"/>
      <c r="N17" s="2075"/>
      <c r="O17" s="2074"/>
      <c r="P17" s="2075"/>
      <c r="Q17" s="2023"/>
      <c r="R17" s="2023"/>
      <c r="S17" s="2023"/>
      <c r="T17" s="2023"/>
      <c r="U17" s="2023"/>
      <c r="V17" s="2023"/>
    </row>
    <row r="18" spans="1:22" ht="36" customHeight="1" thickBot="1">
      <c r="A18" s="2080" t="s">
        <v>1805</v>
      </c>
      <c r="B18" s="2032" t="s">
        <v>1806</v>
      </c>
      <c r="C18" s="1439">
        <f>'数据-汇总表'!D3</f>
        <v>14226.66</v>
      </c>
      <c r="D18" s="2081" t="s">
        <v>1804</v>
      </c>
      <c r="E18" s="3066" t="s">
        <v>3068</v>
      </c>
      <c r="F18" s="3067"/>
      <c r="G18" s="3067"/>
      <c r="H18" s="3067"/>
      <c r="I18" s="3068"/>
      <c r="J18" s="2023"/>
      <c r="K18" s="2079"/>
      <c r="L18" s="2074"/>
      <c r="M18" s="2074"/>
      <c r="N18" s="2075"/>
      <c r="O18" s="2074"/>
      <c r="P18" s="2075"/>
      <c r="Q18" s="2023"/>
      <c r="R18" s="2023"/>
      <c r="S18" s="2023"/>
      <c r="T18" s="2023"/>
      <c r="U18" s="2023"/>
      <c r="V18" s="2023"/>
    </row>
    <row r="19" spans="1:22" ht="37.5" customHeight="1" thickTop="1" thickBot="1">
      <c r="A19" s="372" t="s">
        <v>1807</v>
      </c>
      <c r="B19" s="351" t="s">
        <v>1808</v>
      </c>
      <c r="C19" s="2082" t="s">
        <v>3041</v>
      </c>
      <c r="D19" s="2083" t="s">
        <v>1809</v>
      </c>
      <c r="E19" s="2084"/>
      <c r="F19" s="2085" t="str">
        <f>IF(AND(C19="是",E19="否"),"是否提供他项权证或相关说明","")</f>
        <v/>
      </c>
      <c r="G19" s="2086"/>
      <c r="H19" s="2036"/>
      <c r="I19" s="2036"/>
      <c r="J19" s="2036"/>
      <c r="K19" s="2045"/>
      <c r="L19" s="2022"/>
      <c r="M19" s="2022"/>
      <c r="N19" s="2075"/>
      <c r="O19" s="2074"/>
      <c r="P19" s="2075"/>
      <c r="Q19" s="2023"/>
      <c r="R19" s="2023"/>
      <c r="S19" s="2023"/>
      <c r="T19" s="2023"/>
      <c r="U19" s="2023"/>
      <c r="V19" s="2023"/>
    </row>
    <row r="20" spans="1:22" ht="18" customHeight="1">
      <c r="A20" s="2087" t="s">
        <v>1810</v>
      </c>
      <c r="B20" s="3053" t="s">
        <v>1811</v>
      </c>
      <c r="C20" s="3054"/>
      <c r="D20" s="3055" t="s">
        <v>1812</v>
      </c>
      <c r="E20" s="3056"/>
      <c r="F20" s="2088" t="s">
        <v>1813</v>
      </c>
      <c r="G20" s="2036"/>
      <c r="H20" s="2036"/>
      <c r="I20" s="2036"/>
      <c r="J20" s="2036"/>
      <c r="K20" s="3052" t="s">
        <v>1814</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2"/>
      <c r="N20" s="2075"/>
      <c r="O20" s="2074"/>
      <c r="P20" s="2075"/>
      <c r="Q20" s="2023"/>
      <c r="R20" s="2023"/>
      <c r="S20" s="2023"/>
      <c r="T20" s="2023"/>
      <c r="U20" s="2023"/>
      <c r="V20" s="2023"/>
    </row>
    <row r="21" spans="1:22" ht="24.75" customHeight="1">
      <c r="A21" s="2087"/>
      <c r="B21" s="2089"/>
      <c r="C21" s="2090"/>
      <c r="D21" s="2091" t="s">
        <v>1816</v>
      </c>
      <c r="E21" s="2092" t="s">
        <v>1815</v>
      </c>
      <c r="F21" s="2093"/>
      <c r="G21" s="2036"/>
      <c r="H21" s="2036"/>
      <c r="I21" s="2036"/>
      <c r="J21" s="2036"/>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5"/>
      <c r="O21" s="2074"/>
      <c r="P21" s="2075"/>
      <c r="Q21" s="2023"/>
      <c r="R21" s="2023"/>
      <c r="S21" s="2023"/>
      <c r="T21" s="2023"/>
      <c r="U21" s="2023"/>
      <c r="V21" s="2023"/>
    </row>
    <row r="22" spans="1:22" ht="24.75" customHeight="1" thickBot="1">
      <c r="A22" s="2087"/>
      <c r="B22" s="2094" t="s">
        <v>3069</v>
      </c>
      <c r="C22" s="2090" t="s">
        <v>1817</v>
      </c>
      <c r="D22" s="2020"/>
      <c r="E22" s="2020"/>
      <c r="F22" s="2095"/>
      <c r="G22" s="2036"/>
      <c r="H22" s="2036"/>
      <c r="I22" s="2036"/>
      <c r="J22" s="2036"/>
      <c r="K22" s="305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1818</v>
      </c>
      <c r="B23" s="182" t="s">
        <v>1819</v>
      </c>
      <c r="C23" s="2097"/>
      <c r="D23" s="2098" t="s">
        <v>1819</v>
      </c>
      <c r="E23" s="2099"/>
      <c r="F23" s="2095"/>
      <c r="G23" s="2036"/>
      <c r="H23" s="2036"/>
      <c r="I23" s="2036"/>
      <c r="J23" s="2036"/>
      <c r="K23" s="2100"/>
      <c r="L23" s="747"/>
      <c r="M23" s="2022"/>
      <c r="N23" s="2075"/>
      <c r="O23" s="2074"/>
      <c r="P23" s="2075"/>
      <c r="Q23" s="2023"/>
      <c r="R23" s="2023"/>
      <c r="S23" s="2023"/>
      <c r="T23" s="2023"/>
      <c r="U23" s="2023"/>
      <c r="V23" s="2023"/>
    </row>
    <row r="24" spans="1:22" ht="18" customHeight="1">
      <c r="A24" s="2101"/>
      <c r="B24" s="182" t="s">
        <v>1820</v>
      </c>
      <c r="C24" s="2102"/>
      <c r="D24" s="2096" t="s">
        <v>1820</v>
      </c>
      <c r="E24" s="2103"/>
      <c r="F24" s="2095"/>
      <c r="G24" s="2036"/>
      <c r="H24" s="2036"/>
      <c r="I24" s="2036"/>
      <c r="J24" s="2036"/>
      <c r="K24" s="2100"/>
      <c r="L24" s="747"/>
      <c r="M24" s="2022"/>
      <c r="N24" s="2075"/>
      <c r="O24" s="2074"/>
      <c r="P24" s="2075"/>
      <c r="Q24" s="2023"/>
      <c r="R24" s="2023"/>
      <c r="S24" s="2023"/>
      <c r="T24" s="2023"/>
      <c r="U24" s="2023"/>
      <c r="V24" s="2023"/>
    </row>
    <row r="25" spans="1:22" ht="18" customHeight="1">
      <c r="A25" s="2101"/>
      <c r="B25" s="182" t="s">
        <v>1821</v>
      </c>
      <c r="C25" s="2102"/>
      <c r="D25" s="2096" t="s">
        <v>1821</v>
      </c>
      <c r="E25" s="2103"/>
      <c r="F25" s="2095"/>
      <c r="G25" s="2036"/>
      <c r="H25" s="2036"/>
      <c r="I25" s="2036"/>
      <c r="J25" s="2036"/>
      <c r="K25" s="2045"/>
      <c r="L25" s="2022"/>
      <c r="M25" s="2022"/>
      <c r="N25" s="2075"/>
      <c r="O25" s="2074"/>
      <c r="P25" s="2075"/>
      <c r="Q25" s="2023"/>
      <c r="R25" s="2023"/>
      <c r="S25" s="2023"/>
      <c r="T25" s="2023"/>
      <c r="U25" s="2023"/>
      <c r="V25" s="2023"/>
    </row>
    <row r="26" spans="1:22" ht="18" customHeight="1" thickBot="1">
      <c r="A26" s="2104"/>
      <c r="B26" s="2105" t="s">
        <v>1822</v>
      </c>
      <c r="C26" s="2106"/>
      <c r="D26" s="2107" t="s">
        <v>1823</v>
      </c>
      <c r="E26" s="2108"/>
      <c r="F26" s="2109"/>
      <c r="G26" s="2053"/>
      <c r="H26" s="2053"/>
      <c r="I26" s="2053"/>
      <c r="J26" s="2036"/>
      <c r="K26" s="2045"/>
      <c r="L26" s="2022"/>
      <c r="M26" s="2022"/>
      <c r="N26" s="2075"/>
      <c r="O26" s="2074"/>
      <c r="P26" s="2075"/>
      <c r="Q26" s="2023"/>
      <c r="R26" s="2023"/>
      <c r="S26" s="2023"/>
      <c r="T26" s="2023"/>
      <c r="U26" s="2023"/>
      <c r="V26" s="2023"/>
    </row>
    <row r="27" spans="1:22" ht="18" customHeight="1" thickTop="1">
      <c r="A27" s="3040" t="s">
        <v>1824</v>
      </c>
      <c r="B27" s="2054" t="s">
        <v>1825</v>
      </c>
      <c r="C27" s="2110" t="s">
        <v>3187</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40"/>
      <c r="B28" s="2029" t="s">
        <v>1826</v>
      </c>
      <c r="C28" s="2112" t="s">
        <v>3188</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40"/>
      <c r="B29" s="2029" t="s">
        <v>1827</v>
      </c>
      <c r="C29" s="2115" t="s">
        <v>3189</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41"/>
      <c r="B30" s="2029" t="s">
        <v>1828</v>
      </c>
      <c r="C30" s="3042" t="s">
        <v>3190</v>
      </c>
      <c r="D30" s="3043"/>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44" t="s">
        <v>1829</v>
      </c>
      <c r="B31" s="2117"/>
      <c r="C31" s="2118" t="str">
        <f>IF(B31="现房","成新及维护状况正常否",IF(B31="在建","工程状态是否正常",IF(B31="土地","是否闲置","-")))</f>
        <v>-</v>
      </c>
      <c r="D31" s="2119"/>
      <c r="E31" s="2120"/>
      <c r="F31" s="2036"/>
      <c r="G31" s="2036"/>
      <c r="H31" s="2036"/>
      <c r="I31" s="2036"/>
      <c r="J31" s="2036"/>
      <c r="K31" s="2044"/>
      <c r="L31" s="2022"/>
      <c r="M31" s="2022"/>
      <c r="N31" s="2023"/>
      <c r="O31" s="2024"/>
      <c r="P31" s="2023"/>
      <c r="Q31" s="2023"/>
      <c r="R31" s="2023"/>
      <c r="S31" s="2023"/>
      <c r="T31" s="2023"/>
      <c r="U31" s="2023"/>
      <c r="V31" s="2023"/>
    </row>
    <row r="32" spans="1:22" ht="18" customHeight="1">
      <c r="A32" s="3045"/>
      <c r="B32" s="2117"/>
      <c r="C32" s="2118" t="str">
        <f>IF(B32="现房","成新及维护状况是否正常",IF(B32="在建","工程状态是否正常",IF(B32="土地","是否闲置","-")))</f>
        <v>-</v>
      </c>
      <c r="D32" s="2119"/>
      <c r="E32" s="2120"/>
      <c r="F32" s="2036"/>
      <c r="G32" s="2036"/>
      <c r="H32" s="2036"/>
      <c r="I32" s="2036"/>
      <c r="J32" s="2036"/>
      <c r="K32" s="2045"/>
      <c r="L32" s="2022"/>
      <c r="M32" s="2022"/>
      <c r="N32" s="2023"/>
      <c r="O32" s="2024"/>
      <c r="P32" s="2023"/>
      <c r="Q32" s="2023"/>
      <c r="R32" s="2023"/>
      <c r="S32" s="2023"/>
      <c r="T32" s="2023"/>
      <c r="U32" s="2023"/>
      <c r="V32" s="2023"/>
    </row>
    <row r="33" spans="1:22" ht="18" customHeight="1">
      <c r="A33" s="3045"/>
      <c r="B33" s="2121"/>
      <c r="C33" s="2061" t="str">
        <f>IF(B33="现房","成新及维护状况是否正常",IF(B33="在建","工程状态是否正常",IF(B33="土地","是否闲置","-")))</f>
        <v>-</v>
      </c>
      <c r="D33" s="2122"/>
      <c r="E33" s="2123"/>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4" t="s">
        <v>3191</v>
      </c>
      <c r="C34" s="2124" t="s">
        <v>3192</v>
      </c>
      <c r="D34" s="2124" t="s">
        <v>3193</v>
      </c>
      <c r="E34" s="2124" t="s">
        <v>3194</v>
      </c>
      <c r="F34" s="2124" t="s">
        <v>3195</v>
      </c>
      <c r="G34" s="2124" t="s">
        <v>3196</v>
      </c>
      <c r="H34" s="2124"/>
      <c r="I34" s="2036"/>
      <c r="J34" s="2036"/>
      <c r="K34" s="1789">
        <f>COUNTIF(B34:H34,"——")</f>
        <v>0</v>
      </c>
      <c r="L34" s="2065" t="s">
        <v>1831</v>
      </c>
      <c r="M34" s="2065" t="s">
        <v>1832</v>
      </c>
      <c r="N34" s="2065" t="s">
        <v>1833</v>
      </c>
      <c r="O34" s="2065" t="s">
        <v>1834</v>
      </c>
      <c r="P34" s="2065" t="s">
        <v>1835</v>
      </c>
      <c r="Q34" s="2065" t="s">
        <v>1836</v>
      </c>
      <c r="R34" s="2065" t="s">
        <v>1837</v>
      </c>
      <c r="S34" s="3039" t="s">
        <v>1838</v>
      </c>
      <c r="T34" s="2125" t="str">
        <f>NUMBERSTRING(7-K34,1)&amp;"通"</f>
        <v>七通</v>
      </c>
      <c r="U34" s="2023"/>
      <c r="V34" s="2023"/>
    </row>
    <row r="35" spans="1:22" ht="18" customHeight="1">
      <c r="A35" s="2126"/>
      <c r="B35" s="3046" t="s">
        <v>1839</v>
      </c>
      <c r="C35" s="3046"/>
      <c r="D35" s="3046"/>
      <c r="E35" s="3046"/>
      <c r="F35" s="2127">
        <f>C10</f>
        <v>0</v>
      </c>
      <c r="G35" s="2036"/>
      <c r="H35" s="2036"/>
      <c r="I35" s="2036"/>
      <c r="J35" s="2036"/>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23"/>
      <c r="V35" s="2023"/>
    </row>
    <row r="36" spans="1:22" ht="18" customHeight="1">
      <c r="A36" s="2128"/>
      <c r="B36" s="2127" t="s">
        <v>1840</v>
      </c>
      <c r="C36" s="2127" t="s">
        <v>1841</v>
      </c>
      <c r="D36" s="2127" t="s">
        <v>1842</v>
      </c>
      <c r="E36" s="2127" t="s">
        <v>1843</v>
      </c>
      <c r="F36" s="2129"/>
      <c r="G36" s="2036"/>
      <c r="H36" s="2036"/>
      <c r="I36" s="2036"/>
      <c r="J36" s="2036"/>
      <c r="K36" s="2045"/>
      <c r="L36" s="2022"/>
      <c r="M36" s="2022"/>
      <c r="N36" s="2023"/>
      <c r="O36" s="2024"/>
      <c r="P36" s="2023"/>
      <c r="Q36" s="2023"/>
      <c r="R36" s="2023"/>
      <c r="S36" s="2023"/>
      <c r="T36" s="2023"/>
      <c r="U36" s="2023"/>
      <c r="V36" s="2023"/>
    </row>
    <row r="37" spans="1:22" ht="18" customHeight="1">
      <c r="A37" s="2130" t="s">
        <v>1844</v>
      </c>
      <c r="B37" s="2937" t="s">
        <v>528</v>
      </c>
      <c r="C37" s="2937" t="s">
        <v>528</v>
      </c>
      <c r="D37" s="2937" t="s">
        <v>528</v>
      </c>
      <c r="E37" s="2131"/>
      <c r="F37" s="2129"/>
      <c r="G37" s="2036"/>
      <c r="H37" s="2036"/>
      <c r="I37" s="2036"/>
      <c r="J37" s="2036"/>
      <c r="K37" s="2045"/>
      <c r="L37" s="2022"/>
      <c r="M37" s="2022"/>
      <c r="N37" s="2023"/>
      <c r="O37" s="2024"/>
      <c r="P37" s="2023"/>
      <c r="Q37" s="2023"/>
      <c r="R37" s="2023"/>
      <c r="S37" s="2023"/>
      <c r="T37" s="2023"/>
      <c r="U37" s="2023"/>
      <c r="V37" s="2023"/>
    </row>
    <row r="38" spans="1:22" ht="18" customHeight="1" thickBot="1">
      <c r="A38" s="2132" t="s">
        <v>1845</v>
      </c>
      <c r="B38" s="2937" t="s">
        <v>3070</v>
      </c>
      <c r="C38" s="2937" t="s">
        <v>3070</v>
      </c>
      <c r="D38" s="2937" t="s">
        <v>3070</v>
      </c>
      <c r="E38" s="2133"/>
      <c r="F38" s="2134"/>
      <c r="G38" s="2053"/>
      <c r="H38" s="2053"/>
      <c r="I38" s="2053"/>
      <c r="J38" s="2036"/>
      <c r="K38" s="2045"/>
      <c r="L38" s="2022"/>
      <c r="M38" s="2022"/>
      <c r="N38" s="2023"/>
      <c r="O38" s="2024"/>
      <c r="P38" s="2023"/>
      <c r="Q38" s="2023"/>
      <c r="R38" s="2023"/>
      <c r="S38" s="2023"/>
      <c r="T38" s="2023"/>
      <c r="U38" s="2023"/>
      <c r="V38" s="2023"/>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5"/>
      <c r="L40" s="2074"/>
      <c r="M40" s="2074"/>
      <c r="N40" s="2075"/>
      <c r="O40" s="2074"/>
      <c r="P40" s="2023"/>
      <c r="Q40" s="2023"/>
      <c r="R40" s="2023"/>
      <c r="S40" s="2023"/>
      <c r="T40" s="2023"/>
      <c r="U40" s="2023"/>
      <c r="V40" s="2023"/>
    </row>
    <row r="41" spans="1:22" ht="18" customHeight="1">
      <c r="A41" s="8" t="s">
        <v>1847</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1848</v>
      </c>
      <c r="B42" s="1789" t="s">
        <v>1849</v>
      </c>
      <c r="C42" s="1789" t="s">
        <v>1850</v>
      </c>
      <c r="D42" s="1789" t="s">
        <v>1851</v>
      </c>
      <c r="E42" s="1789" t="s">
        <v>1852</v>
      </c>
      <c r="F42" s="1789" t="s">
        <v>1853</v>
      </c>
      <c r="G42" s="1789" t="s">
        <v>1854</v>
      </c>
      <c r="H42" s="1789" t="s">
        <v>1855</v>
      </c>
      <c r="I42" s="1789" t="s">
        <v>1856</v>
      </c>
      <c r="J42" s="2143" t="s">
        <v>1857</v>
      </c>
      <c r="K42" s="2066" t="s">
        <v>1858</v>
      </c>
      <c r="L42" s="2066" t="s">
        <v>1859</v>
      </c>
      <c r="M42" s="2066" t="s">
        <v>1860</v>
      </c>
      <c r="N42" s="1789" t="s">
        <v>1861</v>
      </c>
      <c r="O42" s="1789" t="s">
        <v>1862</v>
      </c>
      <c r="P42" s="1789" t="s">
        <v>1863</v>
      </c>
      <c r="Q42" s="2065" t="s">
        <v>1864</v>
      </c>
      <c r="R42" s="2065" t="s">
        <v>1865</v>
      </c>
      <c r="S42" s="2023"/>
      <c r="T42" s="2023"/>
      <c r="U42" s="2023"/>
      <c r="V42" s="2023"/>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14226.66</v>
      </c>
      <c r="B3" s="14">
        <f>IF(C3="否",G5-AT5,G5)</f>
        <v>63702.12999999999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1875</v>
      </c>
      <c r="B5" s="1797"/>
      <c r="C5" s="1797"/>
      <c r="D5" s="1800"/>
      <c r="E5" s="16" t="s">
        <v>1</v>
      </c>
      <c r="F5" s="16">
        <f>SUM(F13:F587)</f>
        <v>0</v>
      </c>
      <c r="G5" s="16">
        <f>SUM(G13:G587)</f>
        <v>63702.12999999999</v>
      </c>
      <c r="H5" s="16">
        <f t="shared" ref="H5:AT5" si="0">SUM(H13:H656)</f>
        <v>63702.12999999999</v>
      </c>
      <c r="I5" s="16">
        <f t="shared" si="0"/>
        <v>19126.139999999996</v>
      </c>
      <c r="J5" s="16">
        <f t="shared" si="0"/>
        <v>0</v>
      </c>
      <c r="K5" s="16">
        <f t="shared" si="0"/>
        <v>863.98</v>
      </c>
      <c r="L5" s="16">
        <f t="shared" si="0"/>
        <v>0</v>
      </c>
      <c r="M5" s="16">
        <f t="shared" si="0"/>
        <v>35529.1</v>
      </c>
      <c r="N5" s="16">
        <f t="shared" si="0"/>
        <v>0</v>
      </c>
      <c r="O5" s="16">
        <f t="shared" si="0"/>
        <v>8182.909999999998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1875</v>
      </c>
      <c r="AW5" s="1797"/>
      <c r="AX5" s="1797"/>
      <c r="AY5" s="17" t="s">
        <v>3</v>
      </c>
      <c r="AZ5" s="18">
        <f t="shared" ref="AZ5:BT5" si="1">SUM(AZ13:AZ656)</f>
        <v>63702.12999999999</v>
      </c>
      <c r="BA5" s="18">
        <f t="shared" si="1"/>
        <v>63702.12999999999</v>
      </c>
      <c r="BB5" s="18">
        <f t="shared" si="1"/>
        <v>19126.139999999996</v>
      </c>
      <c r="BC5" s="18">
        <f t="shared" si="1"/>
        <v>863.98</v>
      </c>
      <c r="BD5" s="18">
        <f t="shared" si="1"/>
        <v>35529.1</v>
      </c>
      <c r="BE5" s="18">
        <f t="shared" si="1"/>
        <v>8182.909999999998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1876</v>
      </c>
      <c r="B6" s="2165"/>
      <c r="C6" s="2165"/>
      <c r="D6" s="2166"/>
      <c r="E6" s="16">
        <f>H6+AC6+AT6</f>
        <v>14226.66</v>
      </c>
      <c r="F6" s="16" t="s">
        <v>1</v>
      </c>
      <c r="G6" s="16" t="s">
        <v>2</v>
      </c>
      <c r="H6" s="20">
        <f>SUMIF(I$12:AB$12,"总值",I6:AB6)</f>
        <v>14226.66</v>
      </c>
      <c r="I6" s="16">
        <f t="shared" ref="I6:AB6" si="2">ROUND($A$3*I5/$B$3,2)</f>
        <v>4271.46</v>
      </c>
      <c r="J6" s="16">
        <f t="shared" si="2"/>
        <v>0</v>
      </c>
      <c r="K6" s="16">
        <f t="shared" si="2"/>
        <v>192.95</v>
      </c>
      <c r="L6" s="16">
        <f t="shared" si="2"/>
        <v>0</v>
      </c>
      <c r="M6" s="16">
        <f t="shared" si="2"/>
        <v>7934.75</v>
      </c>
      <c r="N6" s="16">
        <f t="shared" si="2"/>
        <v>0</v>
      </c>
      <c r="O6" s="16">
        <f t="shared" si="2"/>
        <v>1827.5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1876</v>
      </c>
      <c r="AW6" s="2165"/>
      <c r="AX6" s="2165"/>
      <c r="AY6" s="21">
        <f>IF(AY3&gt;0,AY3,ROUND($A$3*AZ5/$B$3,2))</f>
        <v>14226.66</v>
      </c>
      <c r="AZ6" s="16" t="s">
        <v>3</v>
      </c>
      <c r="BA6" s="16">
        <f>ROUND($AY$6*BA5/$AZ$5,2)</f>
        <v>14226.66</v>
      </c>
      <c r="BB6" s="16">
        <f>ROUND($AY$6*BB5/$AZ$5,2)</f>
        <v>4271.46</v>
      </c>
      <c r="BC6" s="16">
        <f t="shared" ref="BC6:BH6" si="4">ROUND($AY$6*BC5/$AZ$5,2)</f>
        <v>192.95</v>
      </c>
      <c r="BD6" s="16">
        <f t="shared" si="4"/>
        <v>7934.75</v>
      </c>
      <c r="BE6" s="16">
        <f t="shared" si="4"/>
        <v>1827.5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1884</v>
      </c>
      <c r="AV7" s="23" t="s">
        <v>1885</v>
      </c>
      <c r="AW7" s="2157" t="s">
        <v>1886</v>
      </c>
      <c r="AX7" s="23" t="s">
        <v>1879</v>
      </c>
      <c r="AY7" s="1797"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2"/>
      <c r="K8" s="1812"/>
      <c r="L8" s="1812"/>
      <c r="M8" s="1812"/>
      <c r="N8" s="1812"/>
      <c r="O8" s="1812"/>
      <c r="P8" s="1812"/>
      <c r="Q8" s="1812"/>
      <c r="R8" s="1812"/>
      <c r="S8" s="1812"/>
      <c r="T8" s="1812"/>
      <c r="U8" s="1812"/>
      <c r="V8" s="2177"/>
      <c r="W8" s="1812"/>
      <c r="X8" s="1812"/>
      <c r="Y8" s="1812"/>
      <c r="Z8" s="1812"/>
      <c r="AA8" s="2177"/>
      <c r="AB8" s="2178"/>
      <c r="AC8" s="977" t="s">
        <v>1890</v>
      </c>
      <c r="AD8" s="2179"/>
      <c r="AE8" s="2171"/>
      <c r="AF8" s="1812"/>
      <c r="AG8" s="1812"/>
      <c r="AH8" s="1812"/>
      <c r="AI8" s="1812"/>
      <c r="AJ8" s="1812"/>
      <c r="AK8" s="1812"/>
      <c r="AL8" s="1812"/>
      <c r="AM8" s="1812"/>
      <c r="AN8" s="1812"/>
      <c r="AO8" s="1812"/>
      <c r="AP8" s="1812"/>
      <c r="AQ8" s="1812"/>
      <c r="AR8" s="1812"/>
      <c r="AS8" s="1812"/>
      <c r="AT8" s="1288" t="s">
        <v>1891</v>
      </c>
      <c r="AU8" s="2173" t="s">
        <v>1892</v>
      </c>
      <c r="AV8" s="1288"/>
      <c r="AW8" s="2156"/>
      <c r="AX8" s="1288"/>
      <c r="AY8" s="2157"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8"/>
      <c r="H9" s="2181" t="s">
        <v>1895</v>
      </c>
      <c r="I9" s="2182" t="s">
        <v>3040</v>
      </c>
      <c r="J9" s="977"/>
      <c r="K9" s="2182" t="s">
        <v>3040</v>
      </c>
      <c r="L9" s="977"/>
      <c r="M9" s="2182" t="s">
        <v>3053</v>
      </c>
      <c r="N9" s="977"/>
      <c r="O9" s="2182" t="s">
        <v>3053</v>
      </c>
      <c r="P9" s="977"/>
      <c r="Q9" s="2182"/>
      <c r="R9" s="977"/>
      <c r="S9" s="2182"/>
      <c r="T9" s="977"/>
      <c r="U9" s="2182"/>
      <c r="V9" s="977"/>
      <c r="W9" s="2182"/>
      <c r="X9" s="2183"/>
      <c r="Y9" s="2182"/>
      <c r="Z9" s="977"/>
      <c r="AA9" s="2182"/>
      <c r="AB9" s="977"/>
      <c r="AC9" s="2174"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4"/>
      <c r="AT9" s="2173"/>
      <c r="AU9" s="2173" t="s">
        <v>1898</v>
      </c>
      <c r="AV9" s="1288"/>
      <c r="AW9" s="2156"/>
      <c r="AX9" s="1288"/>
      <c r="AY9" s="28"/>
      <c r="AZ9" s="28" t="s">
        <v>1888</v>
      </c>
      <c r="BA9" s="2185" t="s">
        <v>1899</v>
      </c>
      <c r="BB9" s="2186"/>
      <c r="BC9" s="1334"/>
      <c r="BD9" s="1334"/>
      <c r="BE9" s="1334"/>
      <c r="BF9" s="1334"/>
      <c r="BG9" s="1334"/>
      <c r="BH9" s="1334"/>
      <c r="BI9" s="1334"/>
      <c r="BJ9" s="1334"/>
      <c r="BK9" s="2187"/>
      <c r="BL9" s="15" t="s">
        <v>1900</v>
      </c>
      <c r="BM9" s="1812"/>
      <c r="BN9" s="2176"/>
      <c r="BO9" s="1812"/>
      <c r="BP9" s="1812"/>
      <c r="BQ9" s="1812"/>
      <c r="BR9" s="1812"/>
      <c r="BS9" s="1812"/>
      <c r="BT9" s="26"/>
    </row>
    <row r="10" spans="1:72" s="2180" customFormat="1" ht="12.75">
      <c r="A10" s="2173"/>
      <c r="B10" s="2173"/>
      <c r="C10" s="2173"/>
      <c r="D10" s="2173"/>
      <c r="E10" s="2173"/>
      <c r="F10" s="2173"/>
      <c r="G10" s="1288"/>
      <c r="H10" s="28"/>
      <c r="I10" s="2182" t="s">
        <v>3051</v>
      </c>
      <c r="J10" s="977"/>
      <c r="K10" s="2188" t="s">
        <v>3051</v>
      </c>
      <c r="L10" s="977"/>
      <c r="M10" s="2188" t="s">
        <v>3054</v>
      </c>
      <c r="N10" s="977"/>
      <c r="O10" s="2188" t="s">
        <v>3615</v>
      </c>
      <c r="P10" s="977"/>
      <c r="Q10" s="2188"/>
      <c r="R10" s="977"/>
      <c r="S10" s="2188"/>
      <c r="T10" s="977"/>
      <c r="U10" s="2188"/>
      <c r="V10" s="977"/>
      <c r="W10" s="2188"/>
      <c r="X10" s="977"/>
      <c r="Y10" s="2188"/>
      <c r="Z10" s="977"/>
      <c r="AA10" s="2188"/>
      <c r="AB10" s="977"/>
      <c r="AC10" s="1288"/>
      <c r="AD10" s="15" t="s">
        <v>1901</v>
      </c>
      <c r="AE10" s="2189"/>
      <c r="AF10" s="15" t="s">
        <v>1901</v>
      </c>
      <c r="AG10" s="2189"/>
      <c r="AH10" s="15" t="s">
        <v>1902</v>
      </c>
      <c r="AI10" s="2189"/>
      <c r="AJ10" s="15" t="s">
        <v>1902</v>
      </c>
      <c r="AK10" s="2189"/>
      <c r="AL10" s="15" t="s">
        <v>1903</v>
      </c>
      <c r="AM10" s="1294"/>
      <c r="AN10" s="15" t="s">
        <v>1903</v>
      </c>
      <c r="AO10" s="1294"/>
      <c r="AP10" s="15" t="s">
        <v>1904</v>
      </c>
      <c r="AQ10" s="1294"/>
      <c r="AR10" s="15" t="s">
        <v>1904</v>
      </c>
      <c r="AS10" s="1294"/>
      <c r="AT10" s="2173"/>
      <c r="AU10" s="2173"/>
      <c r="AV10" s="1288"/>
      <c r="AW10" s="2156"/>
      <c r="AX10" s="1288"/>
      <c r="AY10" s="28"/>
      <c r="AZ10" s="28"/>
      <c r="BA10" s="2190" t="s">
        <v>1895</v>
      </c>
      <c r="BB10" s="219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8"/>
      <c r="H11" s="2190"/>
      <c r="I11" s="2193" t="s">
        <v>3052</v>
      </c>
      <c r="J11" s="2194"/>
      <c r="K11" s="2193" t="s">
        <v>3232</v>
      </c>
      <c r="L11" s="2194"/>
      <c r="M11" s="2193" t="s">
        <v>3054</v>
      </c>
      <c r="N11" s="2194"/>
      <c r="O11" s="2193" t="s">
        <v>3614</v>
      </c>
      <c r="P11" s="2194"/>
      <c r="Q11" s="2193"/>
      <c r="R11" s="2194"/>
      <c r="S11" s="2193"/>
      <c r="T11" s="2194"/>
      <c r="U11" s="2193"/>
      <c r="V11" s="2194"/>
      <c r="W11" s="2193"/>
      <c r="X11" s="2194"/>
      <c r="Y11" s="2193"/>
      <c r="Z11" s="2194"/>
      <c r="AA11" s="2193"/>
      <c r="AB11" s="2194"/>
      <c r="AC11" s="1288"/>
      <c r="AD11" s="2195" t="s">
        <v>1905</v>
      </c>
      <c r="AE11" s="1813"/>
      <c r="AF11" s="2195" t="s">
        <v>1905</v>
      </c>
      <c r="AG11" s="1813"/>
      <c r="AH11" s="2195" t="s">
        <v>1906</v>
      </c>
      <c r="AI11" s="2196"/>
      <c r="AJ11" s="2195" t="s">
        <v>1906</v>
      </c>
      <c r="AK11" s="1813"/>
      <c r="AL11" s="1811"/>
      <c r="AM11" s="1813"/>
      <c r="AN11" s="1811"/>
      <c r="AO11" s="1813"/>
      <c r="AP11" s="1811"/>
      <c r="AQ11" s="1813"/>
      <c r="AR11" s="1811"/>
      <c r="AS11" s="1813"/>
      <c r="AT11" s="2156"/>
      <c r="AU11" s="2173"/>
      <c r="AV11" s="1288"/>
      <c r="AW11" s="2156"/>
      <c r="AX11" s="1288"/>
      <c r="AY11" s="28"/>
      <c r="AZ11" s="28"/>
      <c r="BA11" s="28"/>
      <c r="BB11" s="2178" t="str">
        <f>I10</f>
        <v>住宅</v>
      </c>
      <c r="BC11" s="2178" t="str">
        <f>K10</f>
        <v>住宅</v>
      </c>
      <c r="BD11" s="2178" t="str">
        <f>M10</f>
        <v>车库</v>
      </c>
      <c r="BE11" s="2178" t="str">
        <f>O10</f>
        <v>仓储</v>
      </c>
      <c r="BF11" s="2178">
        <f>Q10</f>
        <v>0</v>
      </c>
      <c r="BG11" s="2178">
        <f>S10</f>
        <v>0</v>
      </c>
      <c r="BH11" s="2178">
        <f>U10</f>
        <v>0</v>
      </c>
      <c r="BI11" s="2178">
        <f>W10</f>
        <v>0</v>
      </c>
      <c r="BJ11" s="2178">
        <f>Y10</f>
        <v>0</v>
      </c>
      <c r="BK11" s="2178">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200"/>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8" t="s">
        <v>1908</v>
      </c>
      <c r="AT12" s="2201"/>
      <c r="AU12" s="2198"/>
      <c r="AV12" s="31"/>
      <c r="AW12" s="2157"/>
      <c r="AX12" s="31"/>
      <c r="AY12" s="2202"/>
      <c r="AZ12" s="28"/>
      <c r="BA12" s="2190"/>
      <c r="BB12" s="24" t="str">
        <f>I11</f>
        <v>叠拼</v>
      </c>
      <c r="BC12" s="2203" t="str">
        <f>K11</f>
        <v>高层</v>
      </c>
      <c r="BD12" s="2203" t="str">
        <f>M11</f>
        <v>车库</v>
      </c>
      <c r="BE12" s="2178" t="str">
        <f>O11</f>
        <v>戊类库房</v>
      </c>
      <c r="BF12" s="2178">
        <f>Q11</f>
        <v>0</v>
      </c>
      <c r="BG12" s="2178">
        <f>S11</f>
        <v>0</v>
      </c>
      <c r="BH12" s="2178">
        <f>U11</f>
        <v>0</v>
      </c>
      <c r="BI12" s="2178">
        <f>W11</f>
        <v>0</v>
      </c>
      <c r="BJ12" s="2178">
        <f>Y11</f>
        <v>0</v>
      </c>
      <c r="BK12" s="2178">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8"/>
      <c r="B13" s="1268"/>
      <c r="C13" s="2933" t="s">
        <v>3050</v>
      </c>
      <c r="D13" s="2204" t="s">
        <v>3041</v>
      </c>
      <c r="E13" s="16">
        <f>IF($C$3="是",ROUND($A$3*G13/$B$3,2),ROUND($A$3*(G13-AT13)/$B$3,2))</f>
        <v>14226.66</v>
      </c>
      <c r="F13" s="32"/>
      <c r="G13" s="33">
        <f>H13+AC13+AT13</f>
        <v>63702.12999999999</v>
      </c>
      <c r="H13" s="20">
        <f>SUMIF(I$12:AB$12,"总值",I13:AB13)</f>
        <v>63702.12999999999</v>
      </c>
      <c r="I13" s="2205">
        <f>抵押物清单!I116</f>
        <v>19126.139999999996</v>
      </c>
      <c r="J13" s="2205"/>
      <c r="K13" s="2205">
        <f>抵押物清单!N22</f>
        <v>863.98</v>
      </c>
      <c r="L13" s="2205"/>
      <c r="M13" s="2205">
        <f>抵押物清单!N23</f>
        <v>35529.1</v>
      </c>
      <c r="N13" s="2205"/>
      <c r="O13" s="2205">
        <f>抵押物清单!J116</f>
        <v>8182.909999999998</v>
      </c>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在建部分</v>
      </c>
      <c r="AY13" s="1800">
        <f>ROUND($AY$6*AZ13/$AZ$5,2)</f>
        <v>14226.66</v>
      </c>
      <c r="AZ13" s="16">
        <f>BA13+BL13</f>
        <v>63702.12999999999</v>
      </c>
      <c r="BA13" s="16">
        <f>SUM(BB13:BK13)</f>
        <v>63702.12999999999</v>
      </c>
      <c r="BB13" s="16">
        <f>IF($D13="是",I13-J13,0)</f>
        <v>19126.139999999996</v>
      </c>
      <c r="BC13" s="16">
        <f>IF($D13="是",K13-L13,0)</f>
        <v>863.98</v>
      </c>
      <c r="BD13" s="16">
        <f>IF($D13="是",M13-N13,0)</f>
        <v>35529.1</v>
      </c>
      <c r="BE13" s="16">
        <f>IF($D13="是",O13-P13,0)</f>
        <v>8182.909999999998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2933"/>
      <c r="B14" s="2933"/>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2933"/>
      <c r="B15" s="2933"/>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8"/>
      <c r="B16" s="2933"/>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8"/>
      <c r="B17" s="1268"/>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12"/>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IF($D17="是",Y17-V17,0)</f>
        <v>0</v>
      </c>
      <c r="BI17" s="16">
        <f>IF($D17="是",W17-X17,0)</f>
        <v>0</v>
      </c>
      <c r="BJ17" s="16">
        <f>IF($D17="是",#REF!-Z17,0)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2407"/>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IF($D18="是",Y18-V18,0)</f>
        <v>0</v>
      </c>
      <c r="BI18" s="35">
        <f t="shared" ref="BI18:BI109" si="23">IF($D18="是",W18-X18,0)</f>
        <v>0</v>
      </c>
      <c r="BJ18" s="35">
        <f>IF($D18="是",#REF!-Z18,0)</f>
        <v>0</v>
      </c>
      <c r="BK18" s="35">
        <f t="shared" ref="BK18:BK109" si="24">IF($D18="是",AA18-AB18,0)</f>
        <v>0</v>
      </c>
      <c r="BL18" s="35">
        <f t="shared" ref="BL18:BL109" si="25">SUM(BM18:BT18)</f>
        <v>0</v>
      </c>
      <c r="BM18" s="35">
        <f t="shared" ref="BM18:BM109" si="26">IF($D18="是",AD18-AE18,0)</f>
        <v>0</v>
      </c>
      <c r="BN18" s="35">
        <f t="shared" ref="BN18:BN109" si="27">IF($D18="是",AF18-AG18,0)</f>
        <v>0</v>
      </c>
      <c r="BO18" s="35">
        <f t="shared" ref="BO18:BO109" si="28">IF($D18="是",AH18-AI18,0)</f>
        <v>0</v>
      </c>
      <c r="BP18" s="35">
        <f t="shared" ref="BP18:BP109" si="29">IF($D18="是",AJ18-AK18,0)</f>
        <v>0</v>
      </c>
      <c r="BQ18" s="35">
        <f t="shared" ref="BQ18:BQ109" si="30">IF($D18="是",AL18-AM18,0)</f>
        <v>0</v>
      </c>
      <c r="BR18" s="35">
        <f t="shared" ref="BR18:BR109" si="31">IF($D18="是",AN18-AO18,0)</f>
        <v>0</v>
      </c>
      <c r="BS18" s="35">
        <f t="shared" ref="BS18:BS109" si="32">IF($D18="是",AP18-AQ18,0)</f>
        <v>0</v>
      </c>
      <c r="BT18" s="43">
        <f t="shared" ref="BT18:BT109" si="33">IF($D18="是",AR18-AS18,0)</f>
        <v>0</v>
      </c>
    </row>
    <row r="19" spans="1:72">
      <c r="A19" s="9"/>
      <c r="B19" s="2961"/>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ref="BH19:BH109" si="34">IF($D19="是",U19-V19,0)</f>
        <v>0</v>
      </c>
      <c r="BI19" s="35">
        <f t="shared" si="23"/>
        <v>0</v>
      </c>
      <c r="BJ19" s="35">
        <f t="shared" ref="BJ19:BJ109" si="35">IF($D19="是",Y19-Z19,0)</f>
        <v>0</v>
      </c>
      <c r="BK19" s="35">
        <f t="shared" si="24"/>
        <v>0</v>
      </c>
      <c r="BL19" s="35">
        <f t="shared" si="25"/>
        <v>0</v>
      </c>
      <c r="BM19" s="35">
        <f t="shared" si="26"/>
        <v>0</v>
      </c>
      <c r="BN19" s="35">
        <f t="shared" si="27"/>
        <v>0</v>
      </c>
      <c r="BO19" s="35">
        <f t="shared" si="28"/>
        <v>0</v>
      </c>
      <c r="BP19" s="35">
        <f t="shared" si="29"/>
        <v>0</v>
      </c>
      <c r="BQ19" s="35">
        <f t="shared" si="30"/>
        <v>0</v>
      </c>
      <c r="BR19" s="35">
        <f t="shared" si="31"/>
        <v>0</v>
      </c>
      <c r="BS19" s="35">
        <f t="shared" si="32"/>
        <v>0</v>
      </c>
      <c r="BT19" s="43">
        <f t="shared" si="33"/>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34"/>
        <v>0</v>
      </c>
      <c r="BI20" s="35">
        <f t="shared" si="23"/>
        <v>0</v>
      </c>
      <c r="BJ20" s="35">
        <f t="shared" si="35"/>
        <v>0</v>
      </c>
      <c r="BK20" s="35">
        <f t="shared" si="24"/>
        <v>0</v>
      </c>
      <c r="BL20" s="35">
        <f t="shared" si="25"/>
        <v>0</v>
      </c>
      <c r="BM20" s="35">
        <f t="shared" si="26"/>
        <v>0</v>
      </c>
      <c r="BN20" s="35">
        <f t="shared" si="27"/>
        <v>0</v>
      </c>
      <c r="BO20" s="35">
        <f t="shared" si="28"/>
        <v>0</v>
      </c>
      <c r="BP20" s="35">
        <f t="shared" si="29"/>
        <v>0</v>
      </c>
      <c r="BQ20" s="35">
        <f t="shared" si="30"/>
        <v>0</v>
      </c>
      <c r="BR20" s="35">
        <f t="shared" si="31"/>
        <v>0</v>
      </c>
      <c r="BS20" s="35">
        <f t="shared" si="32"/>
        <v>0</v>
      </c>
      <c r="BT20" s="43">
        <f t="shared" si="33"/>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34"/>
        <v>0</v>
      </c>
      <c r="BI21" s="35">
        <f t="shared" si="23"/>
        <v>0</v>
      </c>
      <c r="BJ21" s="35">
        <f t="shared" si="35"/>
        <v>0</v>
      </c>
      <c r="BK21" s="35">
        <f t="shared" si="24"/>
        <v>0</v>
      </c>
      <c r="BL21" s="35">
        <f t="shared" si="25"/>
        <v>0</v>
      </c>
      <c r="BM21" s="35">
        <f t="shared" si="26"/>
        <v>0</v>
      </c>
      <c r="BN21" s="35">
        <f t="shared" si="27"/>
        <v>0</v>
      </c>
      <c r="BO21" s="35">
        <f t="shared" si="28"/>
        <v>0</v>
      </c>
      <c r="BP21" s="35">
        <f t="shared" si="29"/>
        <v>0</v>
      </c>
      <c r="BQ21" s="35">
        <f t="shared" si="30"/>
        <v>0</v>
      </c>
      <c r="BR21" s="35">
        <f t="shared" si="31"/>
        <v>0</v>
      </c>
      <c r="BS21" s="35">
        <f t="shared" si="32"/>
        <v>0</v>
      </c>
      <c r="BT21" s="43">
        <f t="shared" si="33"/>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34"/>
        <v>0</v>
      </c>
      <c r="BI22" s="35">
        <f t="shared" si="23"/>
        <v>0</v>
      </c>
      <c r="BJ22" s="35">
        <f t="shared" si="35"/>
        <v>0</v>
      </c>
      <c r="BK22" s="35">
        <f t="shared" si="24"/>
        <v>0</v>
      </c>
      <c r="BL22" s="35">
        <f t="shared" si="25"/>
        <v>0</v>
      </c>
      <c r="BM22" s="35">
        <f t="shared" si="26"/>
        <v>0</v>
      </c>
      <c r="BN22" s="35">
        <f t="shared" si="27"/>
        <v>0</v>
      </c>
      <c r="BO22" s="35">
        <f t="shared" si="28"/>
        <v>0</v>
      </c>
      <c r="BP22" s="35">
        <f t="shared" si="29"/>
        <v>0</v>
      </c>
      <c r="BQ22" s="35">
        <f t="shared" si="30"/>
        <v>0</v>
      </c>
      <c r="BR22" s="35">
        <f t="shared" si="31"/>
        <v>0</v>
      </c>
      <c r="BS22" s="35">
        <f t="shared" si="32"/>
        <v>0</v>
      </c>
      <c r="BT22" s="43">
        <f t="shared" si="33"/>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34"/>
        <v>0</v>
      </c>
      <c r="BI23" s="35">
        <f t="shared" si="23"/>
        <v>0</v>
      </c>
      <c r="BJ23" s="35">
        <f t="shared" si="35"/>
        <v>0</v>
      </c>
      <c r="BK23" s="35">
        <f t="shared" si="24"/>
        <v>0</v>
      </c>
      <c r="BL23" s="35">
        <f t="shared" si="25"/>
        <v>0</v>
      </c>
      <c r="BM23" s="35">
        <f t="shared" si="26"/>
        <v>0</v>
      </c>
      <c r="BN23" s="35">
        <f t="shared" si="27"/>
        <v>0</v>
      </c>
      <c r="BO23" s="35">
        <f t="shared" si="28"/>
        <v>0</v>
      </c>
      <c r="BP23" s="35">
        <f t="shared" si="29"/>
        <v>0</v>
      </c>
      <c r="BQ23" s="35">
        <f t="shared" si="30"/>
        <v>0</v>
      </c>
      <c r="BR23" s="35">
        <f t="shared" si="31"/>
        <v>0</v>
      </c>
      <c r="BS23" s="35">
        <f t="shared" si="32"/>
        <v>0</v>
      </c>
      <c r="BT23" s="43">
        <f t="shared" si="33"/>
        <v>0</v>
      </c>
    </row>
    <row r="24" spans="1:72">
      <c r="A24" s="9"/>
      <c r="B24" s="2961"/>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34"/>
        <v>0</v>
      </c>
      <c r="BI24" s="35">
        <f t="shared" si="23"/>
        <v>0</v>
      </c>
      <c r="BJ24" s="35">
        <f t="shared" si="35"/>
        <v>0</v>
      </c>
      <c r="BK24" s="35">
        <f t="shared" si="24"/>
        <v>0</v>
      </c>
      <c r="BL24" s="35">
        <f t="shared" si="25"/>
        <v>0</v>
      </c>
      <c r="BM24" s="35">
        <f t="shared" si="26"/>
        <v>0</v>
      </c>
      <c r="BN24" s="35">
        <f t="shared" si="27"/>
        <v>0</v>
      </c>
      <c r="BO24" s="35">
        <f t="shared" si="28"/>
        <v>0</v>
      </c>
      <c r="BP24" s="35">
        <f t="shared" si="29"/>
        <v>0</v>
      </c>
      <c r="BQ24" s="35">
        <f t="shared" si="30"/>
        <v>0</v>
      </c>
      <c r="BR24" s="35">
        <f t="shared" si="31"/>
        <v>0</v>
      </c>
      <c r="BS24" s="35">
        <f t="shared" si="32"/>
        <v>0</v>
      </c>
      <c r="BT24" s="43">
        <f t="shared" si="33"/>
        <v>0</v>
      </c>
    </row>
    <row r="25" spans="1:72">
      <c r="A25" s="9"/>
      <c r="B25" s="2961"/>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34"/>
        <v>0</v>
      </c>
      <c r="BI25" s="35">
        <f t="shared" si="23"/>
        <v>0</v>
      </c>
      <c r="BJ25" s="35">
        <f t="shared" si="35"/>
        <v>0</v>
      </c>
      <c r="BK25" s="35">
        <f t="shared" si="24"/>
        <v>0</v>
      </c>
      <c r="BL25" s="35">
        <f t="shared" si="25"/>
        <v>0</v>
      </c>
      <c r="BM25" s="35">
        <f t="shared" si="26"/>
        <v>0</v>
      </c>
      <c r="BN25" s="35">
        <f t="shared" si="27"/>
        <v>0</v>
      </c>
      <c r="BO25" s="35">
        <f t="shared" si="28"/>
        <v>0</v>
      </c>
      <c r="BP25" s="35">
        <f t="shared" si="29"/>
        <v>0</v>
      </c>
      <c r="BQ25" s="35">
        <f t="shared" si="30"/>
        <v>0</v>
      </c>
      <c r="BR25" s="35">
        <f t="shared" si="31"/>
        <v>0</v>
      </c>
      <c r="BS25" s="35">
        <f t="shared" si="32"/>
        <v>0</v>
      </c>
      <c r="BT25" s="43">
        <f t="shared" si="33"/>
        <v>0</v>
      </c>
    </row>
    <row r="26" spans="1:72">
      <c r="A26" s="9"/>
      <c r="B26" s="2961"/>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34"/>
        <v>0</v>
      </c>
      <c r="BI26" s="35">
        <f t="shared" si="23"/>
        <v>0</v>
      </c>
      <c r="BJ26" s="35">
        <f t="shared" si="35"/>
        <v>0</v>
      </c>
      <c r="BK26" s="35">
        <f t="shared" si="24"/>
        <v>0</v>
      </c>
      <c r="BL26" s="35">
        <f t="shared" si="25"/>
        <v>0</v>
      </c>
      <c r="BM26" s="35">
        <f t="shared" si="26"/>
        <v>0</v>
      </c>
      <c r="BN26" s="35">
        <f t="shared" si="27"/>
        <v>0</v>
      </c>
      <c r="BO26" s="35">
        <f t="shared" si="28"/>
        <v>0</v>
      </c>
      <c r="BP26" s="35">
        <f t="shared" si="29"/>
        <v>0</v>
      </c>
      <c r="BQ26" s="35">
        <f t="shared" si="30"/>
        <v>0</v>
      </c>
      <c r="BR26" s="35">
        <f t="shared" si="31"/>
        <v>0</v>
      </c>
      <c r="BS26" s="35">
        <f t="shared" si="32"/>
        <v>0</v>
      </c>
      <c r="BT26" s="43">
        <f t="shared" si="33"/>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34"/>
        <v>0</v>
      </c>
      <c r="BI27" s="35">
        <f t="shared" si="23"/>
        <v>0</v>
      </c>
      <c r="BJ27" s="35">
        <f t="shared" si="35"/>
        <v>0</v>
      </c>
      <c r="BK27" s="35">
        <f t="shared" si="24"/>
        <v>0</v>
      </c>
      <c r="BL27" s="35">
        <f t="shared" si="25"/>
        <v>0</v>
      </c>
      <c r="BM27" s="35">
        <f t="shared" si="26"/>
        <v>0</v>
      </c>
      <c r="BN27" s="35">
        <f t="shared" si="27"/>
        <v>0</v>
      </c>
      <c r="BO27" s="35">
        <f t="shared" si="28"/>
        <v>0</v>
      </c>
      <c r="BP27" s="35">
        <f t="shared" si="29"/>
        <v>0</v>
      </c>
      <c r="BQ27" s="35">
        <f t="shared" si="30"/>
        <v>0</v>
      </c>
      <c r="BR27" s="35">
        <f t="shared" si="31"/>
        <v>0</v>
      </c>
      <c r="BS27" s="35">
        <f t="shared" si="32"/>
        <v>0</v>
      </c>
      <c r="BT27" s="43">
        <f t="shared" si="33"/>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34"/>
        <v>0</v>
      </c>
      <c r="BI28" s="35">
        <f t="shared" si="23"/>
        <v>0</v>
      </c>
      <c r="BJ28" s="35">
        <f t="shared" si="35"/>
        <v>0</v>
      </c>
      <c r="BK28" s="35">
        <f t="shared" si="24"/>
        <v>0</v>
      </c>
      <c r="BL28" s="35">
        <f t="shared" si="25"/>
        <v>0</v>
      </c>
      <c r="BM28" s="35">
        <f t="shared" si="26"/>
        <v>0</v>
      </c>
      <c r="BN28" s="35">
        <f t="shared" si="27"/>
        <v>0</v>
      </c>
      <c r="BO28" s="35">
        <f t="shared" si="28"/>
        <v>0</v>
      </c>
      <c r="BP28" s="35">
        <f t="shared" si="29"/>
        <v>0</v>
      </c>
      <c r="BQ28" s="35">
        <f t="shared" si="30"/>
        <v>0</v>
      </c>
      <c r="BR28" s="35">
        <f t="shared" si="31"/>
        <v>0</v>
      </c>
      <c r="BS28" s="35">
        <f t="shared" si="32"/>
        <v>0</v>
      </c>
      <c r="BT28" s="43">
        <f t="shared" si="33"/>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34"/>
        <v>0</v>
      </c>
      <c r="BI29" s="35">
        <f t="shared" si="23"/>
        <v>0</v>
      </c>
      <c r="BJ29" s="35">
        <f t="shared" si="35"/>
        <v>0</v>
      </c>
      <c r="BK29" s="35">
        <f t="shared" si="24"/>
        <v>0</v>
      </c>
      <c r="BL29" s="35">
        <f t="shared" si="25"/>
        <v>0</v>
      </c>
      <c r="BM29" s="35">
        <f t="shared" si="26"/>
        <v>0</v>
      </c>
      <c r="BN29" s="35">
        <f t="shared" si="27"/>
        <v>0</v>
      </c>
      <c r="BO29" s="35">
        <f t="shared" si="28"/>
        <v>0</v>
      </c>
      <c r="BP29" s="35">
        <f t="shared" si="29"/>
        <v>0</v>
      </c>
      <c r="BQ29" s="35">
        <f t="shared" si="30"/>
        <v>0</v>
      </c>
      <c r="BR29" s="35">
        <f t="shared" si="31"/>
        <v>0</v>
      </c>
      <c r="BS29" s="35">
        <f t="shared" si="32"/>
        <v>0</v>
      </c>
      <c r="BT29" s="43">
        <f t="shared" si="33"/>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34"/>
        <v>0</v>
      </c>
      <c r="BI30" s="35">
        <f t="shared" si="23"/>
        <v>0</v>
      </c>
      <c r="BJ30" s="35">
        <f t="shared" si="35"/>
        <v>0</v>
      </c>
      <c r="BK30" s="35">
        <f t="shared" si="24"/>
        <v>0</v>
      </c>
      <c r="BL30" s="35">
        <f t="shared" si="25"/>
        <v>0</v>
      </c>
      <c r="BM30" s="35">
        <f t="shared" si="26"/>
        <v>0</v>
      </c>
      <c r="BN30" s="35">
        <f t="shared" si="27"/>
        <v>0</v>
      </c>
      <c r="BO30" s="35">
        <f t="shared" si="28"/>
        <v>0</v>
      </c>
      <c r="BP30" s="35">
        <f t="shared" si="29"/>
        <v>0</v>
      </c>
      <c r="BQ30" s="35">
        <f t="shared" si="30"/>
        <v>0</v>
      </c>
      <c r="BR30" s="35">
        <f t="shared" si="31"/>
        <v>0</v>
      </c>
      <c r="BS30" s="35">
        <f t="shared" si="32"/>
        <v>0</v>
      </c>
      <c r="BT30" s="43">
        <f t="shared" si="33"/>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34"/>
        <v>0</v>
      </c>
      <c r="BI31" s="35">
        <f t="shared" si="23"/>
        <v>0</v>
      </c>
      <c r="BJ31" s="35">
        <f t="shared" si="35"/>
        <v>0</v>
      </c>
      <c r="BK31" s="35">
        <f t="shared" si="24"/>
        <v>0</v>
      </c>
      <c r="BL31" s="35">
        <f t="shared" si="25"/>
        <v>0</v>
      </c>
      <c r="BM31" s="35">
        <f t="shared" si="26"/>
        <v>0</v>
      </c>
      <c r="BN31" s="35">
        <f t="shared" si="27"/>
        <v>0</v>
      </c>
      <c r="BO31" s="35">
        <f t="shared" si="28"/>
        <v>0</v>
      </c>
      <c r="BP31" s="35">
        <f t="shared" si="29"/>
        <v>0</v>
      </c>
      <c r="BQ31" s="35">
        <f t="shared" si="30"/>
        <v>0</v>
      </c>
      <c r="BR31" s="35">
        <f t="shared" si="31"/>
        <v>0</v>
      </c>
      <c r="BS31" s="35">
        <f t="shared" si="32"/>
        <v>0</v>
      </c>
      <c r="BT31" s="43">
        <f t="shared" si="33"/>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34"/>
        <v>0</v>
      </c>
      <c r="BI32" s="35">
        <f t="shared" si="23"/>
        <v>0</v>
      </c>
      <c r="BJ32" s="35">
        <f t="shared" si="35"/>
        <v>0</v>
      </c>
      <c r="BK32" s="35">
        <f t="shared" si="24"/>
        <v>0</v>
      </c>
      <c r="BL32" s="35">
        <f t="shared" si="25"/>
        <v>0</v>
      </c>
      <c r="BM32" s="35">
        <f t="shared" si="26"/>
        <v>0</v>
      </c>
      <c r="BN32" s="35">
        <f t="shared" si="27"/>
        <v>0</v>
      </c>
      <c r="BO32" s="35">
        <f t="shared" si="28"/>
        <v>0</v>
      </c>
      <c r="BP32" s="35">
        <f t="shared" si="29"/>
        <v>0</v>
      </c>
      <c r="BQ32" s="35">
        <f t="shared" si="30"/>
        <v>0</v>
      </c>
      <c r="BR32" s="35">
        <f t="shared" si="31"/>
        <v>0</v>
      </c>
      <c r="BS32" s="35">
        <f t="shared" si="32"/>
        <v>0</v>
      </c>
      <c r="BT32" s="43">
        <f t="shared" si="33"/>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34"/>
        <v>0</v>
      </c>
      <c r="BI33" s="35">
        <f t="shared" si="23"/>
        <v>0</v>
      </c>
      <c r="BJ33" s="35">
        <f t="shared" si="35"/>
        <v>0</v>
      </c>
      <c r="BK33" s="35">
        <f t="shared" si="24"/>
        <v>0</v>
      </c>
      <c r="BL33" s="35">
        <f t="shared" si="25"/>
        <v>0</v>
      </c>
      <c r="BM33" s="35">
        <f t="shared" si="26"/>
        <v>0</v>
      </c>
      <c r="BN33" s="35">
        <f t="shared" si="27"/>
        <v>0</v>
      </c>
      <c r="BO33" s="35">
        <f t="shared" si="28"/>
        <v>0</v>
      </c>
      <c r="BP33" s="35">
        <f t="shared" si="29"/>
        <v>0</v>
      </c>
      <c r="BQ33" s="35">
        <f t="shared" si="30"/>
        <v>0</v>
      </c>
      <c r="BR33" s="35">
        <f t="shared" si="31"/>
        <v>0</v>
      </c>
      <c r="BS33" s="35">
        <f t="shared" si="32"/>
        <v>0</v>
      </c>
      <c r="BT33" s="43">
        <f t="shared" si="33"/>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34"/>
        <v>0</v>
      </c>
      <c r="BI34" s="35">
        <f t="shared" si="23"/>
        <v>0</v>
      </c>
      <c r="BJ34" s="35">
        <f t="shared" si="35"/>
        <v>0</v>
      </c>
      <c r="BK34" s="35">
        <f t="shared" si="24"/>
        <v>0</v>
      </c>
      <c r="BL34" s="35">
        <f t="shared" si="25"/>
        <v>0</v>
      </c>
      <c r="BM34" s="35">
        <f t="shared" si="26"/>
        <v>0</v>
      </c>
      <c r="BN34" s="35">
        <f t="shared" si="27"/>
        <v>0</v>
      </c>
      <c r="BO34" s="35">
        <f t="shared" si="28"/>
        <v>0</v>
      </c>
      <c r="BP34" s="35">
        <f t="shared" si="29"/>
        <v>0</v>
      </c>
      <c r="BQ34" s="35">
        <f t="shared" si="30"/>
        <v>0</v>
      </c>
      <c r="BR34" s="35">
        <f t="shared" si="31"/>
        <v>0</v>
      </c>
      <c r="BS34" s="35">
        <f t="shared" si="32"/>
        <v>0</v>
      </c>
      <c r="BT34" s="43">
        <f t="shared" si="33"/>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34"/>
        <v>0</v>
      </c>
      <c r="BI35" s="35">
        <f t="shared" si="23"/>
        <v>0</v>
      </c>
      <c r="BJ35" s="35">
        <f t="shared" si="35"/>
        <v>0</v>
      </c>
      <c r="BK35" s="35">
        <f t="shared" si="24"/>
        <v>0</v>
      </c>
      <c r="BL35" s="35">
        <f t="shared" si="25"/>
        <v>0</v>
      </c>
      <c r="BM35" s="35">
        <f t="shared" si="26"/>
        <v>0</v>
      </c>
      <c r="BN35" s="35">
        <f t="shared" si="27"/>
        <v>0</v>
      </c>
      <c r="BO35" s="35">
        <f t="shared" si="28"/>
        <v>0</v>
      </c>
      <c r="BP35" s="35">
        <f t="shared" si="29"/>
        <v>0</v>
      </c>
      <c r="BQ35" s="35">
        <f t="shared" si="30"/>
        <v>0</v>
      </c>
      <c r="BR35" s="35">
        <f t="shared" si="31"/>
        <v>0</v>
      </c>
      <c r="BS35" s="35">
        <f t="shared" si="32"/>
        <v>0</v>
      </c>
      <c r="BT35" s="43">
        <f t="shared" si="33"/>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34"/>
        <v>0</v>
      </c>
      <c r="BI36" s="35">
        <f t="shared" si="23"/>
        <v>0</v>
      </c>
      <c r="BJ36" s="35">
        <f t="shared" si="35"/>
        <v>0</v>
      </c>
      <c r="BK36" s="35">
        <f t="shared" si="24"/>
        <v>0</v>
      </c>
      <c r="BL36" s="35">
        <f t="shared" si="25"/>
        <v>0</v>
      </c>
      <c r="BM36" s="35">
        <f t="shared" si="26"/>
        <v>0</v>
      </c>
      <c r="BN36" s="35">
        <f t="shared" si="27"/>
        <v>0</v>
      </c>
      <c r="BO36" s="35">
        <f t="shared" si="28"/>
        <v>0</v>
      </c>
      <c r="BP36" s="35">
        <f t="shared" si="29"/>
        <v>0</v>
      </c>
      <c r="BQ36" s="35">
        <f t="shared" si="30"/>
        <v>0</v>
      </c>
      <c r="BR36" s="35">
        <f t="shared" si="31"/>
        <v>0</v>
      </c>
      <c r="BS36" s="35">
        <f t="shared" si="32"/>
        <v>0</v>
      </c>
      <c r="BT36" s="43">
        <f t="shared" si="33"/>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34"/>
        <v>0</v>
      </c>
      <c r="BI37" s="35">
        <f t="shared" si="23"/>
        <v>0</v>
      </c>
      <c r="BJ37" s="35">
        <f t="shared" si="35"/>
        <v>0</v>
      </c>
      <c r="BK37" s="35">
        <f t="shared" si="24"/>
        <v>0</v>
      </c>
      <c r="BL37" s="35">
        <f t="shared" si="25"/>
        <v>0</v>
      </c>
      <c r="BM37" s="35">
        <f t="shared" si="26"/>
        <v>0</v>
      </c>
      <c r="BN37" s="35">
        <f t="shared" si="27"/>
        <v>0</v>
      </c>
      <c r="BO37" s="35">
        <f t="shared" si="28"/>
        <v>0</v>
      </c>
      <c r="BP37" s="35">
        <f t="shared" si="29"/>
        <v>0</v>
      </c>
      <c r="BQ37" s="35">
        <f t="shared" si="30"/>
        <v>0</v>
      </c>
      <c r="BR37" s="35">
        <f t="shared" si="31"/>
        <v>0</v>
      </c>
      <c r="BS37" s="35">
        <f t="shared" si="32"/>
        <v>0</v>
      </c>
      <c r="BT37" s="43">
        <f t="shared" si="33"/>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34"/>
        <v>0</v>
      </c>
      <c r="BI38" s="35">
        <f t="shared" si="23"/>
        <v>0</v>
      </c>
      <c r="BJ38" s="35">
        <f t="shared" si="35"/>
        <v>0</v>
      </c>
      <c r="BK38" s="35">
        <f t="shared" si="24"/>
        <v>0</v>
      </c>
      <c r="BL38" s="35">
        <f t="shared" si="25"/>
        <v>0</v>
      </c>
      <c r="BM38" s="35">
        <f t="shared" si="26"/>
        <v>0</v>
      </c>
      <c r="BN38" s="35">
        <f t="shared" si="27"/>
        <v>0</v>
      </c>
      <c r="BO38" s="35">
        <f t="shared" si="28"/>
        <v>0</v>
      </c>
      <c r="BP38" s="35">
        <f t="shared" si="29"/>
        <v>0</v>
      </c>
      <c r="BQ38" s="35">
        <f t="shared" si="30"/>
        <v>0</v>
      </c>
      <c r="BR38" s="35">
        <f t="shared" si="31"/>
        <v>0</v>
      </c>
      <c r="BS38" s="35">
        <f t="shared" si="32"/>
        <v>0</v>
      </c>
      <c r="BT38" s="43">
        <f t="shared" si="33"/>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34"/>
        <v>0</v>
      </c>
      <c r="BI39" s="35">
        <f t="shared" si="23"/>
        <v>0</v>
      </c>
      <c r="BJ39" s="35">
        <f t="shared" si="35"/>
        <v>0</v>
      </c>
      <c r="BK39" s="35">
        <f t="shared" si="24"/>
        <v>0</v>
      </c>
      <c r="BL39" s="35">
        <f t="shared" si="25"/>
        <v>0</v>
      </c>
      <c r="BM39" s="35">
        <f t="shared" si="26"/>
        <v>0</v>
      </c>
      <c r="BN39" s="35">
        <f t="shared" si="27"/>
        <v>0</v>
      </c>
      <c r="BO39" s="35">
        <f t="shared" si="28"/>
        <v>0</v>
      </c>
      <c r="BP39" s="35">
        <f t="shared" si="29"/>
        <v>0</v>
      </c>
      <c r="BQ39" s="35">
        <f t="shared" si="30"/>
        <v>0</v>
      </c>
      <c r="BR39" s="35">
        <f t="shared" si="31"/>
        <v>0</v>
      </c>
      <c r="BS39" s="35">
        <f t="shared" si="32"/>
        <v>0</v>
      </c>
      <c r="BT39" s="43">
        <f t="shared" si="33"/>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34"/>
        <v>0</v>
      </c>
      <c r="BI40" s="35">
        <f t="shared" si="23"/>
        <v>0</v>
      </c>
      <c r="BJ40" s="35">
        <f t="shared" si="35"/>
        <v>0</v>
      </c>
      <c r="BK40" s="35">
        <f t="shared" si="24"/>
        <v>0</v>
      </c>
      <c r="BL40" s="35">
        <f t="shared" si="25"/>
        <v>0</v>
      </c>
      <c r="BM40" s="35">
        <f t="shared" si="26"/>
        <v>0</v>
      </c>
      <c r="BN40" s="35">
        <f t="shared" si="27"/>
        <v>0</v>
      </c>
      <c r="BO40" s="35">
        <f t="shared" si="28"/>
        <v>0</v>
      </c>
      <c r="BP40" s="35">
        <f t="shared" si="29"/>
        <v>0</v>
      </c>
      <c r="BQ40" s="35">
        <f t="shared" si="30"/>
        <v>0</v>
      </c>
      <c r="BR40" s="35">
        <f t="shared" si="31"/>
        <v>0</v>
      </c>
      <c r="BS40" s="35">
        <f t="shared" si="32"/>
        <v>0</v>
      </c>
      <c r="BT40" s="43">
        <f t="shared" si="33"/>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34"/>
        <v>0</v>
      </c>
      <c r="BI41" s="35">
        <f t="shared" si="23"/>
        <v>0</v>
      </c>
      <c r="BJ41" s="35">
        <f t="shared" si="35"/>
        <v>0</v>
      </c>
      <c r="BK41" s="35">
        <f t="shared" si="24"/>
        <v>0</v>
      </c>
      <c r="BL41" s="35">
        <f t="shared" si="25"/>
        <v>0</v>
      </c>
      <c r="BM41" s="35">
        <f t="shared" si="26"/>
        <v>0</v>
      </c>
      <c r="BN41" s="35">
        <f t="shared" si="27"/>
        <v>0</v>
      </c>
      <c r="BO41" s="35">
        <f t="shared" si="28"/>
        <v>0</v>
      </c>
      <c r="BP41" s="35">
        <f t="shared" si="29"/>
        <v>0</v>
      </c>
      <c r="BQ41" s="35">
        <f t="shared" si="30"/>
        <v>0</v>
      </c>
      <c r="BR41" s="35">
        <f t="shared" si="31"/>
        <v>0</v>
      </c>
      <c r="BS41" s="35">
        <f t="shared" si="32"/>
        <v>0</v>
      </c>
      <c r="BT41" s="43">
        <f t="shared" si="33"/>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34"/>
        <v>0</v>
      </c>
      <c r="BI42" s="35">
        <f t="shared" si="23"/>
        <v>0</v>
      </c>
      <c r="BJ42" s="35">
        <f t="shared" si="35"/>
        <v>0</v>
      </c>
      <c r="BK42" s="35">
        <f t="shared" si="24"/>
        <v>0</v>
      </c>
      <c r="BL42" s="35">
        <f t="shared" si="25"/>
        <v>0</v>
      </c>
      <c r="BM42" s="35">
        <f t="shared" si="26"/>
        <v>0</v>
      </c>
      <c r="BN42" s="35">
        <f t="shared" si="27"/>
        <v>0</v>
      </c>
      <c r="BO42" s="35">
        <f t="shared" si="28"/>
        <v>0</v>
      </c>
      <c r="BP42" s="35">
        <f t="shared" si="29"/>
        <v>0</v>
      </c>
      <c r="BQ42" s="35">
        <f t="shared" si="30"/>
        <v>0</v>
      </c>
      <c r="BR42" s="35">
        <f t="shared" si="31"/>
        <v>0</v>
      </c>
      <c r="BS42" s="35">
        <f t="shared" si="32"/>
        <v>0</v>
      </c>
      <c r="BT42" s="43">
        <f t="shared" si="33"/>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34"/>
        <v>0</v>
      </c>
      <c r="BI43" s="35">
        <f t="shared" si="23"/>
        <v>0</v>
      </c>
      <c r="BJ43" s="35">
        <f t="shared" si="35"/>
        <v>0</v>
      </c>
      <c r="BK43" s="35">
        <f t="shared" si="24"/>
        <v>0</v>
      </c>
      <c r="BL43" s="35">
        <f t="shared" si="25"/>
        <v>0</v>
      </c>
      <c r="BM43" s="35">
        <f t="shared" si="26"/>
        <v>0</v>
      </c>
      <c r="BN43" s="35">
        <f t="shared" si="27"/>
        <v>0</v>
      </c>
      <c r="BO43" s="35">
        <f t="shared" si="28"/>
        <v>0</v>
      </c>
      <c r="BP43" s="35">
        <f t="shared" si="29"/>
        <v>0</v>
      </c>
      <c r="BQ43" s="35">
        <f t="shared" si="30"/>
        <v>0</v>
      </c>
      <c r="BR43" s="35">
        <f t="shared" si="31"/>
        <v>0</v>
      </c>
      <c r="BS43" s="35">
        <f t="shared" si="32"/>
        <v>0</v>
      </c>
      <c r="BT43" s="43">
        <f t="shared" si="33"/>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34"/>
        <v>0</v>
      </c>
      <c r="BI44" s="35">
        <f t="shared" si="23"/>
        <v>0</v>
      </c>
      <c r="BJ44" s="35">
        <f t="shared" si="35"/>
        <v>0</v>
      </c>
      <c r="BK44" s="35">
        <f t="shared" si="24"/>
        <v>0</v>
      </c>
      <c r="BL44" s="35">
        <f t="shared" si="25"/>
        <v>0</v>
      </c>
      <c r="BM44" s="35">
        <f t="shared" si="26"/>
        <v>0</v>
      </c>
      <c r="BN44" s="35">
        <f t="shared" si="27"/>
        <v>0</v>
      </c>
      <c r="BO44" s="35">
        <f t="shared" si="28"/>
        <v>0</v>
      </c>
      <c r="BP44" s="35">
        <f t="shared" si="29"/>
        <v>0</v>
      </c>
      <c r="BQ44" s="35">
        <f t="shared" si="30"/>
        <v>0</v>
      </c>
      <c r="BR44" s="35">
        <f t="shared" si="31"/>
        <v>0</v>
      </c>
      <c r="BS44" s="35">
        <f t="shared" si="32"/>
        <v>0</v>
      </c>
      <c r="BT44" s="43">
        <f t="shared" si="33"/>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34"/>
        <v>0</v>
      </c>
      <c r="BI45" s="35">
        <f t="shared" si="23"/>
        <v>0</v>
      </c>
      <c r="BJ45" s="35">
        <f t="shared" si="35"/>
        <v>0</v>
      </c>
      <c r="BK45" s="35">
        <f t="shared" si="24"/>
        <v>0</v>
      </c>
      <c r="BL45" s="35">
        <f t="shared" si="25"/>
        <v>0</v>
      </c>
      <c r="BM45" s="35">
        <f t="shared" si="26"/>
        <v>0</v>
      </c>
      <c r="BN45" s="35">
        <f t="shared" si="27"/>
        <v>0</v>
      </c>
      <c r="BO45" s="35">
        <f t="shared" si="28"/>
        <v>0</v>
      </c>
      <c r="BP45" s="35">
        <f t="shared" si="29"/>
        <v>0</v>
      </c>
      <c r="BQ45" s="35">
        <f t="shared" si="30"/>
        <v>0</v>
      </c>
      <c r="BR45" s="35">
        <f t="shared" si="31"/>
        <v>0</v>
      </c>
      <c r="BS45" s="35">
        <f t="shared" si="32"/>
        <v>0</v>
      </c>
      <c r="BT45" s="43">
        <f t="shared" si="33"/>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34"/>
        <v>0</v>
      </c>
      <c r="BI46" s="35">
        <f t="shared" si="23"/>
        <v>0</v>
      </c>
      <c r="BJ46" s="35">
        <f t="shared" si="35"/>
        <v>0</v>
      </c>
      <c r="BK46" s="35">
        <f t="shared" si="24"/>
        <v>0</v>
      </c>
      <c r="BL46" s="35">
        <f t="shared" si="25"/>
        <v>0</v>
      </c>
      <c r="BM46" s="35">
        <f t="shared" si="26"/>
        <v>0</v>
      </c>
      <c r="BN46" s="35">
        <f t="shared" si="27"/>
        <v>0</v>
      </c>
      <c r="BO46" s="35">
        <f t="shared" si="28"/>
        <v>0</v>
      </c>
      <c r="BP46" s="35">
        <f t="shared" si="29"/>
        <v>0</v>
      </c>
      <c r="BQ46" s="35">
        <f t="shared" si="30"/>
        <v>0</v>
      </c>
      <c r="BR46" s="35">
        <f t="shared" si="31"/>
        <v>0</v>
      </c>
      <c r="BS46" s="35">
        <f t="shared" si="32"/>
        <v>0</v>
      </c>
      <c r="BT46" s="43">
        <f t="shared" si="33"/>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34"/>
        <v>0</v>
      </c>
      <c r="BI47" s="35">
        <f t="shared" si="23"/>
        <v>0</v>
      </c>
      <c r="BJ47" s="35">
        <f t="shared" si="35"/>
        <v>0</v>
      </c>
      <c r="BK47" s="35">
        <f t="shared" si="24"/>
        <v>0</v>
      </c>
      <c r="BL47" s="35">
        <f t="shared" si="25"/>
        <v>0</v>
      </c>
      <c r="BM47" s="35">
        <f t="shared" si="26"/>
        <v>0</v>
      </c>
      <c r="BN47" s="35">
        <f t="shared" si="27"/>
        <v>0</v>
      </c>
      <c r="BO47" s="35">
        <f t="shared" si="28"/>
        <v>0</v>
      </c>
      <c r="BP47" s="35">
        <f t="shared" si="29"/>
        <v>0</v>
      </c>
      <c r="BQ47" s="35">
        <f t="shared" si="30"/>
        <v>0</v>
      </c>
      <c r="BR47" s="35">
        <f t="shared" si="31"/>
        <v>0</v>
      </c>
      <c r="BS47" s="35">
        <f t="shared" si="32"/>
        <v>0</v>
      </c>
      <c r="BT47" s="43">
        <f t="shared" si="33"/>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34"/>
        <v>0</v>
      </c>
      <c r="BI48" s="35">
        <f t="shared" si="23"/>
        <v>0</v>
      </c>
      <c r="BJ48" s="35">
        <f t="shared" si="35"/>
        <v>0</v>
      </c>
      <c r="BK48" s="35">
        <f t="shared" si="24"/>
        <v>0</v>
      </c>
      <c r="BL48" s="35">
        <f t="shared" si="25"/>
        <v>0</v>
      </c>
      <c r="BM48" s="35">
        <f t="shared" si="26"/>
        <v>0</v>
      </c>
      <c r="BN48" s="35">
        <f t="shared" si="27"/>
        <v>0</v>
      </c>
      <c r="BO48" s="35">
        <f t="shared" si="28"/>
        <v>0</v>
      </c>
      <c r="BP48" s="35">
        <f t="shared" si="29"/>
        <v>0</v>
      </c>
      <c r="BQ48" s="35">
        <f t="shared" si="30"/>
        <v>0</v>
      </c>
      <c r="BR48" s="35">
        <f t="shared" si="31"/>
        <v>0</v>
      </c>
      <c r="BS48" s="35">
        <f t="shared" si="32"/>
        <v>0</v>
      </c>
      <c r="BT48" s="43">
        <f t="shared" si="33"/>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34"/>
        <v>0</v>
      </c>
      <c r="BI49" s="35">
        <f t="shared" si="23"/>
        <v>0</v>
      </c>
      <c r="BJ49" s="35">
        <f t="shared" si="35"/>
        <v>0</v>
      </c>
      <c r="BK49" s="35">
        <f t="shared" si="24"/>
        <v>0</v>
      </c>
      <c r="BL49" s="35">
        <f t="shared" si="25"/>
        <v>0</v>
      </c>
      <c r="BM49" s="35">
        <f t="shared" si="26"/>
        <v>0</v>
      </c>
      <c r="BN49" s="35">
        <f t="shared" si="27"/>
        <v>0</v>
      </c>
      <c r="BO49" s="35">
        <f t="shared" si="28"/>
        <v>0</v>
      </c>
      <c r="BP49" s="35">
        <f t="shared" si="29"/>
        <v>0</v>
      </c>
      <c r="BQ49" s="35">
        <f t="shared" si="30"/>
        <v>0</v>
      </c>
      <c r="BR49" s="35">
        <f t="shared" si="31"/>
        <v>0</v>
      </c>
      <c r="BS49" s="35">
        <f t="shared" si="32"/>
        <v>0</v>
      </c>
      <c r="BT49" s="43">
        <f t="shared" si="33"/>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34"/>
        <v>0</v>
      </c>
      <c r="BI50" s="35">
        <f t="shared" si="23"/>
        <v>0</v>
      </c>
      <c r="BJ50" s="35">
        <f t="shared" si="35"/>
        <v>0</v>
      </c>
      <c r="BK50" s="35">
        <f t="shared" si="24"/>
        <v>0</v>
      </c>
      <c r="BL50" s="35">
        <f t="shared" si="25"/>
        <v>0</v>
      </c>
      <c r="BM50" s="35">
        <f t="shared" si="26"/>
        <v>0</v>
      </c>
      <c r="BN50" s="35">
        <f t="shared" si="27"/>
        <v>0</v>
      </c>
      <c r="BO50" s="35">
        <f t="shared" si="28"/>
        <v>0</v>
      </c>
      <c r="BP50" s="35">
        <f t="shared" si="29"/>
        <v>0</v>
      </c>
      <c r="BQ50" s="35">
        <f t="shared" si="30"/>
        <v>0</v>
      </c>
      <c r="BR50" s="35">
        <f t="shared" si="31"/>
        <v>0</v>
      </c>
      <c r="BS50" s="35">
        <f t="shared" si="32"/>
        <v>0</v>
      </c>
      <c r="BT50" s="43">
        <f t="shared" si="33"/>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34"/>
        <v>0</v>
      </c>
      <c r="BI51" s="35">
        <f t="shared" si="23"/>
        <v>0</v>
      </c>
      <c r="BJ51" s="35">
        <f t="shared" si="35"/>
        <v>0</v>
      </c>
      <c r="BK51" s="35">
        <f t="shared" si="24"/>
        <v>0</v>
      </c>
      <c r="BL51" s="35">
        <f t="shared" si="25"/>
        <v>0</v>
      </c>
      <c r="BM51" s="35">
        <f t="shared" si="26"/>
        <v>0</v>
      </c>
      <c r="BN51" s="35">
        <f t="shared" si="27"/>
        <v>0</v>
      </c>
      <c r="BO51" s="35">
        <f t="shared" si="28"/>
        <v>0</v>
      </c>
      <c r="BP51" s="35">
        <f t="shared" si="29"/>
        <v>0</v>
      </c>
      <c r="BQ51" s="35">
        <f t="shared" si="30"/>
        <v>0</v>
      </c>
      <c r="BR51" s="35">
        <f t="shared" si="31"/>
        <v>0</v>
      </c>
      <c r="BS51" s="35">
        <f t="shared" si="32"/>
        <v>0</v>
      </c>
      <c r="BT51" s="43">
        <f t="shared" si="33"/>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34"/>
        <v>0</v>
      </c>
      <c r="BI52" s="35">
        <f t="shared" si="23"/>
        <v>0</v>
      </c>
      <c r="BJ52" s="35">
        <f t="shared" si="35"/>
        <v>0</v>
      </c>
      <c r="BK52" s="35">
        <f t="shared" si="24"/>
        <v>0</v>
      </c>
      <c r="BL52" s="35">
        <f t="shared" si="25"/>
        <v>0</v>
      </c>
      <c r="BM52" s="35">
        <f t="shared" si="26"/>
        <v>0</v>
      </c>
      <c r="BN52" s="35">
        <f t="shared" si="27"/>
        <v>0</v>
      </c>
      <c r="BO52" s="35">
        <f t="shared" si="28"/>
        <v>0</v>
      </c>
      <c r="BP52" s="35">
        <f t="shared" si="29"/>
        <v>0</v>
      </c>
      <c r="BQ52" s="35">
        <f t="shared" si="30"/>
        <v>0</v>
      </c>
      <c r="BR52" s="35">
        <f t="shared" si="31"/>
        <v>0</v>
      </c>
      <c r="BS52" s="35">
        <f t="shared" si="32"/>
        <v>0</v>
      </c>
      <c r="BT52" s="43">
        <f t="shared" si="33"/>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34"/>
        <v>0</v>
      </c>
      <c r="BI53" s="35">
        <f t="shared" si="23"/>
        <v>0</v>
      </c>
      <c r="BJ53" s="35">
        <f t="shared" si="35"/>
        <v>0</v>
      </c>
      <c r="BK53" s="35">
        <f t="shared" si="24"/>
        <v>0</v>
      </c>
      <c r="BL53" s="35">
        <f t="shared" si="25"/>
        <v>0</v>
      </c>
      <c r="BM53" s="35">
        <f t="shared" si="26"/>
        <v>0</v>
      </c>
      <c r="BN53" s="35">
        <f t="shared" si="27"/>
        <v>0</v>
      </c>
      <c r="BO53" s="35">
        <f t="shared" si="28"/>
        <v>0</v>
      </c>
      <c r="BP53" s="35">
        <f t="shared" si="29"/>
        <v>0</v>
      </c>
      <c r="BQ53" s="35">
        <f t="shared" si="30"/>
        <v>0</v>
      </c>
      <c r="BR53" s="35">
        <f t="shared" si="31"/>
        <v>0</v>
      </c>
      <c r="BS53" s="35">
        <f t="shared" si="32"/>
        <v>0</v>
      </c>
      <c r="BT53" s="43">
        <f t="shared" si="33"/>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34"/>
        <v>0</v>
      </c>
      <c r="BI54" s="35">
        <f t="shared" si="23"/>
        <v>0</v>
      </c>
      <c r="BJ54" s="35">
        <f t="shared" si="35"/>
        <v>0</v>
      </c>
      <c r="BK54" s="35">
        <f t="shared" si="24"/>
        <v>0</v>
      </c>
      <c r="BL54" s="35">
        <f t="shared" si="25"/>
        <v>0</v>
      </c>
      <c r="BM54" s="35">
        <f t="shared" si="26"/>
        <v>0</v>
      </c>
      <c r="BN54" s="35">
        <f t="shared" si="27"/>
        <v>0</v>
      </c>
      <c r="BO54" s="35">
        <f t="shared" si="28"/>
        <v>0</v>
      </c>
      <c r="BP54" s="35">
        <f t="shared" si="29"/>
        <v>0</v>
      </c>
      <c r="BQ54" s="35">
        <f t="shared" si="30"/>
        <v>0</v>
      </c>
      <c r="BR54" s="35">
        <f t="shared" si="31"/>
        <v>0</v>
      </c>
      <c r="BS54" s="35">
        <f t="shared" si="32"/>
        <v>0</v>
      </c>
      <c r="BT54" s="43">
        <f t="shared" si="33"/>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34"/>
        <v>0</v>
      </c>
      <c r="BI55" s="35">
        <f t="shared" si="23"/>
        <v>0</v>
      </c>
      <c r="BJ55" s="35">
        <f t="shared" si="35"/>
        <v>0</v>
      </c>
      <c r="BK55" s="35">
        <f t="shared" si="24"/>
        <v>0</v>
      </c>
      <c r="BL55" s="35">
        <f t="shared" si="25"/>
        <v>0</v>
      </c>
      <c r="BM55" s="35">
        <f t="shared" si="26"/>
        <v>0</v>
      </c>
      <c r="BN55" s="35">
        <f t="shared" si="27"/>
        <v>0</v>
      </c>
      <c r="BO55" s="35">
        <f t="shared" si="28"/>
        <v>0</v>
      </c>
      <c r="BP55" s="35">
        <f t="shared" si="29"/>
        <v>0</v>
      </c>
      <c r="BQ55" s="35">
        <f t="shared" si="30"/>
        <v>0</v>
      </c>
      <c r="BR55" s="35">
        <f t="shared" si="31"/>
        <v>0</v>
      </c>
      <c r="BS55" s="35">
        <f t="shared" si="32"/>
        <v>0</v>
      </c>
      <c r="BT55" s="43">
        <f t="shared" si="33"/>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34"/>
        <v>0</v>
      </c>
      <c r="BI56" s="35">
        <f t="shared" si="23"/>
        <v>0</v>
      </c>
      <c r="BJ56" s="35">
        <f t="shared" si="35"/>
        <v>0</v>
      </c>
      <c r="BK56" s="35">
        <f t="shared" si="24"/>
        <v>0</v>
      </c>
      <c r="BL56" s="35">
        <f t="shared" si="25"/>
        <v>0</v>
      </c>
      <c r="BM56" s="35">
        <f t="shared" si="26"/>
        <v>0</v>
      </c>
      <c r="BN56" s="35">
        <f t="shared" si="27"/>
        <v>0</v>
      </c>
      <c r="BO56" s="35">
        <f t="shared" si="28"/>
        <v>0</v>
      </c>
      <c r="BP56" s="35">
        <f t="shared" si="29"/>
        <v>0</v>
      </c>
      <c r="BQ56" s="35">
        <f t="shared" si="30"/>
        <v>0</v>
      </c>
      <c r="BR56" s="35">
        <f t="shared" si="31"/>
        <v>0</v>
      </c>
      <c r="BS56" s="35">
        <f t="shared" si="32"/>
        <v>0</v>
      </c>
      <c r="BT56" s="43">
        <f t="shared" si="33"/>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34"/>
        <v>0</v>
      </c>
      <c r="BI57" s="35">
        <f t="shared" si="23"/>
        <v>0</v>
      </c>
      <c r="BJ57" s="35">
        <f t="shared" si="35"/>
        <v>0</v>
      </c>
      <c r="BK57" s="35">
        <f t="shared" si="24"/>
        <v>0</v>
      </c>
      <c r="BL57" s="35">
        <f t="shared" si="25"/>
        <v>0</v>
      </c>
      <c r="BM57" s="35">
        <f t="shared" si="26"/>
        <v>0</v>
      </c>
      <c r="BN57" s="35">
        <f t="shared" si="27"/>
        <v>0</v>
      </c>
      <c r="BO57" s="35">
        <f t="shared" si="28"/>
        <v>0</v>
      </c>
      <c r="BP57" s="35">
        <f t="shared" si="29"/>
        <v>0</v>
      </c>
      <c r="BQ57" s="35">
        <f t="shared" si="30"/>
        <v>0</v>
      </c>
      <c r="BR57" s="35">
        <f t="shared" si="31"/>
        <v>0</v>
      </c>
      <c r="BS57" s="35">
        <f t="shared" si="32"/>
        <v>0</v>
      </c>
      <c r="BT57" s="43">
        <f t="shared" si="33"/>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34"/>
        <v>0</v>
      </c>
      <c r="BI58" s="35">
        <f t="shared" si="23"/>
        <v>0</v>
      </c>
      <c r="BJ58" s="35">
        <f t="shared" si="35"/>
        <v>0</v>
      </c>
      <c r="BK58" s="35">
        <f t="shared" si="24"/>
        <v>0</v>
      </c>
      <c r="BL58" s="35">
        <f t="shared" si="25"/>
        <v>0</v>
      </c>
      <c r="BM58" s="35">
        <f t="shared" si="26"/>
        <v>0</v>
      </c>
      <c r="BN58" s="35">
        <f t="shared" si="27"/>
        <v>0</v>
      </c>
      <c r="BO58" s="35">
        <f t="shared" si="28"/>
        <v>0</v>
      </c>
      <c r="BP58" s="35">
        <f t="shared" si="29"/>
        <v>0</v>
      </c>
      <c r="BQ58" s="35">
        <f t="shared" si="30"/>
        <v>0</v>
      </c>
      <c r="BR58" s="35">
        <f t="shared" si="31"/>
        <v>0</v>
      </c>
      <c r="BS58" s="35">
        <f t="shared" si="32"/>
        <v>0</v>
      </c>
      <c r="BT58" s="43">
        <f t="shared" si="33"/>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34"/>
        <v>0</v>
      </c>
      <c r="BI59" s="35">
        <f t="shared" si="23"/>
        <v>0</v>
      </c>
      <c r="BJ59" s="35">
        <f t="shared" si="35"/>
        <v>0</v>
      </c>
      <c r="BK59" s="35">
        <f t="shared" si="24"/>
        <v>0</v>
      </c>
      <c r="BL59" s="35">
        <f t="shared" si="25"/>
        <v>0</v>
      </c>
      <c r="BM59" s="35">
        <f t="shared" si="26"/>
        <v>0</v>
      </c>
      <c r="BN59" s="35">
        <f t="shared" si="27"/>
        <v>0</v>
      </c>
      <c r="BO59" s="35">
        <f t="shared" si="28"/>
        <v>0</v>
      </c>
      <c r="BP59" s="35">
        <f t="shared" si="29"/>
        <v>0</v>
      </c>
      <c r="BQ59" s="35">
        <f t="shared" si="30"/>
        <v>0</v>
      </c>
      <c r="BR59" s="35">
        <f t="shared" si="31"/>
        <v>0</v>
      </c>
      <c r="BS59" s="35">
        <f t="shared" si="32"/>
        <v>0</v>
      </c>
      <c r="BT59" s="43">
        <f t="shared" si="33"/>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34"/>
        <v>0</v>
      </c>
      <c r="BI60" s="35">
        <f t="shared" si="23"/>
        <v>0</v>
      </c>
      <c r="BJ60" s="35">
        <f t="shared" si="35"/>
        <v>0</v>
      </c>
      <c r="BK60" s="35">
        <f t="shared" si="24"/>
        <v>0</v>
      </c>
      <c r="BL60" s="35">
        <f t="shared" si="25"/>
        <v>0</v>
      </c>
      <c r="BM60" s="35">
        <f t="shared" si="26"/>
        <v>0</v>
      </c>
      <c r="BN60" s="35">
        <f t="shared" si="27"/>
        <v>0</v>
      </c>
      <c r="BO60" s="35">
        <f t="shared" si="28"/>
        <v>0</v>
      </c>
      <c r="BP60" s="35">
        <f t="shared" si="29"/>
        <v>0</v>
      </c>
      <c r="BQ60" s="35">
        <f t="shared" si="30"/>
        <v>0</v>
      </c>
      <c r="BR60" s="35">
        <f t="shared" si="31"/>
        <v>0</v>
      </c>
      <c r="BS60" s="35">
        <f t="shared" si="32"/>
        <v>0</v>
      </c>
      <c r="BT60" s="43">
        <f t="shared" si="33"/>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34"/>
        <v>0</v>
      </c>
      <c r="BI61" s="35">
        <f t="shared" si="23"/>
        <v>0</v>
      </c>
      <c r="BJ61" s="35">
        <f t="shared" si="35"/>
        <v>0</v>
      </c>
      <c r="BK61" s="35">
        <f t="shared" si="24"/>
        <v>0</v>
      </c>
      <c r="BL61" s="35">
        <f t="shared" si="25"/>
        <v>0</v>
      </c>
      <c r="BM61" s="35">
        <f t="shared" si="26"/>
        <v>0</v>
      </c>
      <c r="BN61" s="35">
        <f t="shared" si="27"/>
        <v>0</v>
      </c>
      <c r="BO61" s="35">
        <f t="shared" si="28"/>
        <v>0</v>
      </c>
      <c r="BP61" s="35">
        <f t="shared" si="29"/>
        <v>0</v>
      </c>
      <c r="BQ61" s="35">
        <f t="shared" si="30"/>
        <v>0</v>
      </c>
      <c r="BR61" s="35">
        <f t="shared" si="31"/>
        <v>0</v>
      </c>
      <c r="BS61" s="35">
        <f t="shared" si="32"/>
        <v>0</v>
      </c>
      <c r="BT61" s="43">
        <f t="shared" si="33"/>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34"/>
        <v>0</v>
      </c>
      <c r="BI62" s="35">
        <f t="shared" si="23"/>
        <v>0</v>
      </c>
      <c r="BJ62" s="35">
        <f t="shared" si="35"/>
        <v>0</v>
      </c>
      <c r="BK62" s="35">
        <f t="shared" si="24"/>
        <v>0</v>
      </c>
      <c r="BL62" s="35">
        <f t="shared" si="25"/>
        <v>0</v>
      </c>
      <c r="BM62" s="35">
        <f t="shared" si="26"/>
        <v>0</v>
      </c>
      <c r="BN62" s="35">
        <f t="shared" si="27"/>
        <v>0</v>
      </c>
      <c r="BO62" s="35">
        <f t="shared" si="28"/>
        <v>0</v>
      </c>
      <c r="BP62" s="35">
        <f t="shared" si="29"/>
        <v>0</v>
      </c>
      <c r="BQ62" s="35">
        <f t="shared" si="30"/>
        <v>0</v>
      </c>
      <c r="BR62" s="35">
        <f t="shared" si="31"/>
        <v>0</v>
      </c>
      <c r="BS62" s="35">
        <f t="shared" si="32"/>
        <v>0</v>
      </c>
      <c r="BT62" s="43">
        <f t="shared" si="33"/>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34"/>
        <v>0</v>
      </c>
      <c r="BI63" s="35">
        <f t="shared" si="23"/>
        <v>0</v>
      </c>
      <c r="BJ63" s="35">
        <f t="shared" si="35"/>
        <v>0</v>
      </c>
      <c r="BK63" s="35">
        <f t="shared" si="24"/>
        <v>0</v>
      </c>
      <c r="BL63" s="35">
        <f t="shared" si="25"/>
        <v>0</v>
      </c>
      <c r="BM63" s="35">
        <f t="shared" si="26"/>
        <v>0</v>
      </c>
      <c r="BN63" s="35">
        <f t="shared" si="27"/>
        <v>0</v>
      </c>
      <c r="BO63" s="35">
        <f t="shared" si="28"/>
        <v>0</v>
      </c>
      <c r="BP63" s="35">
        <f t="shared" si="29"/>
        <v>0</v>
      </c>
      <c r="BQ63" s="35">
        <f t="shared" si="30"/>
        <v>0</v>
      </c>
      <c r="BR63" s="35">
        <f t="shared" si="31"/>
        <v>0</v>
      </c>
      <c r="BS63" s="35">
        <f t="shared" si="32"/>
        <v>0</v>
      </c>
      <c r="BT63" s="43">
        <f t="shared" si="33"/>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34"/>
        <v>0</v>
      </c>
      <c r="BI64" s="35">
        <f t="shared" si="23"/>
        <v>0</v>
      </c>
      <c r="BJ64" s="35">
        <f t="shared" si="35"/>
        <v>0</v>
      </c>
      <c r="BK64" s="35">
        <f t="shared" si="24"/>
        <v>0</v>
      </c>
      <c r="BL64" s="35">
        <f t="shared" si="25"/>
        <v>0</v>
      </c>
      <c r="BM64" s="35">
        <f t="shared" si="26"/>
        <v>0</v>
      </c>
      <c r="BN64" s="35">
        <f t="shared" si="27"/>
        <v>0</v>
      </c>
      <c r="BO64" s="35">
        <f t="shared" si="28"/>
        <v>0</v>
      </c>
      <c r="BP64" s="35">
        <f t="shared" si="29"/>
        <v>0</v>
      </c>
      <c r="BQ64" s="35">
        <f t="shared" si="30"/>
        <v>0</v>
      </c>
      <c r="BR64" s="35">
        <f t="shared" si="31"/>
        <v>0</v>
      </c>
      <c r="BS64" s="35">
        <f t="shared" si="32"/>
        <v>0</v>
      </c>
      <c r="BT64" s="43">
        <f t="shared" si="33"/>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34"/>
        <v>0</v>
      </c>
      <c r="BI65" s="35">
        <f t="shared" si="23"/>
        <v>0</v>
      </c>
      <c r="BJ65" s="35">
        <f t="shared" si="35"/>
        <v>0</v>
      </c>
      <c r="BK65" s="35">
        <f t="shared" si="24"/>
        <v>0</v>
      </c>
      <c r="BL65" s="35">
        <f t="shared" si="25"/>
        <v>0</v>
      </c>
      <c r="BM65" s="35">
        <f t="shared" si="26"/>
        <v>0</v>
      </c>
      <c r="BN65" s="35">
        <f t="shared" si="27"/>
        <v>0</v>
      </c>
      <c r="BO65" s="35">
        <f t="shared" si="28"/>
        <v>0</v>
      </c>
      <c r="BP65" s="35">
        <f t="shared" si="29"/>
        <v>0</v>
      </c>
      <c r="BQ65" s="35">
        <f t="shared" si="30"/>
        <v>0</v>
      </c>
      <c r="BR65" s="35">
        <f t="shared" si="31"/>
        <v>0</v>
      </c>
      <c r="BS65" s="35">
        <f t="shared" si="32"/>
        <v>0</v>
      </c>
      <c r="BT65" s="43">
        <f t="shared" si="33"/>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34"/>
        <v>0</v>
      </c>
      <c r="BI66" s="35">
        <f t="shared" si="23"/>
        <v>0</v>
      </c>
      <c r="BJ66" s="35">
        <f t="shared" si="35"/>
        <v>0</v>
      </c>
      <c r="BK66" s="35">
        <f t="shared" si="24"/>
        <v>0</v>
      </c>
      <c r="BL66" s="35">
        <f t="shared" si="25"/>
        <v>0</v>
      </c>
      <c r="BM66" s="35">
        <f t="shared" si="26"/>
        <v>0</v>
      </c>
      <c r="BN66" s="35">
        <f t="shared" si="27"/>
        <v>0</v>
      </c>
      <c r="BO66" s="35">
        <f t="shared" si="28"/>
        <v>0</v>
      </c>
      <c r="BP66" s="35">
        <f t="shared" si="29"/>
        <v>0</v>
      </c>
      <c r="BQ66" s="35">
        <f t="shared" si="30"/>
        <v>0</v>
      </c>
      <c r="BR66" s="35">
        <f t="shared" si="31"/>
        <v>0</v>
      </c>
      <c r="BS66" s="35">
        <f t="shared" si="32"/>
        <v>0</v>
      </c>
      <c r="BT66" s="43">
        <f t="shared" si="33"/>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34"/>
        <v>0</v>
      </c>
      <c r="BI67" s="35">
        <f t="shared" si="23"/>
        <v>0</v>
      </c>
      <c r="BJ67" s="35">
        <f t="shared" si="35"/>
        <v>0</v>
      </c>
      <c r="BK67" s="35">
        <f t="shared" si="24"/>
        <v>0</v>
      </c>
      <c r="BL67" s="35">
        <f t="shared" si="25"/>
        <v>0</v>
      </c>
      <c r="BM67" s="35">
        <f t="shared" si="26"/>
        <v>0</v>
      </c>
      <c r="BN67" s="35">
        <f t="shared" si="27"/>
        <v>0</v>
      </c>
      <c r="BO67" s="35">
        <f t="shared" si="28"/>
        <v>0</v>
      </c>
      <c r="BP67" s="35">
        <f t="shared" si="29"/>
        <v>0</v>
      </c>
      <c r="BQ67" s="35">
        <f t="shared" si="30"/>
        <v>0</v>
      </c>
      <c r="BR67" s="35">
        <f t="shared" si="31"/>
        <v>0</v>
      </c>
      <c r="BS67" s="35">
        <f t="shared" si="32"/>
        <v>0</v>
      </c>
      <c r="BT67" s="43">
        <f t="shared" si="33"/>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34"/>
        <v>0</v>
      </c>
      <c r="BI68" s="35">
        <f t="shared" si="23"/>
        <v>0</v>
      </c>
      <c r="BJ68" s="35">
        <f t="shared" si="35"/>
        <v>0</v>
      </c>
      <c r="BK68" s="35">
        <f t="shared" si="24"/>
        <v>0</v>
      </c>
      <c r="BL68" s="35">
        <f t="shared" si="25"/>
        <v>0</v>
      </c>
      <c r="BM68" s="35">
        <f t="shared" si="26"/>
        <v>0</v>
      </c>
      <c r="BN68" s="35">
        <f t="shared" si="27"/>
        <v>0</v>
      </c>
      <c r="BO68" s="35">
        <f t="shared" si="28"/>
        <v>0</v>
      </c>
      <c r="BP68" s="35">
        <f t="shared" si="29"/>
        <v>0</v>
      </c>
      <c r="BQ68" s="35">
        <f t="shared" si="30"/>
        <v>0</v>
      </c>
      <c r="BR68" s="35">
        <f t="shared" si="31"/>
        <v>0</v>
      </c>
      <c r="BS68" s="35">
        <f t="shared" si="32"/>
        <v>0</v>
      </c>
      <c r="BT68" s="43">
        <f t="shared" si="33"/>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34"/>
        <v>0</v>
      </c>
      <c r="BI69" s="35">
        <f t="shared" si="23"/>
        <v>0</v>
      </c>
      <c r="BJ69" s="35">
        <f t="shared" si="35"/>
        <v>0</v>
      </c>
      <c r="BK69" s="35">
        <f t="shared" si="24"/>
        <v>0</v>
      </c>
      <c r="BL69" s="35">
        <f t="shared" si="25"/>
        <v>0</v>
      </c>
      <c r="BM69" s="35">
        <f t="shared" si="26"/>
        <v>0</v>
      </c>
      <c r="BN69" s="35">
        <f t="shared" si="27"/>
        <v>0</v>
      </c>
      <c r="BO69" s="35">
        <f t="shared" si="28"/>
        <v>0</v>
      </c>
      <c r="BP69" s="35">
        <f t="shared" si="29"/>
        <v>0</v>
      </c>
      <c r="BQ69" s="35">
        <f t="shared" si="30"/>
        <v>0</v>
      </c>
      <c r="BR69" s="35">
        <f t="shared" si="31"/>
        <v>0</v>
      </c>
      <c r="BS69" s="35">
        <f t="shared" si="32"/>
        <v>0</v>
      </c>
      <c r="BT69" s="43">
        <f t="shared" si="33"/>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34"/>
        <v>0</v>
      </c>
      <c r="BI70" s="35">
        <f t="shared" si="23"/>
        <v>0</v>
      </c>
      <c r="BJ70" s="35">
        <f t="shared" si="35"/>
        <v>0</v>
      </c>
      <c r="BK70" s="35">
        <f t="shared" si="24"/>
        <v>0</v>
      </c>
      <c r="BL70" s="35">
        <f t="shared" si="25"/>
        <v>0</v>
      </c>
      <c r="BM70" s="35">
        <f t="shared" si="26"/>
        <v>0</v>
      </c>
      <c r="BN70" s="35">
        <f t="shared" si="27"/>
        <v>0</v>
      </c>
      <c r="BO70" s="35">
        <f t="shared" si="28"/>
        <v>0</v>
      </c>
      <c r="BP70" s="35">
        <f t="shared" si="29"/>
        <v>0</v>
      </c>
      <c r="BQ70" s="35">
        <f t="shared" si="30"/>
        <v>0</v>
      </c>
      <c r="BR70" s="35">
        <f t="shared" si="31"/>
        <v>0</v>
      </c>
      <c r="BS70" s="35">
        <f t="shared" si="32"/>
        <v>0</v>
      </c>
      <c r="BT70" s="43">
        <f t="shared" si="33"/>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34"/>
        <v>0</v>
      </c>
      <c r="BI71" s="35">
        <f t="shared" si="23"/>
        <v>0</v>
      </c>
      <c r="BJ71" s="35">
        <f t="shared" si="35"/>
        <v>0</v>
      </c>
      <c r="BK71" s="35">
        <f t="shared" si="24"/>
        <v>0</v>
      </c>
      <c r="BL71" s="35">
        <f t="shared" si="25"/>
        <v>0</v>
      </c>
      <c r="BM71" s="35">
        <f t="shared" si="26"/>
        <v>0</v>
      </c>
      <c r="BN71" s="35">
        <f t="shared" si="27"/>
        <v>0</v>
      </c>
      <c r="BO71" s="35">
        <f t="shared" si="28"/>
        <v>0</v>
      </c>
      <c r="BP71" s="35">
        <f t="shared" si="29"/>
        <v>0</v>
      </c>
      <c r="BQ71" s="35">
        <f t="shared" si="30"/>
        <v>0</v>
      </c>
      <c r="BR71" s="35">
        <f t="shared" si="31"/>
        <v>0</v>
      </c>
      <c r="BS71" s="35">
        <f t="shared" si="32"/>
        <v>0</v>
      </c>
      <c r="BT71" s="43">
        <f t="shared" si="33"/>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34"/>
        <v>0</v>
      </c>
      <c r="BI72" s="35">
        <f t="shared" si="23"/>
        <v>0</v>
      </c>
      <c r="BJ72" s="35">
        <f t="shared" si="35"/>
        <v>0</v>
      </c>
      <c r="BK72" s="35">
        <f t="shared" si="24"/>
        <v>0</v>
      </c>
      <c r="BL72" s="35">
        <f t="shared" si="25"/>
        <v>0</v>
      </c>
      <c r="BM72" s="35">
        <f t="shared" si="26"/>
        <v>0</v>
      </c>
      <c r="BN72" s="35">
        <f t="shared" si="27"/>
        <v>0</v>
      </c>
      <c r="BO72" s="35">
        <f t="shared" si="28"/>
        <v>0</v>
      </c>
      <c r="BP72" s="35">
        <f t="shared" si="29"/>
        <v>0</v>
      </c>
      <c r="BQ72" s="35">
        <f t="shared" si="30"/>
        <v>0</v>
      </c>
      <c r="BR72" s="35">
        <f t="shared" si="31"/>
        <v>0</v>
      </c>
      <c r="BS72" s="35">
        <f t="shared" si="32"/>
        <v>0</v>
      </c>
      <c r="BT72" s="43">
        <f t="shared" si="33"/>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34"/>
        <v>0</v>
      </c>
      <c r="BI73" s="35">
        <f t="shared" si="23"/>
        <v>0</v>
      </c>
      <c r="BJ73" s="35">
        <f t="shared" si="35"/>
        <v>0</v>
      </c>
      <c r="BK73" s="35">
        <f t="shared" si="24"/>
        <v>0</v>
      </c>
      <c r="BL73" s="35">
        <f t="shared" si="25"/>
        <v>0</v>
      </c>
      <c r="BM73" s="35">
        <f t="shared" si="26"/>
        <v>0</v>
      </c>
      <c r="BN73" s="35">
        <f t="shared" si="27"/>
        <v>0</v>
      </c>
      <c r="BO73" s="35">
        <f t="shared" si="28"/>
        <v>0</v>
      </c>
      <c r="BP73" s="35">
        <f t="shared" si="29"/>
        <v>0</v>
      </c>
      <c r="BQ73" s="35">
        <f t="shared" si="30"/>
        <v>0</v>
      </c>
      <c r="BR73" s="35">
        <f t="shared" si="31"/>
        <v>0</v>
      </c>
      <c r="BS73" s="35">
        <f t="shared" si="32"/>
        <v>0</v>
      </c>
      <c r="BT73" s="43">
        <f t="shared" si="33"/>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34"/>
        <v>0</v>
      </c>
      <c r="BI74" s="35">
        <f t="shared" si="23"/>
        <v>0</v>
      </c>
      <c r="BJ74" s="35">
        <f t="shared" si="35"/>
        <v>0</v>
      </c>
      <c r="BK74" s="35">
        <f t="shared" si="24"/>
        <v>0</v>
      </c>
      <c r="BL74" s="35">
        <f t="shared" si="25"/>
        <v>0</v>
      </c>
      <c r="BM74" s="35">
        <f t="shared" si="26"/>
        <v>0</v>
      </c>
      <c r="BN74" s="35">
        <f t="shared" si="27"/>
        <v>0</v>
      </c>
      <c r="BO74" s="35">
        <f t="shared" si="28"/>
        <v>0</v>
      </c>
      <c r="BP74" s="35">
        <f t="shared" si="29"/>
        <v>0</v>
      </c>
      <c r="BQ74" s="35">
        <f t="shared" si="30"/>
        <v>0</v>
      </c>
      <c r="BR74" s="35">
        <f t="shared" si="31"/>
        <v>0</v>
      </c>
      <c r="BS74" s="35">
        <f t="shared" si="32"/>
        <v>0</v>
      </c>
      <c r="BT74" s="43">
        <f t="shared" si="33"/>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34"/>
        <v>0</v>
      </c>
      <c r="BI75" s="35">
        <f t="shared" si="23"/>
        <v>0</v>
      </c>
      <c r="BJ75" s="35">
        <f t="shared" si="35"/>
        <v>0</v>
      </c>
      <c r="BK75" s="35">
        <f t="shared" si="24"/>
        <v>0</v>
      </c>
      <c r="BL75" s="35">
        <f t="shared" si="25"/>
        <v>0</v>
      </c>
      <c r="BM75" s="35">
        <f t="shared" si="26"/>
        <v>0</v>
      </c>
      <c r="BN75" s="35">
        <f t="shared" si="27"/>
        <v>0</v>
      </c>
      <c r="BO75" s="35">
        <f t="shared" si="28"/>
        <v>0</v>
      </c>
      <c r="BP75" s="35">
        <f t="shared" si="29"/>
        <v>0</v>
      </c>
      <c r="BQ75" s="35">
        <f t="shared" si="30"/>
        <v>0</v>
      </c>
      <c r="BR75" s="35">
        <f t="shared" si="31"/>
        <v>0</v>
      </c>
      <c r="BS75" s="35">
        <f t="shared" si="32"/>
        <v>0</v>
      </c>
      <c r="BT75" s="43">
        <f t="shared" si="33"/>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34"/>
        <v>0</v>
      </c>
      <c r="BI76" s="35">
        <f t="shared" si="23"/>
        <v>0</v>
      </c>
      <c r="BJ76" s="35">
        <f t="shared" si="35"/>
        <v>0</v>
      </c>
      <c r="BK76" s="35">
        <f t="shared" si="24"/>
        <v>0</v>
      </c>
      <c r="BL76" s="35">
        <f t="shared" si="25"/>
        <v>0</v>
      </c>
      <c r="BM76" s="35">
        <f t="shared" si="26"/>
        <v>0</v>
      </c>
      <c r="BN76" s="35">
        <f t="shared" si="27"/>
        <v>0</v>
      </c>
      <c r="BO76" s="35">
        <f t="shared" si="28"/>
        <v>0</v>
      </c>
      <c r="BP76" s="35">
        <f t="shared" si="29"/>
        <v>0</v>
      </c>
      <c r="BQ76" s="35">
        <f t="shared" si="30"/>
        <v>0</v>
      </c>
      <c r="BR76" s="35">
        <f t="shared" si="31"/>
        <v>0</v>
      </c>
      <c r="BS76" s="35">
        <f t="shared" si="32"/>
        <v>0</v>
      </c>
      <c r="BT76" s="43">
        <f t="shared" si="33"/>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34"/>
        <v>0</v>
      </c>
      <c r="BI77" s="35">
        <f t="shared" si="23"/>
        <v>0</v>
      </c>
      <c r="BJ77" s="35">
        <f t="shared" si="35"/>
        <v>0</v>
      </c>
      <c r="BK77" s="35">
        <f t="shared" si="24"/>
        <v>0</v>
      </c>
      <c r="BL77" s="35">
        <f t="shared" si="25"/>
        <v>0</v>
      </c>
      <c r="BM77" s="35">
        <f t="shared" si="26"/>
        <v>0</v>
      </c>
      <c r="BN77" s="35">
        <f t="shared" si="27"/>
        <v>0</v>
      </c>
      <c r="BO77" s="35">
        <f t="shared" si="28"/>
        <v>0</v>
      </c>
      <c r="BP77" s="35">
        <f t="shared" si="29"/>
        <v>0</v>
      </c>
      <c r="BQ77" s="35">
        <f t="shared" si="30"/>
        <v>0</v>
      </c>
      <c r="BR77" s="35">
        <f t="shared" si="31"/>
        <v>0</v>
      </c>
      <c r="BS77" s="35">
        <f t="shared" si="32"/>
        <v>0</v>
      </c>
      <c r="BT77" s="43">
        <f t="shared" si="33"/>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34"/>
        <v>0</v>
      </c>
      <c r="BI78" s="35">
        <f t="shared" si="23"/>
        <v>0</v>
      </c>
      <c r="BJ78" s="35">
        <f t="shared" si="35"/>
        <v>0</v>
      </c>
      <c r="BK78" s="35">
        <f t="shared" si="24"/>
        <v>0</v>
      </c>
      <c r="BL78" s="35">
        <f t="shared" si="25"/>
        <v>0</v>
      </c>
      <c r="BM78" s="35">
        <f t="shared" si="26"/>
        <v>0</v>
      </c>
      <c r="BN78" s="35">
        <f t="shared" si="27"/>
        <v>0</v>
      </c>
      <c r="BO78" s="35">
        <f t="shared" si="28"/>
        <v>0</v>
      </c>
      <c r="BP78" s="35">
        <f t="shared" si="29"/>
        <v>0</v>
      </c>
      <c r="BQ78" s="35">
        <f t="shared" si="30"/>
        <v>0</v>
      </c>
      <c r="BR78" s="35">
        <f t="shared" si="31"/>
        <v>0</v>
      </c>
      <c r="BS78" s="35">
        <f t="shared" si="32"/>
        <v>0</v>
      </c>
      <c r="BT78" s="43">
        <f t="shared" si="33"/>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34"/>
        <v>0</v>
      </c>
      <c r="BI79" s="35">
        <f t="shared" si="23"/>
        <v>0</v>
      </c>
      <c r="BJ79" s="35">
        <f t="shared" si="35"/>
        <v>0</v>
      </c>
      <c r="BK79" s="35">
        <f t="shared" si="24"/>
        <v>0</v>
      </c>
      <c r="BL79" s="35">
        <f t="shared" si="25"/>
        <v>0</v>
      </c>
      <c r="BM79" s="35">
        <f t="shared" si="26"/>
        <v>0</v>
      </c>
      <c r="BN79" s="35">
        <f t="shared" si="27"/>
        <v>0</v>
      </c>
      <c r="BO79" s="35">
        <f t="shared" si="28"/>
        <v>0</v>
      </c>
      <c r="BP79" s="35">
        <f t="shared" si="29"/>
        <v>0</v>
      </c>
      <c r="BQ79" s="35">
        <f t="shared" si="30"/>
        <v>0</v>
      </c>
      <c r="BR79" s="35">
        <f t="shared" si="31"/>
        <v>0</v>
      </c>
      <c r="BS79" s="35">
        <f t="shared" si="32"/>
        <v>0</v>
      </c>
      <c r="BT79" s="43">
        <f t="shared" si="33"/>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34"/>
        <v>0</v>
      </c>
      <c r="BI80" s="35">
        <f t="shared" si="23"/>
        <v>0</v>
      </c>
      <c r="BJ80" s="35">
        <f t="shared" si="35"/>
        <v>0</v>
      </c>
      <c r="BK80" s="35">
        <f t="shared" si="24"/>
        <v>0</v>
      </c>
      <c r="BL80" s="35">
        <f t="shared" si="25"/>
        <v>0</v>
      </c>
      <c r="BM80" s="35">
        <f t="shared" si="26"/>
        <v>0</v>
      </c>
      <c r="BN80" s="35">
        <f t="shared" si="27"/>
        <v>0</v>
      </c>
      <c r="BO80" s="35">
        <f t="shared" si="28"/>
        <v>0</v>
      </c>
      <c r="BP80" s="35">
        <f t="shared" si="29"/>
        <v>0</v>
      </c>
      <c r="BQ80" s="35">
        <f t="shared" si="30"/>
        <v>0</v>
      </c>
      <c r="BR80" s="35">
        <f t="shared" si="31"/>
        <v>0</v>
      </c>
      <c r="BS80" s="35">
        <f t="shared" si="32"/>
        <v>0</v>
      </c>
      <c r="BT80" s="43">
        <f t="shared" si="33"/>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34"/>
        <v>0</v>
      </c>
      <c r="BI81" s="35">
        <f t="shared" si="23"/>
        <v>0</v>
      </c>
      <c r="BJ81" s="35">
        <f t="shared" si="35"/>
        <v>0</v>
      </c>
      <c r="BK81" s="35">
        <f t="shared" si="24"/>
        <v>0</v>
      </c>
      <c r="BL81" s="35">
        <f t="shared" si="25"/>
        <v>0</v>
      </c>
      <c r="BM81" s="35">
        <f t="shared" si="26"/>
        <v>0</v>
      </c>
      <c r="BN81" s="35">
        <f t="shared" si="27"/>
        <v>0</v>
      </c>
      <c r="BO81" s="35">
        <f t="shared" si="28"/>
        <v>0</v>
      </c>
      <c r="BP81" s="35">
        <f t="shared" si="29"/>
        <v>0</v>
      </c>
      <c r="BQ81" s="35">
        <f t="shared" si="30"/>
        <v>0</v>
      </c>
      <c r="BR81" s="35">
        <f t="shared" si="31"/>
        <v>0</v>
      </c>
      <c r="BS81" s="35">
        <f t="shared" si="32"/>
        <v>0</v>
      </c>
      <c r="BT81" s="43">
        <f t="shared" si="33"/>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34"/>
        <v>0</v>
      </c>
      <c r="BI82" s="35">
        <f t="shared" si="23"/>
        <v>0</v>
      </c>
      <c r="BJ82" s="35">
        <f t="shared" si="35"/>
        <v>0</v>
      </c>
      <c r="BK82" s="35">
        <f t="shared" si="24"/>
        <v>0</v>
      </c>
      <c r="BL82" s="35">
        <f t="shared" si="25"/>
        <v>0</v>
      </c>
      <c r="BM82" s="35">
        <f t="shared" si="26"/>
        <v>0</v>
      </c>
      <c r="BN82" s="35">
        <f t="shared" si="27"/>
        <v>0</v>
      </c>
      <c r="BO82" s="35">
        <f t="shared" si="28"/>
        <v>0</v>
      </c>
      <c r="BP82" s="35">
        <f t="shared" si="29"/>
        <v>0</v>
      </c>
      <c r="BQ82" s="35">
        <f t="shared" si="30"/>
        <v>0</v>
      </c>
      <c r="BR82" s="35">
        <f t="shared" si="31"/>
        <v>0</v>
      </c>
      <c r="BS82" s="35">
        <f t="shared" si="32"/>
        <v>0</v>
      </c>
      <c r="BT82" s="43">
        <f t="shared" si="33"/>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34"/>
        <v>0</v>
      </c>
      <c r="BI83" s="35">
        <f t="shared" si="23"/>
        <v>0</v>
      </c>
      <c r="BJ83" s="35">
        <f t="shared" si="35"/>
        <v>0</v>
      </c>
      <c r="BK83" s="35">
        <f t="shared" si="24"/>
        <v>0</v>
      </c>
      <c r="BL83" s="35">
        <f t="shared" si="25"/>
        <v>0</v>
      </c>
      <c r="BM83" s="35">
        <f t="shared" si="26"/>
        <v>0</v>
      </c>
      <c r="BN83" s="35">
        <f t="shared" si="27"/>
        <v>0</v>
      </c>
      <c r="BO83" s="35">
        <f t="shared" si="28"/>
        <v>0</v>
      </c>
      <c r="BP83" s="35">
        <f t="shared" si="29"/>
        <v>0</v>
      </c>
      <c r="BQ83" s="35">
        <f t="shared" si="30"/>
        <v>0</v>
      </c>
      <c r="BR83" s="35">
        <f t="shared" si="31"/>
        <v>0</v>
      </c>
      <c r="BS83" s="35">
        <f t="shared" si="32"/>
        <v>0</v>
      </c>
      <c r="BT83" s="43">
        <f t="shared" si="33"/>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34"/>
        <v>0</v>
      </c>
      <c r="BI84" s="35">
        <f t="shared" si="23"/>
        <v>0</v>
      </c>
      <c r="BJ84" s="35">
        <f t="shared" si="35"/>
        <v>0</v>
      </c>
      <c r="BK84" s="35">
        <f t="shared" si="24"/>
        <v>0</v>
      </c>
      <c r="BL84" s="35">
        <f t="shared" si="25"/>
        <v>0</v>
      </c>
      <c r="BM84" s="35">
        <f t="shared" si="26"/>
        <v>0</v>
      </c>
      <c r="BN84" s="35">
        <f t="shared" si="27"/>
        <v>0</v>
      </c>
      <c r="BO84" s="35">
        <f t="shared" si="28"/>
        <v>0</v>
      </c>
      <c r="BP84" s="35">
        <f t="shared" si="29"/>
        <v>0</v>
      </c>
      <c r="BQ84" s="35">
        <f t="shared" si="30"/>
        <v>0</v>
      </c>
      <c r="BR84" s="35">
        <f t="shared" si="31"/>
        <v>0</v>
      </c>
      <c r="BS84" s="35">
        <f t="shared" si="32"/>
        <v>0</v>
      </c>
      <c r="BT84" s="43">
        <f t="shared" si="33"/>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34"/>
        <v>0</v>
      </c>
      <c r="BI85" s="35">
        <f t="shared" si="23"/>
        <v>0</v>
      </c>
      <c r="BJ85" s="35">
        <f t="shared" si="35"/>
        <v>0</v>
      </c>
      <c r="BK85" s="35">
        <f t="shared" si="24"/>
        <v>0</v>
      </c>
      <c r="BL85" s="35">
        <f t="shared" si="25"/>
        <v>0</v>
      </c>
      <c r="BM85" s="35">
        <f t="shared" si="26"/>
        <v>0</v>
      </c>
      <c r="BN85" s="35">
        <f t="shared" si="27"/>
        <v>0</v>
      </c>
      <c r="BO85" s="35">
        <f t="shared" si="28"/>
        <v>0</v>
      </c>
      <c r="BP85" s="35">
        <f t="shared" si="29"/>
        <v>0</v>
      </c>
      <c r="BQ85" s="35">
        <f t="shared" si="30"/>
        <v>0</v>
      </c>
      <c r="BR85" s="35">
        <f t="shared" si="31"/>
        <v>0</v>
      </c>
      <c r="BS85" s="35">
        <f t="shared" si="32"/>
        <v>0</v>
      </c>
      <c r="BT85" s="43">
        <f t="shared" si="33"/>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34"/>
        <v>0</v>
      </c>
      <c r="BI86" s="35">
        <f t="shared" si="23"/>
        <v>0</v>
      </c>
      <c r="BJ86" s="35">
        <f t="shared" si="35"/>
        <v>0</v>
      </c>
      <c r="BK86" s="35">
        <f t="shared" si="24"/>
        <v>0</v>
      </c>
      <c r="BL86" s="35">
        <f t="shared" si="25"/>
        <v>0</v>
      </c>
      <c r="BM86" s="35">
        <f t="shared" si="26"/>
        <v>0</v>
      </c>
      <c r="BN86" s="35">
        <f t="shared" si="27"/>
        <v>0</v>
      </c>
      <c r="BO86" s="35">
        <f t="shared" si="28"/>
        <v>0</v>
      </c>
      <c r="BP86" s="35">
        <f t="shared" si="29"/>
        <v>0</v>
      </c>
      <c r="BQ86" s="35">
        <f t="shared" si="30"/>
        <v>0</v>
      </c>
      <c r="BR86" s="35">
        <f t="shared" si="31"/>
        <v>0</v>
      </c>
      <c r="BS86" s="35">
        <f t="shared" si="32"/>
        <v>0</v>
      </c>
      <c r="BT86" s="43">
        <f t="shared" si="33"/>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34"/>
        <v>0</v>
      </c>
      <c r="BI87" s="35">
        <f t="shared" si="23"/>
        <v>0</v>
      </c>
      <c r="BJ87" s="35">
        <f t="shared" si="35"/>
        <v>0</v>
      </c>
      <c r="BK87" s="35">
        <f t="shared" si="24"/>
        <v>0</v>
      </c>
      <c r="BL87" s="35">
        <f t="shared" si="25"/>
        <v>0</v>
      </c>
      <c r="BM87" s="35">
        <f t="shared" si="26"/>
        <v>0</v>
      </c>
      <c r="BN87" s="35">
        <f t="shared" si="27"/>
        <v>0</v>
      </c>
      <c r="BO87" s="35">
        <f t="shared" si="28"/>
        <v>0</v>
      </c>
      <c r="BP87" s="35">
        <f t="shared" si="29"/>
        <v>0</v>
      </c>
      <c r="BQ87" s="35">
        <f t="shared" si="30"/>
        <v>0</v>
      </c>
      <c r="BR87" s="35">
        <f t="shared" si="31"/>
        <v>0</v>
      </c>
      <c r="BS87" s="35">
        <f t="shared" si="32"/>
        <v>0</v>
      </c>
      <c r="BT87" s="43">
        <f t="shared" si="33"/>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34"/>
        <v>0</v>
      </c>
      <c r="BI88" s="35">
        <f t="shared" si="23"/>
        <v>0</v>
      </c>
      <c r="BJ88" s="35">
        <f t="shared" si="35"/>
        <v>0</v>
      </c>
      <c r="BK88" s="35">
        <f t="shared" si="24"/>
        <v>0</v>
      </c>
      <c r="BL88" s="35">
        <f t="shared" si="25"/>
        <v>0</v>
      </c>
      <c r="BM88" s="35">
        <f t="shared" si="26"/>
        <v>0</v>
      </c>
      <c r="BN88" s="35">
        <f t="shared" si="27"/>
        <v>0</v>
      </c>
      <c r="BO88" s="35">
        <f t="shared" si="28"/>
        <v>0</v>
      </c>
      <c r="BP88" s="35">
        <f t="shared" si="29"/>
        <v>0</v>
      </c>
      <c r="BQ88" s="35">
        <f t="shared" si="30"/>
        <v>0</v>
      </c>
      <c r="BR88" s="35">
        <f t="shared" si="31"/>
        <v>0</v>
      </c>
      <c r="BS88" s="35">
        <f t="shared" si="32"/>
        <v>0</v>
      </c>
      <c r="BT88" s="43">
        <f t="shared" si="33"/>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34"/>
        <v>0</v>
      </c>
      <c r="BI89" s="35">
        <f t="shared" si="23"/>
        <v>0</v>
      </c>
      <c r="BJ89" s="35">
        <f t="shared" si="35"/>
        <v>0</v>
      </c>
      <c r="BK89" s="35">
        <f t="shared" si="24"/>
        <v>0</v>
      </c>
      <c r="BL89" s="35">
        <f t="shared" si="25"/>
        <v>0</v>
      </c>
      <c r="BM89" s="35">
        <f t="shared" si="26"/>
        <v>0</v>
      </c>
      <c r="BN89" s="35">
        <f t="shared" si="27"/>
        <v>0</v>
      </c>
      <c r="BO89" s="35">
        <f t="shared" si="28"/>
        <v>0</v>
      </c>
      <c r="BP89" s="35">
        <f t="shared" si="29"/>
        <v>0</v>
      </c>
      <c r="BQ89" s="35">
        <f t="shared" si="30"/>
        <v>0</v>
      </c>
      <c r="BR89" s="35">
        <f t="shared" si="31"/>
        <v>0</v>
      </c>
      <c r="BS89" s="35">
        <f t="shared" si="32"/>
        <v>0</v>
      </c>
      <c r="BT89" s="43">
        <f t="shared" si="33"/>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34"/>
        <v>0</v>
      </c>
      <c r="BI90" s="35">
        <f t="shared" si="23"/>
        <v>0</v>
      </c>
      <c r="BJ90" s="35">
        <f t="shared" si="35"/>
        <v>0</v>
      </c>
      <c r="BK90" s="35">
        <f t="shared" si="24"/>
        <v>0</v>
      </c>
      <c r="BL90" s="35">
        <f t="shared" si="25"/>
        <v>0</v>
      </c>
      <c r="BM90" s="35">
        <f t="shared" si="26"/>
        <v>0</v>
      </c>
      <c r="BN90" s="35">
        <f t="shared" si="27"/>
        <v>0</v>
      </c>
      <c r="BO90" s="35">
        <f t="shared" si="28"/>
        <v>0</v>
      </c>
      <c r="BP90" s="35">
        <f t="shared" si="29"/>
        <v>0</v>
      </c>
      <c r="BQ90" s="35">
        <f t="shared" si="30"/>
        <v>0</v>
      </c>
      <c r="BR90" s="35">
        <f t="shared" si="31"/>
        <v>0</v>
      </c>
      <c r="BS90" s="35">
        <f t="shared" si="32"/>
        <v>0</v>
      </c>
      <c r="BT90" s="43">
        <f t="shared" si="33"/>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34"/>
        <v>0</v>
      </c>
      <c r="BI91" s="35">
        <f t="shared" si="23"/>
        <v>0</v>
      </c>
      <c r="BJ91" s="35">
        <f t="shared" si="35"/>
        <v>0</v>
      </c>
      <c r="BK91" s="35">
        <f t="shared" si="24"/>
        <v>0</v>
      </c>
      <c r="BL91" s="35">
        <f t="shared" si="25"/>
        <v>0</v>
      </c>
      <c r="BM91" s="35">
        <f t="shared" si="26"/>
        <v>0</v>
      </c>
      <c r="BN91" s="35">
        <f t="shared" si="27"/>
        <v>0</v>
      </c>
      <c r="BO91" s="35">
        <f t="shared" si="28"/>
        <v>0</v>
      </c>
      <c r="BP91" s="35">
        <f t="shared" si="29"/>
        <v>0</v>
      </c>
      <c r="BQ91" s="35">
        <f t="shared" si="30"/>
        <v>0</v>
      </c>
      <c r="BR91" s="35">
        <f t="shared" si="31"/>
        <v>0</v>
      </c>
      <c r="BS91" s="35">
        <f t="shared" si="32"/>
        <v>0</v>
      </c>
      <c r="BT91" s="43">
        <f t="shared" si="33"/>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34"/>
        <v>0</v>
      </c>
      <c r="BI92" s="35">
        <f t="shared" si="23"/>
        <v>0</v>
      </c>
      <c r="BJ92" s="35">
        <f t="shared" si="35"/>
        <v>0</v>
      </c>
      <c r="BK92" s="35">
        <f t="shared" si="24"/>
        <v>0</v>
      </c>
      <c r="BL92" s="35">
        <f t="shared" si="25"/>
        <v>0</v>
      </c>
      <c r="BM92" s="35">
        <f t="shared" si="26"/>
        <v>0</v>
      </c>
      <c r="BN92" s="35">
        <f t="shared" si="27"/>
        <v>0</v>
      </c>
      <c r="BO92" s="35">
        <f t="shared" si="28"/>
        <v>0</v>
      </c>
      <c r="BP92" s="35">
        <f t="shared" si="29"/>
        <v>0</v>
      </c>
      <c r="BQ92" s="35">
        <f t="shared" si="30"/>
        <v>0</v>
      </c>
      <c r="BR92" s="35">
        <f t="shared" si="31"/>
        <v>0</v>
      </c>
      <c r="BS92" s="35">
        <f t="shared" si="32"/>
        <v>0</v>
      </c>
      <c r="BT92" s="43">
        <f t="shared" si="33"/>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34"/>
        <v>0</v>
      </c>
      <c r="BI93" s="35">
        <f t="shared" si="23"/>
        <v>0</v>
      </c>
      <c r="BJ93" s="35">
        <f t="shared" si="35"/>
        <v>0</v>
      </c>
      <c r="BK93" s="35">
        <f t="shared" si="24"/>
        <v>0</v>
      </c>
      <c r="BL93" s="35">
        <f t="shared" si="25"/>
        <v>0</v>
      </c>
      <c r="BM93" s="35">
        <f t="shared" si="26"/>
        <v>0</v>
      </c>
      <c r="BN93" s="35">
        <f t="shared" si="27"/>
        <v>0</v>
      </c>
      <c r="BO93" s="35">
        <f t="shared" si="28"/>
        <v>0</v>
      </c>
      <c r="BP93" s="35">
        <f t="shared" si="29"/>
        <v>0</v>
      </c>
      <c r="BQ93" s="35">
        <f t="shared" si="30"/>
        <v>0</v>
      </c>
      <c r="BR93" s="35">
        <f t="shared" si="31"/>
        <v>0</v>
      </c>
      <c r="BS93" s="35">
        <f t="shared" si="32"/>
        <v>0</v>
      </c>
      <c r="BT93" s="43">
        <f t="shared" si="33"/>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34"/>
        <v>0</v>
      </c>
      <c r="BI94" s="35">
        <f t="shared" si="23"/>
        <v>0</v>
      </c>
      <c r="BJ94" s="35">
        <f t="shared" si="35"/>
        <v>0</v>
      </c>
      <c r="BK94" s="35">
        <f t="shared" si="24"/>
        <v>0</v>
      </c>
      <c r="BL94" s="35">
        <f t="shared" si="25"/>
        <v>0</v>
      </c>
      <c r="BM94" s="35">
        <f t="shared" si="26"/>
        <v>0</v>
      </c>
      <c r="BN94" s="35">
        <f t="shared" si="27"/>
        <v>0</v>
      </c>
      <c r="BO94" s="35">
        <f t="shared" si="28"/>
        <v>0</v>
      </c>
      <c r="BP94" s="35">
        <f t="shared" si="29"/>
        <v>0</v>
      </c>
      <c r="BQ94" s="35">
        <f t="shared" si="30"/>
        <v>0</v>
      </c>
      <c r="BR94" s="35">
        <f t="shared" si="31"/>
        <v>0</v>
      </c>
      <c r="BS94" s="35">
        <f t="shared" si="32"/>
        <v>0</v>
      </c>
      <c r="BT94" s="43">
        <f t="shared" si="33"/>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34"/>
        <v>0</v>
      </c>
      <c r="BI95" s="35">
        <f t="shared" si="23"/>
        <v>0</v>
      </c>
      <c r="BJ95" s="35">
        <f t="shared" si="35"/>
        <v>0</v>
      </c>
      <c r="BK95" s="35">
        <f t="shared" si="24"/>
        <v>0</v>
      </c>
      <c r="BL95" s="35">
        <f t="shared" si="25"/>
        <v>0</v>
      </c>
      <c r="BM95" s="35">
        <f t="shared" si="26"/>
        <v>0</v>
      </c>
      <c r="BN95" s="35">
        <f t="shared" si="27"/>
        <v>0</v>
      </c>
      <c r="BO95" s="35">
        <f t="shared" si="28"/>
        <v>0</v>
      </c>
      <c r="BP95" s="35">
        <f t="shared" si="29"/>
        <v>0</v>
      </c>
      <c r="BQ95" s="35">
        <f t="shared" si="30"/>
        <v>0</v>
      </c>
      <c r="BR95" s="35">
        <f t="shared" si="31"/>
        <v>0</v>
      </c>
      <c r="BS95" s="35">
        <f t="shared" si="32"/>
        <v>0</v>
      </c>
      <c r="BT95" s="43">
        <f t="shared" si="33"/>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34"/>
        <v>0</v>
      </c>
      <c r="BI96" s="35">
        <f t="shared" si="23"/>
        <v>0</v>
      </c>
      <c r="BJ96" s="35">
        <f t="shared" si="35"/>
        <v>0</v>
      </c>
      <c r="BK96" s="35">
        <f t="shared" si="24"/>
        <v>0</v>
      </c>
      <c r="BL96" s="35">
        <f t="shared" si="25"/>
        <v>0</v>
      </c>
      <c r="BM96" s="35">
        <f t="shared" si="26"/>
        <v>0</v>
      </c>
      <c r="BN96" s="35">
        <f t="shared" si="27"/>
        <v>0</v>
      </c>
      <c r="BO96" s="35">
        <f t="shared" si="28"/>
        <v>0</v>
      </c>
      <c r="BP96" s="35">
        <f t="shared" si="29"/>
        <v>0</v>
      </c>
      <c r="BQ96" s="35">
        <f t="shared" si="30"/>
        <v>0</v>
      </c>
      <c r="BR96" s="35">
        <f t="shared" si="31"/>
        <v>0</v>
      </c>
      <c r="BS96" s="35">
        <f t="shared" si="32"/>
        <v>0</v>
      </c>
      <c r="BT96" s="43">
        <f t="shared" si="33"/>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34"/>
        <v>0</v>
      </c>
      <c r="BI97" s="35">
        <f t="shared" si="23"/>
        <v>0</v>
      </c>
      <c r="BJ97" s="35">
        <f t="shared" si="35"/>
        <v>0</v>
      </c>
      <c r="BK97" s="35">
        <f t="shared" si="24"/>
        <v>0</v>
      </c>
      <c r="BL97" s="35">
        <f t="shared" si="25"/>
        <v>0</v>
      </c>
      <c r="BM97" s="35">
        <f t="shared" si="26"/>
        <v>0</v>
      </c>
      <c r="BN97" s="35">
        <f t="shared" si="27"/>
        <v>0</v>
      </c>
      <c r="BO97" s="35">
        <f t="shared" si="28"/>
        <v>0</v>
      </c>
      <c r="BP97" s="35">
        <f t="shared" si="29"/>
        <v>0</v>
      </c>
      <c r="BQ97" s="35">
        <f t="shared" si="30"/>
        <v>0</v>
      </c>
      <c r="BR97" s="35">
        <f t="shared" si="31"/>
        <v>0</v>
      </c>
      <c r="BS97" s="35">
        <f t="shared" si="32"/>
        <v>0</v>
      </c>
      <c r="BT97" s="43">
        <f t="shared" si="33"/>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34"/>
        <v>0</v>
      </c>
      <c r="BI98" s="35">
        <f t="shared" si="23"/>
        <v>0</v>
      </c>
      <c r="BJ98" s="35">
        <f t="shared" si="35"/>
        <v>0</v>
      </c>
      <c r="BK98" s="35">
        <f t="shared" si="24"/>
        <v>0</v>
      </c>
      <c r="BL98" s="35">
        <f t="shared" si="25"/>
        <v>0</v>
      </c>
      <c r="BM98" s="35">
        <f t="shared" si="26"/>
        <v>0</v>
      </c>
      <c r="BN98" s="35">
        <f t="shared" si="27"/>
        <v>0</v>
      </c>
      <c r="BO98" s="35">
        <f t="shared" si="28"/>
        <v>0</v>
      </c>
      <c r="BP98" s="35">
        <f t="shared" si="29"/>
        <v>0</v>
      </c>
      <c r="BQ98" s="35">
        <f t="shared" si="30"/>
        <v>0</v>
      </c>
      <c r="BR98" s="35">
        <f t="shared" si="31"/>
        <v>0</v>
      </c>
      <c r="BS98" s="35">
        <f t="shared" si="32"/>
        <v>0</v>
      </c>
      <c r="BT98" s="43">
        <f t="shared" si="33"/>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34"/>
        <v>0</v>
      </c>
      <c r="BI99" s="35">
        <f t="shared" si="23"/>
        <v>0</v>
      </c>
      <c r="BJ99" s="35">
        <f t="shared" si="35"/>
        <v>0</v>
      </c>
      <c r="BK99" s="35">
        <f t="shared" si="24"/>
        <v>0</v>
      </c>
      <c r="BL99" s="35">
        <f t="shared" si="25"/>
        <v>0</v>
      </c>
      <c r="BM99" s="35">
        <f t="shared" si="26"/>
        <v>0</v>
      </c>
      <c r="BN99" s="35">
        <f t="shared" si="27"/>
        <v>0</v>
      </c>
      <c r="BO99" s="35">
        <f t="shared" si="28"/>
        <v>0</v>
      </c>
      <c r="BP99" s="35">
        <f t="shared" si="29"/>
        <v>0</v>
      </c>
      <c r="BQ99" s="35">
        <f t="shared" si="30"/>
        <v>0</v>
      </c>
      <c r="BR99" s="35">
        <f t="shared" si="31"/>
        <v>0</v>
      </c>
      <c r="BS99" s="35">
        <f t="shared" si="32"/>
        <v>0</v>
      </c>
      <c r="BT99" s="43">
        <f t="shared" si="33"/>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34"/>
        <v>0</v>
      </c>
      <c r="BI100" s="35">
        <f t="shared" si="23"/>
        <v>0</v>
      </c>
      <c r="BJ100" s="35">
        <f t="shared" si="35"/>
        <v>0</v>
      </c>
      <c r="BK100" s="35">
        <f t="shared" si="24"/>
        <v>0</v>
      </c>
      <c r="BL100" s="35">
        <f t="shared" si="25"/>
        <v>0</v>
      </c>
      <c r="BM100" s="35">
        <f t="shared" si="26"/>
        <v>0</v>
      </c>
      <c r="BN100" s="35">
        <f t="shared" si="27"/>
        <v>0</v>
      </c>
      <c r="BO100" s="35">
        <f t="shared" si="28"/>
        <v>0</v>
      </c>
      <c r="BP100" s="35">
        <f t="shared" si="29"/>
        <v>0</v>
      </c>
      <c r="BQ100" s="35">
        <f t="shared" si="30"/>
        <v>0</v>
      </c>
      <c r="BR100" s="35">
        <f t="shared" si="31"/>
        <v>0</v>
      </c>
      <c r="BS100" s="35">
        <f t="shared" si="32"/>
        <v>0</v>
      </c>
      <c r="BT100" s="43">
        <f t="shared" si="33"/>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34"/>
        <v>0</v>
      </c>
      <c r="BI101" s="35">
        <f t="shared" si="23"/>
        <v>0</v>
      </c>
      <c r="BJ101" s="35">
        <f t="shared" si="35"/>
        <v>0</v>
      </c>
      <c r="BK101" s="35">
        <f t="shared" si="24"/>
        <v>0</v>
      </c>
      <c r="BL101" s="35">
        <f t="shared" si="25"/>
        <v>0</v>
      </c>
      <c r="BM101" s="35">
        <f t="shared" si="26"/>
        <v>0</v>
      </c>
      <c r="BN101" s="35">
        <f t="shared" si="27"/>
        <v>0</v>
      </c>
      <c r="BO101" s="35">
        <f t="shared" si="28"/>
        <v>0</v>
      </c>
      <c r="BP101" s="35">
        <f t="shared" si="29"/>
        <v>0</v>
      </c>
      <c r="BQ101" s="35">
        <f t="shared" si="30"/>
        <v>0</v>
      </c>
      <c r="BR101" s="35">
        <f t="shared" si="31"/>
        <v>0</v>
      </c>
      <c r="BS101" s="35">
        <f t="shared" si="32"/>
        <v>0</v>
      </c>
      <c r="BT101" s="43">
        <f t="shared" si="33"/>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34"/>
        <v>0</v>
      </c>
      <c r="BI102" s="35">
        <f t="shared" si="23"/>
        <v>0</v>
      </c>
      <c r="BJ102" s="35">
        <f t="shared" si="35"/>
        <v>0</v>
      </c>
      <c r="BK102" s="35">
        <f t="shared" si="24"/>
        <v>0</v>
      </c>
      <c r="BL102" s="35">
        <f t="shared" si="25"/>
        <v>0</v>
      </c>
      <c r="BM102" s="35">
        <f t="shared" si="26"/>
        <v>0</v>
      </c>
      <c r="BN102" s="35">
        <f t="shared" si="27"/>
        <v>0</v>
      </c>
      <c r="BO102" s="35">
        <f t="shared" si="28"/>
        <v>0</v>
      </c>
      <c r="BP102" s="35">
        <f t="shared" si="29"/>
        <v>0</v>
      </c>
      <c r="BQ102" s="35">
        <f t="shared" si="30"/>
        <v>0</v>
      </c>
      <c r="BR102" s="35">
        <f t="shared" si="31"/>
        <v>0</v>
      </c>
      <c r="BS102" s="35">
        <f t="shared" si="32"/>
        <v>0</v>
      </c>
      <c r="BT102" s="43">
        <f t="shared" si="33"/>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34"/>
        <v>0</v>
      </c>
      <c r="BI103" s="35">
        <f t="shared" si="23"/>
        <v>0</v>
      </c>
      <c r="BJ103" s="35">
        <f t="shared" si="35"/>
        <v>0</v>
      </c>
      <c r="BK103" s="35">
        <f t="shared" si="24"/>
        <v>0</v>
      </c>
      <c r="BL103" s="35">
        <f t="shared" si="25"/>
        <v>0</v>
      </c>
      <c r="BM103" s="35">
        <f t="shared" si="26"/>
        <v>0</v>
      </c>
      <c r="BN103" s="35">
        <f t="shared" si="27"/>
        <v>0</v>
      </c>
      <c r="BO103" s="35">
        <f t="shared" si="28"/>
        <v>0</v>
      </c>
      <c r="BP103" s="35">
        <f t="shared" si="29"/>
        <v>0</v>
      </c>
      <c r="BQ103" s="35">
        <f t="shared" si="30"/>
        <v>0</v>
      </c>
      <c r="BR103" s="35">
        <f t="shared" si="31"/>
        <v>0</v>
      </c>
      <c r="BS103" s="35">
        <f t="shared" si="32"/>
        <v>0</v>
      </c>
      <c r="BT103" s="43">
        <f t="shared" si="33"/>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34"/>
        <v>0</v>
      </c>
      <c r="BI104" s="35">
        <f t="shared" si="23"/>
        <v>0</v>
      </c>
      <c r="BJ104" s="35">
        <f t="shared" si="35"/>
        <v>0</v>
      </c>
      <c r="BK104" s="35">
        <f t="shared" si="24"/>
        <v>0</v>
      </c>
      <c r="BL104" s="35">
        <f t="shared" si="25"/>
        <v>0</v>
      </c>
      <c r="BM104" s="35">
        <f t="shared" si="26"/>
        <v>0</v>
      </c>
      <c r="BN104" s="35">
        <f t="shared" si="27"/>
        <v>0</v>
      </c>
      <c r="BO104" s="35">
        <f t="shared" si="28"/>
        <v>0</v>
      </c>
      <c r="BP104" s="35">
        <f t="shared" si="29"/>
        <v>0</v>
      </c>
      <c r="BQ104" s="35">
        <f t="shared" si="30"/>
        <v>0</v>
      </c>
      <c r="BR104" s="35">
        <f t="shared" si="31"/>
        <v>0</v>
      </c>
      <c r="BS104" s="35">
        <f t="shared" si="32"/>
        <v>0</v>
      </c>
      <c r="BT104" s="43">
        <f t="shared" si="33"/>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34"/>
        <v>0</v>
      </c>
      <c r="BI105" s="35">
        <f t="shared" si="23"/>
        <v>0</v>
      </c>
      <c r="BJ105" s="35">
        <f t="shared" si="35"/>
        <v>0</v>
      </c>
      <c r="BK105" s="35">
        <f t="shared" si="24"/>
        <v>0</v>
      </c>
      <c r="BL105" s="35">
        <f t="shared" si="25"/>
        <v>0</v>
      </c>
      <c r="BM105" s="35">
        <f t="shared" si="26"/>
        <v>0</v>
      </c>
      <c r="BN105" s="35">
        <f t="shared" si="27"/>
        <v>0</v>
      </c>
      <c r="BO105" s="35">
        <f t="shared" si="28"/>
        <v>0</v>
      </c>
      <c r="BP105" s="35">
        <f t="shared" si="29"/>
        <v>0</v>
      </c>
      <c r="BQ105" s="35">
        <f t="shared" si="30"/>
        <v>0</v>
      </c>
      <c r="BR105" s="35">
        <f t="shared" si="31"/>
        <v>0</v>
      </c>
      <c r="BS105" s="35">
        <f t="shared" si="32"/>
        <v>0</v>
      </c>
      <c r="BT105" s="43">
        <f t="shared" si="33"/>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34"/>
        <v>0</v>
      </c>
      <c r="BI106" s="35">
        <f t="shared" si="23"/>
        <v>0</v>
      </c>
      <c r="BJ106" s="35">
        <f t="shared" si="35"/>
        <v>0</v>
      </c>
      <c r="BK106" s="35">
        <f t="shared" si="24"/>
        <v>0</v>
      </c>
      <c r="BL106" s="35">
        <f t="shared" si="25"/>
        <v>0</v>
      </c>
      <c r="BM106" s="35">
        <f t="shared" si="26"/>
        <v>0</v>
      </c>
      <c r="BN106" s="35">
        <f t="shared" si="27"/>
        <v>0</v>
      </c>
      <c r="BO106" s="35">
        <f t="shared" si="28"/>
        <v>0</v>
      </c>
      <c r="BP106" s="35">
        <f t="shared" si="29"/>
        <v>0</v>
      </c>
      <c r="BQ106" s="35">
        <f t="shared" si="30"/>
        <v>0</v>
      </c>
      <c r="BR106" s="35">
        <f t="shared" si="31"/>
        <v>0</v>
      </c>
      <c r="BS106" s="35">
        <f t="shared" si="32"/>
        <v>0</v>
      </c>
      <c r="BT106" s="43">
        <f t="shared" si="33"/>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34"/>
        <v>0</v>
      </c>
      <c r="BI107" s="35">
        <f t="shared" si="23"/>
        <v>0</v>
      </c>
      <c r="BJ107" s="35">
        <f t="shared" si="35"/>
        <v>0</v>
      </c>
      <c r="BK107" s="35">
        <f t="shared" si="24"/>
        <v>0</v>
      </c>
      <c r="BL107" s="35">
        <f t="shared" si="25"/>
        <v>0</v>
      </c>
      <c r="BM107" s="35">
        <f t="shared" si="26"/>
        <v>0</v>
      </c>
      <c r="BN107" s="35">
        <f t="shared" si="27"/>
        <v>0</v>
      </c>
      <c r="BO107" s="35">
        <f t="shared" si="28"/>
        <v>0</v>
      </c>
      <c r="BP107" s="35">
        <f t="shared" si="29"/>
        <v>0</v>
      </c>
      <c r="BQ107" s="35">
        <f t="shared" si="30"/>
        <v>0</v>
      </c>
      <c r="BR107" s="35">
        <f t="shared" si="31"/>
        <v>0</v>
      </c>
      <c r="BS107" s="35">
        <f t="shared" si="32"/>
        <v>0</v>
      </c>
      <c r="BT107" s="43">
        <f t="shared" si="33"/>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34"/>
        <v>0</v>
      </c>
      <c r="BI108" s="35">
        <f t="shared" si="23"/>
        <v>0</v>
      </c>
      <c r="BJ108" s="35">
        <f t="shared" si="35"/>
        <v>0</v>
      </c>
      <c r="BK108" s="35">
        <f t="shared" si="24"/>
        <v>0</v>
      </c>
      <c r="BL108" s="35">
        <f t="shared" si="25"/>
        <v>0</v>
      </c>
      <c r="BM108" s="35">
        <f t="shared" si="26"/>
        <v>0</v>
      </c>
      <c r="BN108" s="35">
        <f t="shared" si="27"/>
        <v>0</v>
      </c>
      <c r="BO108" s="35">
        <f t="shared" si="28"/>
        <v>0</v>
      </c>
      <c r="BP108" s="35">
        <f t="shared" si="29"/>
        <v>0</v>
      </c>
      <c r="BQ108" s="35">
        <f t="shared" si="30"/>
        <v>0</v>
      </c>
      <c r="BR108" s="35">
        <f t="shared" si="31"/>
        <v>0</v>
      </c>
      <c r="BS108" s="35">
        <f t="shared" si="32"/>
        <v>0</v>
      </c>
      <c r="BT108" s="43">
        <f t="shared" si="33"/>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34"/>
        <v>0</v>
      </c>
      <c r="BI109" s="35">
        <f t="shared" si="23"/>
        <v>0</v>
      </c>
      <c r="BJ109" s="35">
        <f t="shared" si="35"/>
        <v>0</v>
      </c>
      <c r="BK109" s="35">
        <f t="shared" si="24"/>
        <v>0</v>
      </c>
      <c r="BL109" s="35">
        <f t="shared" si="25"/>
        <v>0</v>
      </c>
      <c r="BM109" s="35">
        <f t="shared" si="26"/>
        <v>0</v>
      </c>
      <c r="BN109" s="35">
        <f t="shared" si="27"/>
        <v>0</v>
      </c>
      <c r="BO109" s="35">
        <f t="shared" si="28"/>
        <v>0</v>
      </c>
      <c r="BP109" s="35">
        <f t="shared" si="29"/>
        <v>0</v>
      </c>
      <c r="BQ109" s="35">
        <f t="shared" si="30"/>
        <v>0</v>
      </c>
      <c r="BR109" s="35">
        <f t="shared" si="31"/>
        <v>0</v>
      </c>
      <c r="BS109" s="35">
        <f t="shared" si="32"/>
        <v>0</v>
      </c>
      <c r="BT109" s="43">
        <f t="shared" si="33"/>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7"/>
      <c r="C1" s="1387"/>
      <c r="D1" s="1387"/>
      <c r="E1" s="1387"/>
      <c r="F1" s="1387"/>
      <c r="G1" s="1387"/>
      <c r="H1" s="1387"/>
      <c r="I1" s="1387"/>
      <c r="J1" s="1387"/>
      <c r="K1" s="1387"/>
      <c r="L1" s="1387"/>
      <c r="M1" s="1387"/>
      <c r="N1" s="1387"/>
      <c r="O1" s="1387"/>
      <c r="P1" s="1387"/>
    </row>
    <row r="2" spans="1:16" ht="15">
      <c r="A2" s="3080" t="s">
        <v>1935</v>
      </c>
      <c r="B2" s="3080"/>
      <c r="C2" s="3080"/>
      <c r="D2" s="963" t="s">
        <v>1911</v>
      </c>
      <c r="E2" s="2218" t="s">
        <v>1912</v>
      </c>
      <c r="F2" s="1387"/>
      <c r="G2" s="2219"/>
      <c r="H2" s="2220"/>
      <c r="I2" s="2221" t="s">
        <v>1936</v>
      </c>
      <c r="J2" s="1387"/>
      <c r="K2" s="1387"/>
      <c r="L2" s="1387"/>
      <c r="M2" s="1387"/>
      <c r="N2" s="1422"/>
      <c r="O2" s="1387"/>
      <c r="P2" s="1387"/>
    </row>
    <row r="3" spans="1:16" ht="15.75" thickBot="1">
      <c r="A3" s="3081" t="s">
        <v>1909</v>
      </c>
      <c r="B3" s="3081"/>
      <c r="C3" s="3081"/>
      <c r="D3" s="46">
        <f>'数据-基础表'!AY6</f>
        <v>14226.66</v>
      </c>
      <c r="E3" s="46">
        <f>'数据-基础表'!AZ5</f>
        <v>63702.12999999999</v>
      </c>
      <c r="F3" s="1387"/>
      <c r="G3" s="1394"/>
      <c r="H3" s="1243" t="s">
        <v>1910</v>
      </c>
      <c r="I3" s="55">
        <f>ROUND('数据-基础表'!B3/'数据-基础表'!A3,2)</f>
        <v>4.4800000000000004</v>
      </c>
      <c r="J3" s="1387"/>
      <c r="K3" s="1387"/>
      <c r="L3" s="1387"/>
      <c r="M3" s="1387"/>
      <c r="N3" s="1422"/>
      <c r="O3" s="1387"/>
      <c r="P3" s="1387"/>
    </row>
    <row r="4" spans="1:16" ht="15">
      <c r="A4" s="3082"/>
      <c r="B4" s="3083"/>
      <c r="C4" s="3084"/>
      <c r="D4" s="2222" t="s">
        <v>1911</v>
      </c>
      <c r="E4" s="2223" t="s">
        <v>1912</v>
      </c>
      <c r="F4" s="1387"/>
      <c r="G4" s="2224" t="s">
        <v>1937</v>
      </c>
      <c r="H4" s="1243" t="s">
        <v>1917</v>
      </c>
      <c r="I4" s="55">
        <f>ROUND(SUMIF('数据-基础表'!I9:AS9,"地上",'数据-基础表'!I5:AS5)/'数据-基础表'!A3,2)</f>
        <v>1.41</v>
      </c>
      <c r="J4" s="1387"/>
      <c r="K4" s="1387"/>
      <c r="L4" s="1387"/>
      <c r="M4" s="1387"/>
      <c r="N4" s="1422"/>
      <c r="O4" s="1387"/>
      <c r="P4" s="1387"/>
    </row>
    <row r="5" spans="1:16">
      <c r="A5" s="47" t="s">
        <v>1913</v>
      </c>
      <c r="B5" s="3085" t="s">
        <v>1914</v>
      </c>
      <c r="C5" s="3085"/>
      <c r="D5" s="48">
        <f>ROUND($D$3*E5/$E$3,2)</f>
        <v>4464.41</v>
      </c>
      <c r="E5" s="49">
        <f>SUMIF('数据-基础表'!$11:$11,"住宅",'数据-基础表'!$5:$5)</f>
        <v>19990.119999999995</v>
      </c>
      <c r="F5" s="1387"/>
      <c r="G5" s="1394"/>
      <c r="H5" s="1243" t="s">
        <v>1910</v>
      </c>
      <c r="I5" s="55">
        <f>ROUND(E31/D31,2)</f>
        <v>4.4800000000000004</v>
      </c>
      <c r="J5" s="1387"/>
      <c r="K5" s="1387"/>
      <c r="L5" s="1387"/>
      <c r="M5" s="1387"/>
      <c r="N5" s="1387"/>
      <c r="O5" s="1387"/>
      <c r="P5" s="1387"/>
    </row>
    <row r="6" spans="1:16" ht="15" thickBot="1">
      <c r="A6" s="2225"/>
      <c r="B6" s="3085" t="s">
        <v>1915</v>
      </c>
      <c r="C6" s="3085"/>
      <c r="D6" s="48">
        <f>ROUND($D$3*E6/$E$3,2)</f>
        <v>9762.25</v>
      </c>
      <c r="E6" s="49">
        <f>E3-E5</f>
        <v>43712.009999999995</v>
      </c>
      <c r="F6" s="1387"/>
      <c r="G6" s="2226" t="s">
        <v>1916</v>
      </c>
      <c r="H6" s="1394" t="s">
        <v>1917</v>
      </c>
      <c r="I6" s="935">
        <f>ROUND(F31/D31,2)</f>
        <v>1.41</v>
      </c>
      <c r="J6" s="1387"/>
      <c r="K6" s="1387"/>
      <c r="L6" s="1387"/>
      <c r="M6" s="1387"/>
      <c r="N6" s="1387"/>
      <c r="O6" s="1387"/>
      <c r="P6" s="1387"/>
    </row>
    <row r="7" spans="1:16" ht="15">
      <c r="A7" s="3077"/>
      <c r="B7" s="3078"/>
      <c r="C7" s="3079"/>
      <c r="D7" s="2222" t="s">
        <v>1911</v>
      </c>
      <c r="E7" s="2227" t="s">
        <v>1918</v>
      </c>
      <c r="F7" s="1387"/>
      <c r="G7" s="2219" t="s">
        <v>1919</v>
      </c>
      <c r="H7" s="64"/>
      <c r="I7" s="419"/>
      <c r="J7" s="1387"/>
      <c r="K7" s="1387"/>
      <c r="L7" s="1387"/>
      <c r="M7" s="1387"/>
      <c r="N7" s="1387"/>
      <c r="O7" s="1387"/>
      <c r="P7" s="1387"/>
    </row>
    <row r="8" spans="1:16">
      <c r="A8" s="47" t="s">
        <v>1920</v>
      </c>
      <c r="B8" s="50" t="s">
        <v>1921</v>
      </c>
      <c r="C8" s="48" t="s">
        <v>1922</v>
      </c>
      <c r="D8" s="48">
        <f t="shared" ref="D8:D15" si="0">ROUND($D$3*E8/$E$3,2)</f>
        <v>4464.41</v>
      </c>
      <c r="E8" s="51">
        <f>SUMIF('数据-基础表'!BB10:BK10,"地上",'数据-基础表'!BB5:BK5)</f>
        <v>19990.119999999995</v>
      </c>
      <c r="F8" s="1387"/>
      <c r="G8" s="2228"/>
      <c r="H8" s="2228"/>
      <c r="I8" s="1387"/>
      <c r="J8" s="1387"/>
      <c r="K8" s="1387"/>
      <c r="L8" s="1387"/>
      <c r="M8" s="1387"/>
      <c r="N8" s="1387"/>
      <c r="O8" s="1387"/>
      <c r="P8" s="1387"/>
    </row>
    <row r="9" spans="1:16">
      <c r="A9" s="2229"/>
      <c r="B9" s="2230"/>
      <c r="C9" s="48" t="s">
        <v>1923</v>
      </c>
      <c r="D9" s="48">
        <f t="shared" si="0"/>
        <v>0</v>
      </c>
      <c r="E9" s="52">
        <v>0</v>
      </c>
      <c r="F9" s="1387"/>
      <c r="G9" s="2228"/>
      <c r="H9" s="2228"/>
      <c r="I9" s="1387"/>
      <c r="J9" s="1387"/>
      <c r="K9" s="1387"/>
      <c r="L9" s="1387"/>
      <c r="M9" s="1387"/>
      <c r="N9" s="1387"/>
      <c r="O9" s="1387"/>
      <c r="P9" s="1387"/>
    </row>
    <row r="10" spans="1:16">
      <c r="A10" s="2229"/>
      <c r="B10" s="2230"/>
      <c r="C10" s="48" t="s">
        <v>1932</v>
      </c>
      <c r="D10" s="48">
        <f t="shared" si="0"/>
        <v>0</v>
      </c>
      <c r="E10" s="51">
        <f>SUMPRODUCT(('数据-基础表'!BB10:BK10="地下")*('数据-基础表'!BB11:BK11="商业")*('数据-基础表'!BB5:BK5))</f>
        <v>0</v>
      </c>
      <c r="F10" s="1387"/>
      <c r="G10" s="2228"/>
      <c r="H10" s="2228"/>
      <c r="I10" s="1387"/>
      <c r="J10" s="1387"/>
      <c r="K10" s="1387"/>
      <c r="L10" s="1387"/>
      <c r="M10" s="1387"/>
      <c r="N10" s="1387"/>
      <c r="O10" s="1387"/>
      <c r="P10" s="1387"/>
    </row>
    <row r="11" spans="1:16">
      <c r="A11" s="2229"/>
      <c r="B11" s="2230"/>
      <c r="C11" s="48" t="s">
        <v>1924</v>
      </c>
      <c r="D11" s="48">
        <f t="shared" si="0"/>
        <v>0</v>
      </c>
      <c r="E11" s="51">
        <f>SUMPRODUCT(('数据-基础表'!BB10:BK10="地下")*('数据-基础表'!BB11:BK11="办公")*('数据-基础表'!BB5:BK5))+'数据-基础表'!BP5</f>
        <v>0</v>
      </c>
      <c r="F11" s="1387"/>
      <c r="G11" s="2228"/>
      <c r="H11" s="2228"/>
      <c r="I11" s="1387"/>
      <c r="J11" s="1387"/>
      <c r="K11" s="1387"/>
      <c r="L11" s="1387"/>
      <c r="M11" s="1387"/>
      <c r="N11" s="1387"/>
      <c r="O11" s="1387"/>
      <c r="P11" s="1387"/>
    </row>
    <row r="12" spans="1:16">
      <c r="A12" s="2229"/>
      <c r="B12" s="2230"/>
      <c r="C12" s="48" t="s">
        <v>1925</v>
      </c>
      <c r="D12" s="48">
        <f t="shared" si="0"/>
        <v>1827.5</v>
      </c>
      <c r="E12" s="51">
        <f>SUMPRODUCT(('数据-基础表'!BB10:BK10="地下")*('数据-基础表'!BB11:BK11="仓储")*('数据-基础表'!BB5:BK5))</f>
        <v>8182.909999999998</v>
      </c>
      <c r="F12" s="1387"/>
      <c r="G12" s="2228"/>
      <c r="H12" s="2228"/>
      <c r="I12" s="1387"/>
      <c r="J12" s="1387"/>
      <c r="K12" s="1387"/>
      <c r="L12" s="1387"/>
      <c r="M12" s="1387"/>
      <c r="N12" s="1387"/>
      <c r="O12" s="1387"/>
      <c r="P12" s="1387"/>
    </row>
    <row r="13" spans="1:16">
      <c r="A13" s="2229"/>
      <c r="B13" s="2230"/>
      <c r="C13" s="48" t="s">
        <v>1926</v>
      </c>
      <c r="D13" s="48">
        <f t="shared" si="0"/>
        <v>7934.75</v>
      </c>
      <c r="E13" s="51">
        <f>SUMPRODUCT(('数据-基础表'!BB10:BK10="地下")*('数据-基础表'!BB11:BK11="车库")*('数据-基础表'!BB5:BK5))</f>
        <v>35529.1</v>
      </c>
      <c r="F13" s="1387"/>
      <c r="G13" s="2228"/>
      <c r="H13" s="2228"/>
      <c r="I13" s="1387"/>
      <c r="J13" s="1387"/>
      <c r="K13" s="1387"/>
      <c r="L13" s="1387"/>
      <c r="M13" s="1387"/>
      <c r="N13" s="1387"/>
      <c r="O13" s="1387"/>
      <c r="P13" s="1387"/>
    </row>
    <row r="14" spans="1:16">
      <c r="A14" s="2229"/>
      <c r="B14" s="2230"/>
      <c r="C14" s="48" t="s">
        <v>1938</v>
      </c>
      <c r="D14" s="48">
        <f t="shared" si="0"/>
        <v>0</v>
      </c>
      <c r="E14" s="51">
        <f>SUMPRODUCT(('数据-基础表'!BB10:BK10="地下")*('数据-基础表'!BB11:BK11="车库—商业")*('数据-基础表'!BB5:BK5))</f>
        <v>0</v>
      </c>
      <c r="F14" s="1387"/>
      <c r="G14" s="2228"/>
      <c r="H14" s="2228"/>
      <c r="I14" s="1387"/>
      <c r="J14" s="1387"/>
      <c r="K14" s="1387"/>
      <c r="L14" s="1387"/>
      <c r="M14" s="1387"/>
      <c r="N14" s="1387"/>
      <c r="O14" s="1387"/>
      <c r="P14" s="1387"/>
    </row>
    <row r="15" spans="1:16" ht="15" thickBot="1">
      <c r="A15" s="2229"/>
      <c r="B15" s="2230"/>
      <c r="C15" s="48" t="s">
        <v>1933</v>
      </c>
      <c r="D15" s="48">
        <f t="shared" si="0"/>
        <v>0</v>
      </c>
      <c r="E15" s="51">
        <f>SUMPRODUCT(('数据-基础表'!BB10:BK10="地下")*('数据-基础表'!BB11:BK11="车库—办公")*('数据-基础表'!BB5:BK5))</f>
        <v>0</v>
      </c>
      <c r="F15" s="1387"/>
      <c r="G15" s="2228"/>
      <c r="H15" s="2228"/>
      <c r="I15" s="1387"/>
      <c r="J15" s="1387"/>
      <c r="K15" s="1387"/>
      <c r="L15" s="1387"/>
      <c r="M15" s="1387"/>
      <c r="N15" s="1387"/>
      <c r="O15" s="1387"/>
      <c r="P15" s="1387"/>
    </row>
    <row r="16" spans="1:16" ht="15.75" thickBot="1">
      <c r="A16" s="2225"/>
      <c r="B16" s="2230"/>
      <c r="C16" s="50" t="s">
        <v>1927</v>
      </c>
      <c r="D16" s="50">
        <f>SUM(D8:D15)</f>
        <v>14226.66</v>
      </c>
      <c r="E16" s="53">
        <f>SUM(E8:E15)</f>
        <v>63702.12999999999</v>
      </c>
      <c r="F16" s="1387"/>
      <c r="G16" s="2228"/>
      <c r="H16" s="2231" t="s">
        <v>1939</v>
      </c>
      <c r="I16" s="2232"/>
      <c r="J16" s="1387"/>
      <c r="K16" s="3074" t="s">
        <v>1939</v>
      </c>
      <c r="L16" s="3075"/>
      <c r="M16" s="3075"/>
      <c r="N16" s="3075"/>
      <c r="O16" s="3075"/>
      <c r="P16" s="3076"/>
    </row>
    <row r="17" spans="1:19" ht="15">
      <c r="A17" s="2233" t="s">
        <v>1940</v>
      </c>
      <c r="B17" s="2234" t="s">
        <v>1941</v>
      </c>
      <c r="C17" s="2235" t="s">
        <v>1942</v>
      </c>
      <c r="D17" s="2236" t="s">
        <v>1930</v>
      </c>
      <c r="E17" s="2237" t="s">
        <v>1931</v>
      </c>
      <c r="F17" s="2238"/>
      <c r="G17" s="2239"/>
      <c r="H17" s="2240" t="s">
        <v>1943</v>
      </c>
      <c r="I17" s="2241" t="s">
        <v>1928</v>
      </c>
      <c r="J17" s="1387"/>
      <c r="K17" s="3071" t="s">
        <v>1944</v>
      </c>
      <c r="L17" s="3072"/>
      <c r="M17" s="3073"/>
      <c r="N17" s="3071" t="s">
        <v>1945</v>
      </c>
      <c r="O17" s="3072"/>
      <c r="P17" s="3073"/>
      <c r="R17" s="2219" t="s">
        <v>1946</v>
      </c>
      <c r="S17" s="64"/>
    </row>
    <row r="18" spans="1:19" ht="15">
      <c r="A18" s="2229"/>
      <c r="B18" s="2242"/>
      <c r="C18" s="2243"/>
      <c r="D18" s="2244"/>
      <c r="E18" s="2245" t="s">
        <v>1947</v>
      </c>
      <c r="F18" s="2246" t="s">
        <v>1948</v>
      </c>
      <c r="G18" s="2247" t="s">
        <v>1949</v>
      </c>
      <c r="H18" s="1258" t="s">
        <v>1950</v>
      </c>
      <c r="I18" s="2248" t="s">
        <v>1951</v>
      </c>
      <c r="J18" s="1387"/>
      <c r="K18" s="1258" t="s">
        <v>1952</v>
      </c>
      <c r="L18" s="2249" t="s">
        <v>1953</v>
      </c>
      <c r="M18" s="1042" t="s">
        <v>1954</v>
      </c>
      <c r="N18" s="1258" t="s">
        <v>1952</v>
      </c>
      <c r="O18" s="2249" t="s">
        <v>1953</v>
      </c>
      <c r="P18" s="1042" t="s">
        <v>1954</v>
      </c>
      <c r="R18" s="1243" t="s">
        <v>1955</v>
      </c>
      <c r="S18" s="1243" t="s">
        <v>1956</v>
      </c>
    </row>
    <row r="19" spans="1:19">
      <c r="A19" s="2250"/>
      <c r="B19" s="50" t="s">
        <v>1929</v>
      </c>
      <c r="C19" s="2932" t="s">
        <v>3071</v>
      </c>
      <c r="D19" s="48">
        <f>ROUND($D$3*E19/$E$3,2)</f>
        <v>4271.46</v>
      </c>
      <c r="E19" s="56">
        <f t="shared" ref="E19:E26" si="1">SUM(F19:G19)</f>
        <v>19126.139999999996</v>
      </c>
      <c r="F19" s="57">
        <f>'数据-基础表'!I13</f>
        <v>19126.139999999996</v>
      </c>
      <c r="G19" s="58"/>
      <c r="H19" s="722">
        <f>ROUND($D$3*I19/$E$3,2)</f>
        <v>0</v>
      </c>
      <c r="I19" s="51">
        <f t="shared" ref="I19:I26" si="2">IF($I$17="自定义",P19,M19)</f>
        <v>0</v>
      </c>
      <c r="J19" s="1387"/>
      <c r="K19" s="1386">
        <f t="shared" ref="K19:K26" si="3">ROUND(E$28*E19/E$27,2)</f>
        <v>0</v>
      </c>
      <c r="L19" s="1243">
        <f t="shared" ref="L19:L26" si="4">ROUND(IF(COUNTIF(C19,"*住宅*")&gt;0,E$29*E19/E$32,0),2)</f>
        <v>0</v>
      </c>
      <c r="M19" s="1398">
        <f>K19+L19</f>
        <v>0</v>
      </c>
      <c r="N19" s="2251"/>
      <c r="O19" s="2252"/>
      <c r="P19" s="1398">
        <f>N19+O19</f>
        <v>0</v>
      </c>
      <c r="R19" s="1243">
        <f t="shared" ref="R19:S26" si="5">D19+H19</f>
        <v>4271.46</v>
      </c>
      <c r="S19" s="1244">
        <f t="shared" si="5"/>
        <v>19126.139999999996</v>
      </c>
    </row>
    <row r="20" spans="1:19">
      <c r="A20" s="2253"/>
      <c r="B20" s="50" t="s">
        <v>1957</v>
      </c>
      <c r="C20" s="2932" t="s">
        <v>3234</v>
      </c>
      <c r="D20" s="48">
        <f t="shared" ref="D20:D26" si="6">ROUND($D$3*E20/$E$3,2)</f>
        <v>192.95</v>
      </c>
      <c r="E20" s="56">
        <f t="shared" si="1"/>
        <v>863.98</v>
      </c>
      <c r="F20" s="57">
        <f>'数据-基础表'!K5</f>
        <v>863.98</v>
      </c>
      <c r="G20" s="58"/>
      <c r="H20" s="722">
        <f t="shared" ref="H20:H26" si="7">ROUND($D$3*I20/$E$3,2)</f>
        <v>0</v>
      </c>
      <c r="I20" s="51">
        <f t="shared" si="2"/>
        <v>0</v>
      </c>
      <c r="J20" s="1387"/>
      <c r="K20" s="1386">
        <f t="shared" si="3"/>
        <v>0</v>
      </c>
      <c r="L20" s="1243">
        <f t="shared" si="4"/>
        <v>0</v>
      </c>
      <c r="M20" s="1398">
        <f t="shared" ref="M20:M26" si="8">K20+L20</f>
        <v>0</v>
      </c>
      <c r="N20" s="2251"/>
      <c r="O20" s="2252"/>
      <c r="P20" s="1398">
        <f t="shared" ref="P20:P26" si="9">N20+O20</f>
        <v>0</v>
      </c>
      <c r="R20" s="1243">
        <f t="shared" si="5"/>
        <v>192.95</v>
      </c>
      <c r="S20" s="1244">
        <f t="shared" si="5"/>
        <v>863.98</v>
      </c>
    </row>
    <row r="21" spans="1:19">
      <c r="A21" s="2253"/>
      <c r="B21" s="50" t="s">
        <v>1957</v>
      </c>
      <c r="C21" s="2932" t="s">
        <v>3235</v>
      </c>
      <c r="D21" s="48">
        <f t="shared" si="6"/>
        <v>7934.75</v>
      </c>
      <c r="E21" s="56">
        <f t="shared" si="1"/>
        <v>35529.1</v>
      </c>
      <c r="F21" s="57"/>
      <c r="G21" s="58">
        <f>'数据-基础表'!M5</f>
        <v>35529.1</v>
      </c>
      <c r="H21" s="722">
        <f t="shared" si="7"/>
        <v>0</v>
      </c>
      <c r="I21" s="51">
        <f t="shared" si="2"/>
        <v>0</v>
      </c>
      <c r="J21" s="1387"/>
      <c r="K21" s="1386">
        <f t="shared" si="3"/>
        <v>0</v>
      </c>
      <c r="L21" s="1243">
        <f t="shared" si="4"/>
        <v>0</v>
      </c>
      <c r="M21" s="1398">
        <f t="shared" si="8"/>
        <v>0</v>
      </c>
      <c r="N21" s="2251"/>
      <c r="O21" s="2252"/>
      <c r="P21" s="1398">
        <f t="shared" si="9"/>
        <v>0</v>
      </c>
      <c r="R21" s="1243">
        <f t="shared" si="5"/>
        <v>7934.75</v>
      </c>
      <c r="S21" s="1244">
        <f t="shared" si="5"/>
        <v>35529.1</v>
      </c>
    </row>
    <row r="22" spans="1:19">
      <c r="A22" s="2253"/>
      <c r="B22" s="50" t="s">
        <v>1957</v>
      </c>
      <c r="C22" s="2993" t="s">
        <v>3616</v>
      </c>
      <c r="D22" s="48">
        <f t="shared" si="6"/>
        <v>1827.5</v>
      </c>
      <c r="E22" s="56">
        <f t="shared" si="1"/>
        <v>8182.909999999998</v>
      </c>
      <c r="F22" s="61"/>
      <c r="G22" s="62">
        <f>'数据-基础表'!O13</f>
        <v>8182.909999999998</v>
      </c>
      <c r="H22" s="722">
        <f t="shared" si="7"/>
        <v>0</v>
      </c>
      <c r="I22" s="51">
        <f t="shared" si="2"/>
        <v>0</v>
      </c>
      <c r="J22" s="1387"/>
      <c r="K22" s="1386">
        <f t="shared" si="3"/>
        <v>0</v>
      </c>
      <c r="L22" s="1243">
        <f t="shared" si="4"/>
        <v>0</v>
      </c>
      <c r="M22" s="1398">
        <f t="shared" si="8"/>
        <v>0</v>
      </c>
      <c r="N22" s="2251"/>
      <c r="O22" s="2252"/>
      <c r="P22" s="1398">
        <f t="shared" si="9"/>
        <v>0</v>
      </c>
      <c r="R22" s="1243">
        <f t="shared" si="5"/>
        <v>1827.5</v>
      </c>
      <c r="S22" s="1244">
        <f t="shared" si="5"/>
        <v>8182.909999999998</v>
      </c>
    </row>
    <row r="23" spans="1:19">
      <c r="A23" s="2253"/>
      <c r="B23" s="50" t="s">
        <v>1957</v>
      </c>
      <c r="C23" s="60"/>
      <c r="D23" s="48">
        <f>ROUND($D$3*E23/$E$3,2)</f>
        <v>0</v>
      </c>
      <c r="E23" s="56">
        <f>SUM(F23:G23)</f>
        <v>0</v>
      </c>
      <c r="F23" s="61"/>
      <c r="G23" s="62"/>
      <c r="H23" s="722">
        <f>ROUND($D$3*I23/$E$3,2)</f>
        <v>0</v>
      </c>
      <c r="I23" s="51">
        <f t="shared" si="2"/>
        <v>0</v>
      </c>
      <c r="J23" s="1387"/>
      <c r="K23" s="1386">
        <f t="shared" si="3"/>
        <v>0</v>
      </c>
      <c r="L23" s="1243">
        <f t="shared" si="4"/>
        <v>0</v>
      </c>
      <c r="M23" s="1398">
        <f t="shared" si="8"/>
        <v>0</v>
      </c>
      <c r="N23" s="2251"/>
      <c r="O23" s="2252"/>
      <c r="P23" s="1398">
        <f t="shared" si="9"/>
        <v>0</v>
      </c>
      <c r="R23" s="1243">
        <f t="shared" si="5"/>
        <v>0</v>
      </c>
      <c r="S23" s="1244">
        <f t="shared" si="5"/>
        <v>0</v>
      </c>
    </row>
    <row r="24" spans="1:19">
      <c r="A24" s="2253"/>
      <c r="B24" s="50" t="s">
        <v>1957</v>
      </c>
      <c r="C24" s="60"/>
      <c r="D24" s="48">
        <f>ROUND($D$3*E24/$E$3,2)</f>
        <v>0</v>
      </c>
      <c r="E24" s="56">
        <f>SUM(F24:G24)</f>
        <v>0</v>
      </c>
      <c r="F24" s="61"/>
      <c r="G24" s="62"/>
      <c r="H24" s="722">
        <f>ROUND($D$3*I24/$E$3,2)</f>
        <v>0</v>
      </c>
      <c r="I24" s="51">
        <f t="shared" si="2"/>
        <v>0</v>
      </c>
      <c r="J24" s="1387"/>
      <c r="K24" s="1386">
        <f t="shared" si="3"/>
        <v>0</v>
      </c>
      <c r="L24" s="1243">
        <f t="shared" si="4"/>
        <v>0</v>
      </c>
      <c r="M24" s="1398">
        <f t="shared" si="8"/>
        <v>0</v>
      </c>
      <c r="N24" s="2251"/>
      <c r="O24" s="2252"/>
      <c r="P24" s="1398">
        <f t="shared" si="9"/>
        <v>0</v>
      </c>
      <c r="R24" s="1243">
        <f t="shared" si="5"/>
        <v>0</v>
      </c>
      <c r="S24" s="1244">
        <f t="shared" si="5"/>
        <v>0</v>
      </c>
    </row>
    <row r="25" spans="1:19">
      <c r="A25" s="2253"/>
      <c r="B25" s="50" t="s">
        <v>1957</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1"/>
      <c r="O25" s="2252"/>
      <c r="P25" s="1398">
        <f t="shared" si="9"/>
        <v>0</v>
      </c>
      <c r="R25" s="1243">
        <f t="shared" si="5"/>
        <v>0</v>
      </c>
      <c r="S25" s="1244">
        <f t="shared" si="5"/>
        <v>0</v>
      </c>
    </row>
    <row r="26" spans="1:19">
      <c r="A26" s="2253"/>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4"/>
      <c r="O26" s="2255"/>
      <c r="P26" s="67">
        <f t="shared" si="9"/>
        <v>0</v>
      </c>
      <c r="R26" s="1243">
        <f t="shared" si="5"/>
        <v>0</v>
      </c>
      <c r="S26" s="1244">
        <f t="shared" si="5"/>
        <v>0</v>
      </c>
    </row>
    <row r="27" spans="1:19" ht="15.75" thickBot="1">
      <c r="A27" s="2253"/>
      <c r="B27" s="48"/>
      <c r="C27" s="2256" t="s">
        <v>1958</v>
      </c>
      <c r="D27" s="1388">
        <f>SUM(D19:D26)</f>
        <v>14226.66</v>
      </c>
      <c r="E27" s="1389">
        <f>IF(SUM(E19:E26)='数据-基础表'!BA5,SUM(E19:E26),IF(F27="地上面积有误","面积有误","地下面积有误"))</f>
        <v>63702.12999999999</v>
      </c>
      <c r="F27" s="1388">
        <f>IF(SUM(F19:F26)=E8,SUM(F19:F26),"地上面积有误")</f>
        <v>19990.119999999995</v>
      </c>
      <c r="G27" s="1390">
        <f>SUM(G19:G26)</f>
        <v>43712.009999999995</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5">
        <f>IF(SUM(R19:R26)=$D$3,SUM(R19:R26),SUM(R19:R26)&amp;"误差"&amp;ROUND(SUM(R19:R26)-$D$3,2))</f>
        <v>14226.66</v>
      </c>
      <c r="S27" s="1243">
        <f>IF(SUM(S19:S26)=$E$3,SUM(S19:S26),SUM(S19:S26)&amp;"误差"&amp;ROUND(SUM(S19:S26)-E3,2))</f>
        <v>63702.12999999999</v>
      </c>
    </row>
    <row r="28" spans="1:19">
      <c r="A28" s="2253"/>
      <c r="B28" s="50" t="s">
        <v>1959</v>
      </c>
      <c r="C28" s="1255"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3"/>
      <c r="B29" s="50" t="s">
        <v>1959</v>
      </c>
      <c r="C29" s="2257"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3"/>
      <c r="B30" s="50"/>
      <c r="C30" s="2258"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9"/>
      <c r="B31" s="2260"/>
      <c r="C31" s="1003" t="s">
        <v>1962</v>
      </c>
      <c r="D31" s="728">
        <f>D27+D30</f>
        <v>14226.66</v>
      </c>
      <c r="E31" s="728">
        <f>E27+E30</f>
        <v>63702.12999999999</v>
      </c>
      <c r="F31" s="729">
        <f>F27+F30</f>
        <v>19990.119999999995</v>
      </c>
      <c r="G31" s="730">
        <f>G27+G30</f>
        <v>43712.009999999995</v>
      </c>
      <c r="H31" s="1387"/>
      <c r="I31" s="1387"/>
      <c r="J31" s="1387"/>
      <c r="K31" s="1387"/>
      <c r="L31" s="1387"/>
      <c r="M31" s="1387"/>
      <c r="N31" s="1387"/>
      <c r="O31" s="1387"/>
      <c r="P31" s="1387"/>
    </row>
    <row r="32" spans="1:19">
      <c r="A32" s="2224"/>
      <c r="B32" s="2224" t="s">
        <v>1963</v>
      </c>
      <c r="C32" s="2224"/>
      <c r="D32" s="2224"/>
      <c r="E32" s="1270">
        <f>SUMIF(C19:C26,"*住宅*",E19:E26)</f>
        <v>0</v>
      </c>
      <c r="F32" s="2224"/>
      <c r="G32" s="2224"/>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24" width="6.75" style="2265" customWidth="1"/>
    <col min="25" max="25" width="8.75" style="2265" customWidth="1"/>
    <col min="26"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5"/>
      <c r="D1" s="2263"/>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6" t="s">
        <v>1965</v>
      </c>
      <c r="B2" s="1262">
        <f>项目基本情况!D3</f>
        <v>43633</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5" customFormat="1" ht="15" thickBot="1">
      <c r="A3" s="2023"/>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5" customFormat="1" ht="15" thickBot="1">
      <c r="A4" s="68"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6"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3072</v>
      </c>
      <c r="O5" s="2286" t="s">
        <v>1985</v>
      </c>
      <c r="P5" s="2289" t="s">
        <v>1986</v>
      </c>
      <c r="Q5" s="69" t="s">
        <v>1987</v>
      </c>
      <c r="R5" s="2290" t="s">
        <v>1988</v>
      </c>
      <c r="S5" s="2291" t="s">
        <v>1989</v>
      </c>
      <c r="T5" s="2292" t="s">
        <v>1990</v>
      </c>
      <c r="U5" s="1263" t="s">
        <v>1991</v>
      </c>
      <c r="V5" s="1264" t="s">
        <v>1992</v>
      </c>
      <c r="W5" s="1264" t="s">
        <v>1993</v>
      </c>
      <c r="X5" s="71"/>
      <c r="Y5" s="70" t="s">
        <v>1994</v>
      </c>
      <c r="Z5" s="2293" t="s">
        <v>1991</v>
      </c>
      <c r="AA5" s="1264" t="s">
        <v>1992</v>
      </c>
      <c r="AB5" s="1264" t="s">
        <v>1993</v>
      </c>
      <c r="AC5" s="71"/>
      <c r="AD5" s="71" t="s">
        <v>1994</v>
      </c>
      <c r="AE5" s="1263" t="s">
        <v>1995</v>
      </c>
      <c r="AF5" s="1264" t="s">
        <v>1996</v>
      </c>
      <c r="AG5" s="70" t="s">
        <v>1997</v>
      </c>
      <c r="AH5" s="1263" t="s">
        <v>1998</v>
      </c>
      <c r="AI5" s="2293" t="s">
        <v>1999</v>
      </c>
      <c r="AJ5" s="2293" t="s">
        <v>2000</v>
      </c>
      <c r="AK5" s="1264" t="s">
        <v>2001</v>
      </c>
      <c r="AL5" s="1264" t="s">
        <v>2002</v>
      </c>
      <c r="AM5" s="70" t="s">
        <v>2003</v>
      </c>
      <c r="AN5" s="2294" t="s">
        <v>2004</v>
      </c>
      <c r="AO5" s="2065"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6" t="str">
        <f>'数据-汇总表'!C19</f>
        <v>叠拼</v>
      </c>
      <c r="B6" s="2297" t="str">
        <f>IF(A6=0,"","经营性")</f>
        <v>经营性</v>
      </c>
      <c r="C6" s="2298" t="s">
        <v>3051</v>
      </c>
      <c r="D6" s="1047">
        <f>SUMIF(项目基本情况!D$12:I$12,C6,项目基本情况!D$14:I$14)</f>
        <v>70</v>
      </c>
      <c r="E6" s="1044">
        <f>IF(B6="","",SUMIF(项目基本情况!D$12:I$12,C6,项目基本情况!D$13:I$13))</f>
        <v>67887</v>
      </c>
      <c r="F6" s="72">
        <f>SUMIF(项目基本情况!D$12:I$12,C6,项目基本情况!D$15:I$15)</f>
        <v>66.44</v>
      </c>
      <c r="G6" s="73">
        <f>IF(ISERROR(ROUND(POWER(1+H6,D6-F6)*(POWER(1+H6,F6)-1)/(POWER(1+H6,D6)-1),3)),0,ROUND(POWER(1+H6,D6-F6)*(POWER(1+H6,F6)-1)/(POWER(1+H6,D6)-1),3))</f>
        <v>0.99</v>
      </c>
      <c r="H6" s="801">
        <v>0.04</v>
      </c>
      <c r="I6" s="801">
        <v>4.4999999999999998E-2</v>
      </c>
      <c r="J6" s="74">
        <v>8.5000000000000006E-2</v>
      </c>
      <c r="K6" s="1247">
        <f>SUMIF('数据-汇总表'!C$19:C$33,A6,'数据-汇总表'!E$19:E$33)</f>
        <v>19126.139999999996</v>
      </c>
      <c r="L6" s="802">
        <v>3500</v>
      </c>
      <c r="M6" s="75">
        <f t="shared" ref="M6:M14" si="0">ROUND(K6*L6/10000,0)</f>
        <v>6694</v>
      </c>
      <c r="N6" s="2973">
        <v>0.75</v>
      </c>
      <c r="O6" s="75">
        <f>IF($N$5="成新度","——",ROUND(M6*N6,0))</f>
        <v>5021</v>
      </c>
      <c r="P6" s="76">
        <f>IF($N$5="成新度","——",M6-O6)</f>
        <v>1673</v>
      </c>
      <c r="Q6" s="2959">
        <v>0.25</v>
      </c>
      <c r="R6" s="77">
        <f ca="1">SUMIF('数据-汇总表'!C$19:C$33,A6,'数据-汇总表'!R$19:R$27)</f>
        <v>4271.46</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8"/>
      <c r="AG6" s="146">
        <f>IF(AF6="",0,AE6-AF6)</f>
        <v>0</v>
      </c>
      <c r="AH6" s="83"/>
      <c r="AI6" s="85"/>
      <c r="AJ6" s="86"/>
      <c r="AK6" s="87"/>
      <c r="AL6" s="88"/>
      <c r="AM6" s="89"/>
      <c r="AN6" s="2299"/>
      <c r="AO6" s="55" t="e">
        <f ca="1">SUMIF(INDIRECT("'"&amp;AN6&amp;"'"&amp;"!A:A"),"总价",INDIRECT("'"&amp;AN6&amp;"'"&amp;"!B:B"))</f>
        <v>#REF!</v>
      </c>
      <c r="AP6" s="2300">
        <f>IF(C6="住宅",K6*L6,0)</f>
        <v>66941489.999999985</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5" customFormat="1" ht="14.25">
      <c r="A7" s="2296" t="str">
        <f>'数据-汇总表'!C20</f>
        <v>高层</v>
      </c>
      <c r="B7" s="2297" t="str">
        <f t="shared" ref="B7:B13" si="1">IF(A7=0,"","经营性")</f>
        <v>经营性</v>
      </c>
      <c r="C7" s="2298" t="s">
        <v>3051</v>
      </c>
      <c r="D7" s="1047">
        <f>SUMIF(项目基本情况!D$12:I$12,C7,项目基本情况!D$14:I$14)</f>
        <v>70</v>
      </c>
      <c r="E7" s="1044">
        <f>IF(B7="","",SUMIF(项目基本情况!D$12:I$12,C7,项目基本情况!D$13:I$13))</f>
        <v>67887</v>
      </c>
      <c r="F7" s="72">
        <f>SUMIF(项目基本情况!D$12:I$12,C7,项目基本情况!D$15:I$15)</f>
        <v>66.44</v>
      </c>
      <c r="G7" s="73">
        <f t="shared" ref="G7:G11" si="2">IF(ISERROR(ROUND(POWER(1+H7,D7-F7)*(POWER(1+H7,F7)-1)/(POWER(1+H7,D7)-1),3)),0,ROUND(POWER(1+H7,D7-F7)*(POWER(1+H7,F7)-1)/(POWER(1+H7,D7)-1),3))</f>
        <v>0.99</v>
      </c>
      <c r="H7" s="801">
        <v>0.04</v>
      </c>
      <c r="I7" s="801">
        <v>4.4999999999999998E-2</v>
      </c>
      <c r="J7" s="74">
        <v>8.5000000000000006E-2</v>
      </c>
      <c r="K7" s="1247">
        <f>SUMIF('数据-汇总表'!C$19:C$33,A7,'数据-汇总表'!E$19:E$33)</f>
        <v>863.98</v>
      </c>
      <c r="L7" s="802">
        <v>3500</v>
      </c>
      <c r="M7" s="75">
        <f t="shared" si="0"/>
        <v>302</v>
      </c>
      <c r="N7" s="2973">
        <f>N6</f>
        <v>0.75</v>
      </c>
      <c r="O7" s="75">
        <f t="shared" ref="O7:O14" si="3">IF($N$5="成新度","——",ROUND(M7*N7,0))</f>
        <v>227</v>
      </c>
      <c r="P7" s="76">
        <f t="shared" ref="P7:P14" si="4">IF($N$5="成新度","——",M7-O7)</f>
        <v>75</v>
      </c>
      <c r="Q7" s="803">
        <v>0.2</v>
      </c>
      <c r="R7" s="77">
        <f ca="1">SUMIF('数据-汇总表'!C$19:C$33,A7,'数据-汇总表'!R$19:R$27)</f>
        <v>192.95</v>
      </c>
      <c r="S7" s="54">
        <f>IF('数据-汇总表'!$I$17="按面积比例",SUMIF('数据-汇总表'!C$19:C$33,A7,'数据-汇总表'!K$19:K$33),SUMIF('数据-汇总表'!C$19:C$33,A7,'数据-汇总表'!N$19:N$33))</f>
        <v>0</v>
      </c>
      <c r="T7" s="1438">
        <f t="shared" ref="T7:T13" si="5">ROUND($L$14*S7/10000,0)</f>
        <v>0</v>
      </c>
      <c r="U7" s="2962"/>
      <c r="V7" s="79"/>
      <c r="W7" s="79"/>
      <c r="X7" s="1257"/>
      <c r="Y7" s="80"/>
      <c r="Z7" s="81"/>
      <c r="AA7" s="74"/>
      <c r="AB7" s="74"/>
      <c r="AC7" s="1257"/>
      <c r="AD7" s="82"/>
      <c r="AE7" s="1258">
        <f t="shared" ref="AE7:AE13" ca="1" si="6">IF(AN7="",0,SUMIF(INDIRECT("'"&amp;AN7&amp;"'"&amp;"!E:E"),$AE$5,INDIRECT("'"&amp;AN7&amp;"'"&amp;"!F:F")))</f>
        <v>0</v>
      </c>
      <c r="AF7" s="1798"/>
      <c r="AG7" s="146">
        <f t="shared" ref="AG7:AG13" si="7">IF(AF7="",0,AE7-AF7)</f>
        <v>0</v>
      </c>
      <c r="AH7" s="83"/>
      <c r="AI7" s="85">
        <v>12</v>
      </c>
      <c r="AJ7" s="86"/>
      <c r="AK7" s="87"/>
      <c r="AL7" s="88"/>
      <c r="AM7" s="89"/>
      <c r="AN7" s="2299"/>
      <c r="AO7" s="55" t="e">
        <f t="shared" ref="AO7:AO13" ca="1" si="8">SUMIF(INDIRECT("'"&amp;AN7&amp;"'"&amp;"!A:A"),"总价",INDIRECT("'"&amp;AN7&amp;"'"&amp;"!B:B"))</f>
        <v>#REF!</v>
      </c>
      <c r="AP7" s="2300">
        <f t="shared" ref="AP7:AP13" si="9">IF(C7="住宅",K7*L7,0)</f>
        <v>3023930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5" customFormat="1" ht="14.25">
      <c r="A8" s="2296" t="str">
        <f>'数据-汇总表'!C21</f>
        <v>车库</v>
      </c>
      <c r="B8" s="2297" t="str">
        <f t="shared" si="1"/>
        <v>经营性</v>
      </c>
      <c r="C8" s="2298" t="s">
        <v>3054</v>
      </c>
      <c r="D8" s="1047">
        <f>SUMIF(项目基本情况!D$12:I$12,C8,项目基本情况!D$14:I$14)</f>
        <v>50</v>
      </c>
      <c r="E8" s="1044">
        <f>IF(B8="","",SUMIF(项目基本情况!D$12:I$12,C8,项目基本情况!D$13:I$13))</f>
        <v>60582</v>
      </c>
      <c r="F8" s="72">
        <f>SUMIF(项目基本情况!D$12:I$12,C8,项目基本情况!D$15:I$15)</f>
        <v>46.43</v>
      </c>
      <c r="G8" s="73">
        <f t="shared" si="2"/>
        <v>0.98199999999999998</v>
      </c>
      <c r="H8" s="801">
        <v>0.05</v>
      </c>
      <c r="I8" s="801">
        <v>5.5E-2</v>
      </c>
      <c r="J8" s="74">
        <v>8.5000000000000006E-2</v>
      </c>
      <c r="K8" s="1247">
        <f>SUMIF('数据-汇总表'!C$19:C$33,A8,'数据-汇总表'!E$19:E$33)</f>
        <v>35529.1</v>
      </c>
      <c r="L8" s="802">
        <v>3500</v>
      </c>
      <c r="M8" s="75">
        <f>ROUND(K8*L8/10000,0)</f>
        <v>12435</v>
      </c>
      <c r="N8" s="800">
        <f>N6</f>
        <v>0.75</v>
      </c>
      <c r="O8" s="75">
        <f t="shared" si="3"/>
        <v>9326</v>
      </c>
      <c r="P8" s="76">
        <f t="shared" si="4"/>
        <v>3109</v>
      </c>
      <c r="Q8" s="803">
        <v>0.05</v>
      </c>
      <c r="R8" s="77">
        <f ca="1">SUMIF('数据-汇总表'!C$19:C$33,A8,'数据-汇总表'!R$19:R$27)</f>
        <v>7934.75</v>
      </c>
      <c r="S8" s="54">
        <f>IF('数据-汇总表'!$I$17="按面积比例",SUMIF('数据-汇总表'!C$19:C$33,A8,'数据-汇总表'!K$19:K$33),SUMIF('数据-汇总表'!C$19:C$33,A8,'数据-汇总表'!N$19:N$33))</f>
        <v>0</v>
      </c>
      <c r="T8" s="1438">
        <f t="shared" si="5"/>
        <v>0</v>
      </c>
      <c r="U8" s="2962">
        <v>1000</v>
      </c>
      <c r="V8" s="79">
        <v>2.5000000000000001E-2</v>
      </c>
      <c r="W8" s="79">
        <v>0.05</v>
      </c>
      <c r="X8" s="1257"/>
      <c r="Y8" s="80">
        <v>1</v>
      </c>
      <c r="Z8" s="81"/>
      <c r="AA8" s="74"/>
      <c r="AB8" s="74"/>
      <c r="AC8" s="1257"/>
      <c r="AD8" s="82"/>
      <c r="AE8" s="1258">
        <f t="shared" ca="1" si="6"/>
        <v>45.68</v>
      </c>
      <c r="AF8" s="1798"/>
      <c r="AG8" s="146">
        <f t="shared" si="7"/>
        <v>0</v>
      </c>
      <c r="AH8" s="804">
        <f>ROUNDDOWN(K8/35,0)</f>
        <v>1015</v>
      </c>
      <c r="AI8" s="85">
        <v>12</v>
      </c>
      <c r="AJ8" s="86"/>
      <c r="AK8" s="87">
        <v>1.4999999999999999E-2</v>
      </c>
      <c r="AL8" s="88">
        <v>1.5E-3</v>
      </c>
      <c r="AM8" s="89">
        <v>0.01</v>
      </c>
      <c r="AN8" s="2299" t="s">
        <v>3153</v>
      </c>
      <c r="AO8" s="55">
        <f t="shared" ca="1" si="8"/>
        <v>16305</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5" customFormat="1" ht="14.25">
      <c r="A9" s="2296" t="str">
        <f>'数据-汇总表'!C22</f>
        <v>仓储</v>
      </c>
      <c r="B9" s="2297" t="str">
        <f t="shared" si="1"/>
        <v>经营性</v>
      </c>
      <c r="C9" s="2298" t="s">
        <v>3615</v>
      </c>
      <c r="D9" s="1047">
        <f>SUMIF(项目基本情况!D$12:I$12,C9,项目基本情况!D$14:I$14)</f>
        <v>50</v>
      </c>
      <c r="E9" s="1044">
        <f>IF(B9="","",SUMIF(项目基本情况!D$12:I$12,C9,项目基本情况!D$13:I$13))</f>
        <v>60582</v>
      </c>
      <c r="F9" s="72">
        <f>SUMIF(项目基本情况!D$12:I$12,C9,项目基本情况!D$15:I$15)</f>
        <v>46.43</v>
      </c>
      <c r="G9" s="73">
        <f t="shared" si="2"/>
        <v>0.98199999999999998</v>
      </c>
      <c r="H9" s="801">
        <v>0.05</v>
      </c>
      <c r="I9" s="801">
        <v>5.5E-2</v>
      </c>
      <c r="J9" s="74">
        <v>8.5000000000000006E-2</v>
      </c>
      <c r="K9" s="1247">
        <f>SUMIF('数据-汇总表'!C$19:C$33,A9,'数据-汇总表'!E$19:E$33)</f>
        <v>8182.909999999998</v>
      </c>
      <c r="L9" s="802">
        <f>L8</f>
        <v>3500</v>
      </c>
      <c r="M9" s="75">
        <f t="shared" si="0"/>
        <v>2864</v>
      </c>
      <c r="N9" s="800">
        <f>N8</f>
        <v>0.75</v>
      </c>
      <c r="O9" s="75">
        <f t="shared" si="3"/>
        <v>2148</v>
      </c>
      <c r="P9" s="76">
        <f t="shared" si="4"/>
        <v>716</v>
      </c>
      <c r="Q9" s="90">
        <f>Q6</f>
        <v>0.25</v>
      </c>
      <c r="R9" s="77">
        <f ca="1">SUMIF('数据-汇总表'!C$19:C$33,A9,'数据-汇总表'!R$19:R$27)</f>
        <v>1827.5</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8"/>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5"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8"/>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5"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8"/>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5"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8"/>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5"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8"/>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5" customFormat="1" ht="14.25">
      <c r="A14" s="2301" t="s">
        <v>2009</v>
      </c>
      <c r="B14" s="2297" t="s">
        <v>2010</v>
      </c>
      <c r="C14" s="2302" t="s">
        <v>2009</v>
      </c>
      <c r="D14" s="1047"/>
      <c r="E14" s="1044"/>
      <c r="F14" s="72"/>
      <c r="G14" s="73"/>
      <c r="H14" s="1246"/>
      <c r="I14" s="1246"/>
      <c r="J14" s="1246"/>
      <c r="K14" s="1247">
        <f>SUMIF('数据-汇总表'!C$19:C$33,A14,'数据-汇总表'!E$19:E$33)</f>
        <v>0</v>
      </c>
      <c r="L14" s="91"/>
      <c r="M14" s="75">
        <f t="shared" si="0"/>
        <v>0</v>
      </c>
      <c r="N14" s="92"/>
      <c r="O14" s="75">
        <f t="shared" si="3"/>
        <v>0</v>
      </c>
      <c r="P14" s="76">
        <f t="shared" si="4"/>
        <v>0</v>
      </c>
      <c r="Q14" s="1250"/>
      <c r="R14" s="77"/>
      <c r="S14" s="54"/>
      <c r="T14" s="1438"/>
      <c r="U14" s="722"/>
      <c r="V14" s="1252"/>
      <c r="W14" s="1252"/>
      <c r="X14" s="1253"/>
      <c r="Y14" s="1254"/>
      <c r="Z14" s="1255"/>
      <c r="AA14" s="1256"/>
      <c r="AB14" s="1256"/>
      <c r="AC14" s="1257"/>
      <c r="AD14" s="1253"/>
      <c r="AE14" s="1258"/>
      <c r="AF14" s="55"/>
      <c r="AG14" s="146"/>
      <c r="AH14" s="1258"/>
      <c r="AI14" s="1809"/>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5" customFormat="1" ht="27">
      <c r="A15" s="2301" t="s">
        <v>2011</v>
      </c>
      <c r="B15" s="2297" t="s">
        <v>2010</v>
      </c>
      <c r="C15" s="2302" t="s">
        <v>2012</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2"/>
      <c r="V15" s="1252"/>
      <c r="W15" s="1252"/>
      <c r="X15" s="1253"/>
      <c r="Y15" s="1254"/>
      <c r="Z15" s="1255"/>
      <c r="AA15" s="1256"/>
      <c r="AB15" s="1256"/>
      <c r="AC15" s="1257"/>
      <c r="AD15" s="1253"/>
      <c r="AE15" s="1258"/>
      <c r="AF15" s="55"/>
      <c r="AG15" s="146"/>
      <c r="AH15" s="1258"/>
      <c r="AI15" s="1809"/>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5" customFormat="1" ht="15.75" thickBot="1">
      <c r="A16" s="2303" t="s">
        <v>2013</v>
      </c>
      <c r="B16" s="97"/>
      <c r="C16" s="1001"/>
      <c r="D16" s="2304"/>
      <c r="E16" s="97"/>
      <c r="F16" s="97"/>
      <c r="G16" s="98">
        <f>ROUND(SUMPRODUCT(G6:G13,K6:K13)/SUMPRODUCT((G6:G13&gt;0)*(K6:K13)),3)</f>
        <v>0.98499999999999999</v>
      </c>
      <c r="H16" s="99">
        <f>ROUND(SUMPRODUCT(H6:H13,K6:K13)/SUMPRODUCT((H6:H13&gt;0)*(K6:K13)),3)</f>
        <v>4.7E-2</v>
      </c>
      <c r="I16" s="100"/>
      <c r="J16" s="100"/>
      <c r="K16" s="101">
        <f>SUM(K6:K15)</f>
        <v>63702.12999999999</v>
      </c>
      <c r="L16" s="102">
        <f>ROUND(M16*10000/SUM(K6:K14),0)</f>
        <v>3500</v>
      </c>
      <c r="M16" s="102">
        <f>SUM(M6:M14)</f>
        <v>22295</v>
      </c>
      <c r="N16" s="103">
        <f>ROUND(SUMPRODUCT(M6:M14,N6:N14)/M16,3)</f>
        <v>0.75</v>
      </c>
      <c r="O16" s="102">
        <f>SUM(O6:O14)</f>
        <v>16722</v>
      </c>
      <c r="P16" s="102">
        <f>SUM(P6:P14)</f>
        <v>5573</v>
      </c>
      <c r="Q16" s="104">
        <f>ROUND(SUMPRODUCT(Q6:Q13,K6:K13)/SUMPRODUCT((Q6:Q13&gt;0)*(K6:K13)),2)</f>
        <v>0.14000000000000001</v>
      </c>
      <c r="R16" s="1251">
        <f ca="1">SUM(R6:R13)</f>
        <v>14226.66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5"/>
      <c r="D17" s="2263"/>
      <c r="E17" s="2263"/>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c r="AN17" s="2264">
        <f>K7/35</f>
        <v>24.685142857142857</v>
      </c>
    </row>
    <row r="18" spans="1:67" ht="15" thickBot="1">
      <c r="A18" s="68" t="s">
        <v>2014</v>
      </c>
      <c r="B18" s="2270"/>
      <c r="C18" s="2267"/>
      <c r="D18" s="2268"/>
      <c r="E18" s="2267"/>
      <c r="F18" s="2267"/>
      <c r="G18" s="2267"/>
      <c r="H18" s="2267"/>
      <c r="I18" s="2267"/>
      <c r="J18" s="2267"/>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6" t="s">
        <v>2015</v>
      </c>
      <c r="B19" s="112">
        <v>0</v>
      </c>
      <c r="C19" s="2267" t="s">
        <v>2016</v>
      </c>
      <c r="D19" s="2268"/>
      <c r="E19" s="2267"/>
      <c r="F19" s="2267"/>
      <c r="G19" s="2267"/>
      <c r="H19" s="2267"/>
      <c r="I19" s="2267"/>
      <c r="J19" s="2267"/>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7" t="s">
        <v>2017</v>
      </c>
      <c r="B20" s="2951">
        <v>3</v>
      </c>
      <c r="C20" s="2267" t="s">
        <v>2018</v>
      </c>
      <c r="D20" s="2268"/>
      <c r="E20" s="2267"/>
      <c r="F20" s="2267"/>
      <c r="G20" s="2267"/>
      <c r="H20" s="2267"/>
      <c r="I20" s="2267"/>
      <c r="J20" s="2267"/>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8" t="s">
        <v>2019</v>
      </c>
      <c r="B21" s="2951">
        <f>B20*N16</f>
        <v>2.25</v>
      </c>
      <c r="C21" s="2267"/>
      <c r="D21" s="2268"/>
      <c r="E21" s="2267"/>
      <c r="F21" s="2267"/>
      <c r="G21" s="2267"/>
      <c r="H21" s="2267"/>
      <c r="I21" s="2267"/>
      <c r="J21" s="2267"/>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7" t="s">
        <v>2020</v>
      </c>
      <c r="B22" s="113">
        <f>B19+B20</f>
        <v>3</v>
      </c>
      <c r="C22" s="2267"/>
      <c r="D22" s="2268"/>
      <c r="E22" s="2267"/>
      <c r="F22" s="2267"/>
      <c r="G22" s="2267"/>
      <c r="H22" s="2267"/>
      <c r="I22" s="2267"/>
      <c r="J22" s="2267"/>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8" t="s">
        <v>2021</v>
      </c>
      <c r="B23" s="113">
        <f>B19+B21</f>
        <v>2.25</v>
      </c>
      <c r="C23" s="2267"/>
      <c r="D23" s="2268"/>
      <c r="E23" s="2267"/>
      <c r="F23" s="2267"/>
      <c r="G23" s="2267"/>
      <c r="H23" s="2267"/>
      <c r="I23" s="2267"/>
      <c r="J23" s="2267"/>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9" t="s">
        <v>2022</v>
      </c>
      <c r="B24" s="114">
        <f>B20-B21</f>
        <v>0.75</v>
      </c>
      <c r="C24" s="2267"/>
      <c r="D24" s="2268"/>
      <c r="E24" s="2267"/>
      <c r="F24" s="2267"/>
      <c r="G24" s="2267"/>
      <c r="H24" s="2267"/>
      <c r="I24" s="2267"/>
      <c r="J24" s="2267"/>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0"/>
      <c r="C25" s="2267"/>
      <c r="D25" s="2268"/>
      <c r="E25" s="2267"/>
      <c r="F25" s="2267"/>
      <c r="G25" s="2267"/>
      <c r="H25" s="2267"/>
      <c r="I25" s="2267"/>
      <c r="J25" s="2267"/>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6" t="s">
        <v>2023</v>
      </c>
      <c r="B26" s="2310" t="s">
        <v>2024</v>
      </c>
      <c r="C26" s="2311" t="s">
        <v>2025</v>
      </c>
      <c r="D26" s="2268"/>
      <c r="E26" s="2267"/>
      <c r="F26" s="2267"/>
      <c r="G26" s="2267"/>
      <c r="H26" s="2267"/>
      <c r="I26" s="2267"/>
      <c r="J26" s="2267"/>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4" customFormat="1" ht="27.75">
      <c r="A27" s="2312" t="s">
        <v>2026</v>
      </c>
      <c r="B27" s="115">
        <v>150</v>
      </c>
      <c r="C27" s="1758" t="s">
        <v>2027</v>
      </c>
      <c r="D27" s="2313"/>
      <c r="E27" s="1422"/>
      <c r="F27" s="1422"/>
      <c r="G27" s="2267"/>
      <c r="H27" s="2267"/>
      <c r="I27" s="2267"/>
      <c r="J27" s="2267"/>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190</v>
      </c>
      <c r="C28" s="2316"/>
      <c r="D28" s="2313"/>
      <c r="E28" s="1422"/>
      <c r="F28" s="1422"/>
      <c r="G28" s="2267"/>
      <c r="H28" s="2267"/>
      <c r="I28" s="2267"/>
      <c r="J28" s="2267"/>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 ca="1">成本法!H9</f>
        <v>1131</v>
      </c>
      <c r="C29" s="1758" t="s">
        <v>2030</v>
      </c>
      <c r="D29" s="2313"/>
      <c r="E29" s="1422"/>
      <c r="F29" s="1422"/>
      <c r="G29" s="2267"/>
      <c r="H29" s="2267"/>
      <c r="I29" s="2267"/>
      <c r="J29" s="2267"/>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2"/>
      <c r="F30" s="1422"/>
      <c r="G30" s="2267"/>
      <c r="H30" s="2267"/>
      <c r="I30" s="2267"/>
      <c r="J30" s="2267"/>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58"/>
      <c r="D31" s="2313"/>
      <c r="E31" s="1422"/>
      <c r="F31" s="1422"/>
      <c r="G31" s="2267"/>
      <c r="H31" s="2267"/>
      <c r="I31" s="2267"/>
      <c r="J31" s="2267"/>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7" t="s">
        <v>2035</v>
      </c>
      <c r="D33" s="2268"/>
      <c r="E33" s="2267"/>
      <c r="F33" s="2267"/>
      <c r="G33" s="2267"/>
      <c r="H33" s="2267"/>
      <c r="I33" s="2267"/>
      <c r="J33" s="2267"/>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0.05</v>
      </c>
      <c r="C34" s="1757" t="s">
        <v>2037</v>
      </c>
      <c r="D34" s="2268" t="s">
        <v>2038</v>
      </c>
      <c r="E34" s="731"/>
      <c r="F34" s="2267"/>
      <c r="G34" s="2267"/>
      <c r="H34" s="2267"/>
      <c r="I34" s="2267"/>
      <c r="J34" s="2267"/>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7" t="s">
        <v>2040</v>
      </c>
      <c r="D35" s="2313"/>
      <c r="E35" s="1422"/>
      <c r="F35" s="1422"/>
      <c r="G35" s="2267"/>
      <c r="H35" s="2267"/>
      <c r="I35" s="2267"/>
      <c r="J35" s="2267"/>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7" t="s">
        <v>2042</v>
      </c>
      <c r="D36" s="2268"/>
      <c r="E36" s="2267"/>
      <c r="F36" s="2267"/>
      <c r="G36" s="2267"/>
      <c r="H36" s="2267"/>
      <c r="I36" s="2267"/>
      <c r="J36" s="2267"/>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8" t="s">
        <v>2043</v>
      </c>
      <c r="B37" s="123">
        <v>1.4999999999999999E-2</v>
      </c>
      <c r="C37" s="1757" t="s">
        <v>2044</v>
      </c>
      <c r="D37" s="2268"/>
      <c r="E37" s="2267"/>
      <c r="F37" s="2267"/>
      <c r="G37" s="2267"/>
      <c r="H37" s="2267"/>
      <c r="I37" s="2267"/>
      <c r="J37" s="2267"/>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5" t="s">
        <v>2045</v>
      </c>
      <c r="B38" s="121">
        <v>1.4999999999999999E-2</v>
      </c>
      <c r="C38" s="1757" t="s">
        <v>2044</v>
      </c>
      <c r="D38" s="2268"/>
      <c r="E38" s="2267"/>
      <c r="F38" s="2267"/>
      <c r="G38" s="2267"/>
      <c r="H38" s="2267"/>
      <c r="I38" s="2267"/>
      <c r="J38" s="2267"/>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9" t="s">
        <v>2046</v>
      </c>
      <c r="B39" s="361">
        <f ca="1">存贷款利率!I1</f>
        <v>1.4999999999999999E-2</v>
      </c>
      <c r="C39" s="1757"/>
      <c r="D39" s="2268"/>
      <c r="E39" s="2267"/>
      <c r="F39" s="2267"/>
      <c r="G39" s="2267"/>
      <c r="H39" s="2267"/>
      <c r="I39" s="2267"/>
      <c r="J39" s="2267"/>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9" t="s">
        <v>2047</v>
      </c>
      <c r="B40" s="1296">
        <f ca="1">存贷款利率!G1</f>
        <v>4.7500000000000001E-2</v>
      </c>
      <c r="C40" s="1757" t="s">
        <v>2048</v>
      </c>
      <c r="D40" s="1575"/>
      <c r="E40" s="2268"/>
      <c r="F40" s="2267"/>
      <c r="G40" s="2267"/>
      <c r="H40" s="2267"/>
      <c r="I40" s="2267"/>
      <c r="J40" s="2267"/>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2" t="s">
        <v>2049</v>
      </c>
      <c r="B41" s="124">
        <f>B42+B43</f>
        <v>5.5000000000000007E-2</v>
      </c>
      <c r="C41" s="1758"/>
      <c r="D41" s="1575"/>
      <c r="E41" s="2268"/>
      <c r="F41" s="2267"/>
      <c r="G41" s="2267"/>
      <c r="H41" s="2267"/>
      <c r="I41" s="2267"/>
      <c r="J41" s="2267"/>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0" t="s">
        <v>2050</v>
      </c>
      <c r="B42" s="125">
        <v>0.05</v>
      </c>
      <c r="C42" s="2321">
        <f>IF(B2&lt;DATE(2016,5,1),0,B42)</f>
        <v>0.05</v>
      </c>
      <c r="D42" s="2268"/>
      <c r="E42" s="2267"/>
      <c r="F42" s="2267"/>
      <c r="G42" s="2267"/>
      <c r="H42" s="2267"/>
      <c r="I42" s="2267"/>
      <c r="J42" s="2267"/>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0" t="s">
        <v>2051</v>
      </c>
      <c r="B43" s="126">
        <f>B42*(B44+B45+B46)+B47</f>
        <v>5.000000000000001E-3</v>
      </c>
      <c r="C43" s="1758"/>
      <c r="D43" s="2268"/>
      <c r="E43" s="2267"/>
      <c r="F43" s="2267"/>
      <c r="G43" s="2267"/>
      <c r="H43" s="2267"/>
      <c r="I43" s="2267"/>
      <c r="J43" s="2267"/>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2" t="s">
        <v>2052</v>
      </c>
      <c r="B44" s="127">
        <v>0.05</v>
      </c>
      <c r="C44" s="1757" t="s">
        <v>2053</v>
      </c>
      <c r="D44" s="2268"/>
      <c r="E44" s="2267"/>
      <c r="F44" s="2267"/>
      <c r="G44" s="2267"/>
      <c r="H44" s="2267"/>
      <c r="I44" s="2267"/>
      <c r="J44" s="2267"/>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2" t="s">
        <v>2054</v>
      </c>
      <c r="B45" s="125">
        <v>0.03</v>
      </c>
      <c r="C45" s="1758" t="s">
        <v>2055</v>
      </c>
      <c r="D45" s="2268"/>
      <c r="E45" s="2267"/>
      <c r="F45" s="2267"/>
      <c r="G45" s="2267"/>
      <c r="H45" s="2267"/>
      <c r="I45" s="2267"/>
      <c r="J45" s="2267"/>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2" t="s">
        <v>2056</v>
      </c>
      <c r="B46" s="125">
        <v>0.02</v>
      </c>
      <c r="C46" s="1758" t="s">
        <v>2057</v>
      </c>
      <c r="D46" s="2268"/>
      <c r="E46" s="2267"/>
      <c r="F46" s="2267"/>
      <c r="G46" s="2267"/>
      <c r="H46" s="2267"/>
      <c r="I46" s="2267"/>
      <c r="J46" s="2267"/>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3" t="s">
        <v>2058</v>
      </c>
      <c r="B47" s="128"/>
      <c r="C47" s="1758" t="s">
        <v>2059</v>
      </c>
      <c r="D47" s="2268"/>
      <c r="E47" s="2267"/>
      <c r="F47" s="2267"/>
      <c r="G47" s="2267"/>
      <c r="H47" s="2267"/>
      <c r="I47" s="2267"/>
      <c r="J47" s="2267"/>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4" t="s">
        <v>2060</v>
      </c>
      <c r="B48" s="129">
        <v>0.03</v>
      </c>
      <c r="C48" s="1765" t="s">
        <v>2061</v>
      </c>
      <c r="D48" s="2268"/>
      <c r="E48" s="2267"/>
      <c r="F48" s="2267"/>
      <c r="G48" s="2267"/>
      <c r="H48" s="2267"/>
      <c r="I48" s="2267"/>
      <c r="J48" s="2267"/>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9" t="s">
        <v>2062</v>
      </c>
      <c r="B49" s="125">
        <v>5.0000000000000001E-4</v>
      </c>
      <c r="C49" s="1765" t="s">
        <v>2063</v>
      </c>
      <c r="D49" s="2268"/>
      <c r="E49" s="2267"/>
      <c r="F49" s="2267"/>
      <c r="G49" s="2267"/>
      <c r="H49" s="2267"/>
      <c r="I49" s="2267"/>
      <c r="J49" s="2267"/>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5" t="s">
        <v>2064</v>
      </c>
      <c r="B50" s="130">
        <v>1.2E-2</v>
      </c>
      <c r="C50" s="1422"/>
      <c r="D50" s="2268"/>
      <c r="E50" s="2267"/>
      <c r="F50" s="2267"/>
      <c r="G50" s="2267"/>
      <c r="H50" s="2267"/>
      <c r="I50" s="2267"/>
      <c r="J50" s="2267"/>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7" t="s">
        <v>2065</v>
      </c>
      <c r="B51" s="131">
        <v>0.12</v>
      </c>
      <c r="C51" s="1422"/>
      <c r="D51" s="2268"/>
      <c r="E51" s="2267"/>
      <c r="F51" s="2267"/>
      <c r="G51" s="2267"/>
      <c r="H51" s="2267"/>
      <c r="I51" s="2267"/>
      <c r="J51" s="2267"/>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5" t="s">
        <v>2066</v>
      </c>
      <c r="B52" s="132">
        <f>SUMIF(A54:A63,B53,B54:B63)</f>
        <v>1.5</v>
      </c>
      <c r="C52" s="1422"/>
      <c r="D52" s="2268"/>
      <c r="E52" s="2267"/>
      <c r="F52" s="2267"/>
      <c r="G52" s="2267"/>
      <c r="H52" s="2267"/>
      <c r="I52" s="2267"/>
      <c r="J52" s="2267"/>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5" t="s">
        <v>2067</v>
      </c>
      <c r="B53" s="2326" t="s">
        <v>56</v>
      </c>
      <c r="C53" s="1422" t="s">
        <v>2068</v>
      </c>
      <c r="D53" s="2327" t="s">
        <v>2069</v>
      </c>
      <c r="E53" s="2267"/>
      <c r="F53" s="2267"/>
      <c r="G53" s="2267"/>
      <c r="H53" s="2267"/>
      <c r="I53" s="2267"/>
      <c r="J53" s="2267"/>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8" t="s">
        <v>2070</v>
      </c>
      <c r="B54" s="84"/>
      <c r="C54" s="1422">
        <v>30</v>
      </c>
      <c r="D54" s="2268"/>
      <c r="E54" s="2267"/>
      <c r="F54" s="2267"/>
      <c r="G54" s="2267"/>
      <c r="H54" s="2267"/>
      <c r="I54" s="2267"/>
      <c r="J54" s="2267"/>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8" t="s">
        <v>2071</v>
      </c>
      <c r="B55" s="84"/>
      <c r="C55" s="1422">
        <v>24</v>
      </c>
      <c r="D55" s="2268"/>
      <c r="E55" s="2267"/>
      <c r="F55" s="2267"/>
      <c r="G55" s="2267"/>
      <c r="H55" s="2267"/>
      <c r="I55" s="2329"/>
      <c r="J55" s="2267"/>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8" t="s">
        <v>2072</v>
      </c>
      <c r="B56" s="84"/>
      <c r="C56" s="1422">
        <v>18</v>
      </c>
      <c r="D56" s="2268"/>
      <c r="E56" s="2267"/>
      <c r="F56" s="2267"/>
      <c r="G56" s="2267"/>
      <c r="H56" s="2267"/>
      <c r="I56" s="2267"/>
      <c r="J56" s="2267"/>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8" t="s">
        <v>2073</v>
      </c>
      <c r="B57" s="84"/>
      <c r="C57" s="1422">
        <v>12</v>
      </c>
      <c r="D57" s="2268"/>
      <c r="E57" s="2267"/>
      <c r="F57" s="2267"/>
      <c r="G57" s="2267"/>
      <c r="H57" s="2267"/>
      <c r="I57" s="2267"/>
      <c r="J57" s="2267"/>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8" t="s">
        <v>2074</v>
      </c>
      <c r="B58" s="84"/>
      <c r="C58" s="1422">
        <v>3</v>
      </c>
      <c r="D58" s="2268"/>
      <c r="E58" s="2267"/>
      <c r="F58" s="2267"/>
      <c r="G58" s="2267"/>
      <c r="H58" s="2267"/>
      <c r="I58" s="2267"/>
      <c r="J58" s="2267"/>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8" t="s">
        <v>2075</v>
      </c>
      <c r="B59" s="84">
        <v>1.5</v>
      </c>
      <c r="C59" s="1422">
        <v>1.5</v>
      </c>
      <c r="D59" s="2268"/>
      <c r="E59" s="2267"/>
      <c r="F59" s="2267"/>
      <c r="G59" s="2267"/>
      <c r="H59" s="2267"/>
      <c r="I59" s="2267"/>
      <c r="J59" s="2267"/>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8" t="s">
        <v>2076</v>
      </c>
      <c r="B60" s="84"/>
      <c r="C60" s="2267"/>
      <c r="D60" s="2268"/>
      <c r="E60" s="2267"/>
      <c r="F60" s="2267"/>
      <c r="G60" s="2267"/>
      <c r="H60" s="2267"/>
      <c r="I60" s="2267"/>
      <c r="J60" s="2267"/>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8" t="s">
        <v>2077</v>
      </c>
      <c r="B61" s="84"/>
      <c r="C61" s="2267"/>
      <c r="D61" s="2268"/>
      <c r="E61" s="2267"/>
      <c r="F61" s="2267"/>
      <c r="G61" s="2267"/>
      <c r="H61" s="2267"/>
      <c r="I61" s="2267"/>
      <c r="J61" s="2267"/>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8" t="s">
        <v>2078</v>
      </c>
      <c r="B62" s="84"/>
      <c r="C62" s="2267"/>
      <c r="D62" s="2268"/>
      <c r="E62" s="2267"/>
      <c r="F62" s="2267"/>
      <c r="G62" s="2267"/>
      <c r="H62" s="2267"/>
      <c r="I62" s="2267"/>
      <c r="J62" s="2267"/>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2079</v>
      </c>
      <c r="B63" s="133"/>
      <c r="C63" s="2267"/>
      <c r="D63" s="2268"/>
      <c r="E63" s="2267"/>
      <c r="F63" s="2267"/>
      <c r="G63" s="2267"/>
      <c r="H63" s="2267"/>
      <c r="I63" s="2267"/>
      <c r="J63" s="2267"/>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86" t="s">
        <v>2080</v>
      </c>
      <c r="B1" s="3087"/>
      <c r="C1" s="3087"/>
      <c r="D1" s="3087"/>
      <c r="E1" s="3087"/>
      <c r="F1" s="3087"/>
      <c r="G1" s="308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54">
      <c r="A3" s="414" t="s">
        <v>2083</v>
      </c>
      <c r="B3" s="1264" t="s">
        <v>2084</v>
      </c>
      <c r="C3" s="2360" t="s">
        <v>2085</v>
      </c>
      <c r="D3" s="2361"/>
      <c r="E3" s="430" t="s">
        <v>2083</v>
      </c>
      <c r="F3" s="2362" t="s">
        <v>2086</v>
      </c>
      <c r="G3" s="2363" t="s">
        <v>2087</v>
      </c>
      <c r="H3" s="2358"/>
      <c r="I3" s="2358"/>
      <c r="J3" s="2358"/>
      <c r="K3" s="2358"/>
      <c r="L3" s="2358"/>
      <c r="M3" s="2358"/>
      <c r="N3" s="2358"/>
      <c r="O3" s="2358"/>
      <c r="P3" s="2358"/>
      <c r="Q3" s="2358"/>
      <c r="R3" s="2358"/>
    </row>
    <row r="4" spans="1:29" ht="41.25">
      <c r="A4" s="430"/>
      <c r="B4" s="1789" t="s">
        <v>2088</v>
      </c>
      <c r="C4" s="2364" t="s">
        <v>2089</v>
      </c>
      <c r="D4" s="2361"/>
      <c r="E4" s="2365"/>
      <c r="F4" s="42" t="s">
        <v>2090</v>
      </c>
      <c r="G4" s="2366" t="s">
        <v>2091</v>
      </c>
      <c r="H4" s="2358"/>
      <c r="I4" s="2358"/>
      <c r="J4" s="2358"/>
      <c r="K4" s="2358"/>
      <c r="L4" s="2358"/>
      <c r="M4" s="2358"/>
      <c r="N4" s="2358"/>
      <c r="O4" s="2358"/>
      <c r="P4" s="2358"/>
      <c r="Q4" s="2358"/>
      <c r="R4" s="2358"/>
    </row>
    <row r="5" spans="1:29" ht="41.25">
      <c r="A5" s="430"/>
      <c r="B5" s="1789" t="s">
        <v>2092</v>
      </c>
      <c r="C5" s="2364" t="s">
        <v>2093</v>
      </c>
      <c r="D5" s="2361"/>
      <c r="E5" s="2365"/>
      <c r="F5" s="1789" t="s">
        <v>2094</v>
      </c>
      <c r="G5" s="2366" t="s">
        <v>2095</v>
      </c>
      <c r="H5" s="2358"/>
      <c r="I5" s="2358"/>
      <c r="J5" s="2358"/>
      <c r="K5" s="2358"/>
      <c r="L5" s="2358"/>
      <c r="M5" s="2358"/>
      <c r="N5" s="2358"/>
      <c r="O5" s="2358"/>
      <c r="P5" s="2358"/>
      <c r="Q5" s="2358"/>
      <c r="R5" s="2358"/>
    </row>
    <row r="6" spans="1:29" ht="54">
      <c r="A6" s="430"/>
      <c r="B6" s="1789" t="s">
        <v>2096</v>
      </c>
      <c r="C6" s="2366" t="s">
        <v>2091</v>
      </c>
      <c r="D6" s="2361"/>
      <c r="E6" s="2365"/>
      <c r="F6" s="1789" t="s">
        <v>2097</v>
      </c>
      <c r="G6" s="2366" t="s">
        <v>2098</v>
      </c>
      <c r="H6" s="2358"/>
      <c r="I6" s="2358"/>
      <c r="J6" s="2358"/>
      <c r="K6" s="2358"/>
      <c r="L6" s="2358"/>
      <c r="M6" s="2358"/>
      <c r="N6" s="2358"/>
      <c r="O6" s="2358"/>
      <c r="P6" s="2358"/>
      <c r="Q6" s="2358"/>
      <c r="R6" s="2358"/>
    </row>
    <row r="7" spans="1:29" ht="41.25" thickBot="1">
      <c r="A7" s="430"/>
      <c r="B7" s="1789" t="s">
        <v>2094</v>
      </c>
      <c r="C7" s="2366" t="s">
        <v>2095</v>
      </c>
      <c r="D7" s="2367"/>
      <c r="E7" s="2368"/>
      <c r="F7" s="2369" t="s">
        <v>2099</v>
      </c>
      <c r="G7" s="2370" t="s">
        <v>2100</v>
      </c>
      <c r="H7" s="2358"/>
      <c r="I7" s="2358"/>
      <c r="J7" s="2358"/>
      <c r="K7" s="2358"/>
      <c r="L7" s="2358"/>
      <c r="M7" s="2358"/>
      <c r="N7" s="2358"/>
      <c r="O7" s="2358"/>
      <c r="P7" s="2358"/>
      <c r="Q7" s="2358"/>
      <c r="R7" s="2358"/>
    </row>
    <row r="8" spans="1:29" ht="27">
      <c r="A8" s="430"/>
      <c r="B8" s="1789" t="s">
        <v>2097</v>
      </c>
      <c r="C8" s="2366" t="s">
        <v>2098</v>
      </c>
      <c r="D8" s="2367"/>
      <c r="E8" s="2367"/>
      <c r="F8" s="1129"/>
      <c r="G8" s="1129"/>
      <c r="H8" s="2358"/>
      <c r="I8" s="2358"/>
      <c r="J8" s="2358"/>
      <c r="K8" s="2358"/>
      <c r="L8" s="2358"/>
      <c r="M8" s="2358"/>
      <c r="N8" s="2358"/>
      <c r="O8" s="2358"/>
      <c r="P8" s="2358"/>
      <c r="Q8" s="2358"/>
      <c r="R8" s="2358"/>
    </row>
    <row r="9" spans="1:29" ht="27">
      <c r="A9" s="430"/>
      <c r="B9" s="1789" t="s">
        <v>2101</v>
      </c>
      <c r="C9" s="2364" t="s">
        <v>2102</v>
      </c>
      <c r="D9" s="2361"/>
      <c r="E9" s="2367"/>
      <c r="F9" s="1129"/>
      <c r="G9" s="1129"/>
      <c r="H9" s="2358"/>
      <c r="I9" s="2358"/>
      <c r="J9" s="2358"/>
      <c r="K9" s="2358"/>
      <c r="L9" s="2358"/>
      <c r="M9" s="2358"/>
      <c r="N9" s="2358"/>
      <c r="O9" s="2358"/>
      <c r="P9" s="2358"/>
      <c r="Q9" s="2358"/>
      <c r="R9" s="2358"/>
    </row>
    <row r="10" spans="1:29" s="116" customFormat="1" ht="15.75" thickBot="1">
      <c r="A10" s="2371"/>
      <c r="B10" s="2372" t="s">
        <v>2103</v>
      </c>
      <c r="C10" s="2373"/>
      <c r="D10" s="2361"/>
      <c r="E10" s="2361"/>
      <c r="F10" s="1129"/>
      <c r="G10" s="1129"/>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7"/>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7"/>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2104</v>
      </c>
      <c r="B13" s="2378"/>
      <c r="C13" s="2378"/>
      <c r="D13" s="2385"/>
      <c r="E13" s="2378"/>
      <c r="F13" s="2378"/>
      <c r="G13" s="2378"/>
    </row>
    <row r="14" spans="1:29" ht="15.75" thickBot="1">
      <c r="A14" s="2389"/>
      <c r="B14" s="2390"/>
      <c r="C14" s="2391" t="s">
        <v>2105</v>
      </c>
      <c r="D14" s="2361"/>
      <c r="E14" s="2392"/>
      <c r="F14" s="2392"/>
      <c r="G14" s="2355" t="s">
        <v>2106</v>
      </c>
    </row>
    <row r="15" spans="1:29" ht="57">
      <c r="A15" s="68" t="s">
        <v>2107</v>
      </c>
      <c r="B15" s="1263" t="s">
        <v>2084</v>
      </c>
      <c r="C15" s="2393" t="str">
        <f>C3</f>
        <v>估价对象周边居住用地比例、居住小区规模和社区发展完善程度，综合评价居住社区成熟度一般</v>
      </c>
      <c r="D15" s="2361"/>
      <c r="E15" s="2394" t="s">
        <v>2108</v>
      </c>
      <c r="F15" s="1263" t="s">
        <v>2109</v>
      </c>
      <c r="G15" s="134" t="str">
        <f>G3</f>
        <v>估价对象位于XX开发区，园区建设成熟度XX，产业集聚程度XX</v>
      </c>
    </row>
    <row r="16" spans="1:29" ht="42.75">
      <c r="A16" s="644"/>
      <c r="B16" s="2395" t="s">
        <v>2088</v>
      </c>
      <c r="C16" s="2396" t="str">
        <f>C4</f>
        <v>估价对象位于XX商圈，周边商业氛围成熟，人流量大，商业繁华度好</v>
      </c>
      <c r="D16" s="2361"/>
      <c r="E16" s="2397"/>
      <c r="F16" s="2398" t="s">
        <v>2090</v>
      </c>
      <c r="G16" s="135" t="str">
        <f>G4</f>
        <v>估价对象周边道路状况、公共交通通达情况、停车便捷程度，综合评价交通便捷度较好</v>
      </c>
    </row>
    <row r="17" spans="1:18" ht="42.75">
      <c r="A17" s="644"/>
      <c r="B17" s="2395" t="s">
        <v>2092</v>
      </c>
      <c r="C17" s="2396" t="str">
        <f>C5</f>
        <v>估价对象位于XX商圈，周边办公楼项目较多，入驻率高，办公集聚程度较好</v>
      </c>
      <c r="D17" s="2367"/>
      <c r="E17" s="2397"/>
      <c r="F17" s="2398" t="s">
        <v>2110</v>
      </c>
      <c r="G17" s="1563"/>
    </row>
    <row r="18" spans="1:18" ht="57">
      <c r="A18" s="644"/>
      <c r="B18" s="2398" t="s">
        <v>2096</v>
      </c>
      <c r="C18" s="135" t="str">
        <f>C6</f>
        <v>估价对象周边道路状况、公共交通通达情况、停车便捷程度，综合评价交通便捷度较好</v>
      </c>
      <c r="D18" s="2367"/>
      <c r="E18" s="2397"/>
      <c r="F18" s="2398" t="s">
        <v>2099</v>
      </c>
      <c r="G18" s="135" t="str">
        <f>G7</f>
        <v>该园区内是否有污染型企业，绿化情况，卫生条件，整体环境状况判断</v>
      </c>
    </row>
    <row r="19" spans="1:18" ht="28.5">
      <c r="A19" s="644"/>
      <c r="B19" s="2398" t="s">
        <v>2111</v>
      </c>
      <c r="C19" s="1563"/>
      <c r="D19" s="2361"/>
      <c r="E19" s="2397"/>
      <c r="F19" s="1789" t="s">
        <v>2094</v>
      </c>
      <c r="G19" s="135" t="str">
        <f>G5</f>
        <v>估价对象所在区域公共配套设施齐备情况</v>
      </c>
    </row>
    <row r="20" spans="1:18" ht="28.5">
      <c r="A20" s="644"/>
      <c r="B20" s="2398" t="s">
        <v>2112</v>
      </c>
      <c r="C20" s="2396" t="str">
        <f>C9</f>
        <v>区域自然环境：；人文环境；综合评价环境状况一般</v>
      </c>
      <c r="D20" s="2367"/>
      <c r="E20" s="2397"/>
      <c r="F20" s="1789" t="s">
        <v>2113</v>
      </c>
      <c r="G20" s="135" t="str">
        <f>G6</f>
        <v>估价对象所在区域基础设施水平</v>
      </c>
    </row>
    <row r="21" spans="1:18" ht="28.5">
      <c r="A21" s="644"/>
      <c r="B21" s="1789" t="s">
        <v>2094</v>
      </c>
      <c r="C21" s="135" t="str">
        <f>C7</f>
        <v>估价对象所在区域公共配套设施齐备情况</v>
      </c>
      <c r="D21" s="2361"/>
      <c r="E21" s="2397"/>
      <c r="F21" s="2398" t="s">
        <v>2114</v>
      </c>
      <c r="G21" s="2399"/>
    </row>
    <row r="22" spans="1:18" ht="13.5" customHeight="1">
      <c r="A22" s="644"/>
      <c r="B22" s="1789" t="s">
        <v>2097</v>
      </c>
      <c r="C22" s="135" t="str">
        <f>C8</f>
        <v>估价对象所在区域基础设施水平</v>
      </c>
      <c r="D22" s="2361"/>
      <c r="E22" s="2397"/>
      <c r="F22" s="2398" t="s">
        <v>2103</v>
      </c>
      <c r="G22" s="1563"/>
    </row>
    <row r="23" spans="1:18" s="2358" customFormat="1" ht="15.75" thickBot="1">
      <c r="A23" s="644"/>
      <c r="B23" s="2398" t="s">
        <v>2114</v>
      </c>
      <c r="C23" s="2399"/>
      <c r="D23" s="2386"/>
      <c r="E23" s="2400"/>
      <c r="F23" s="2401" t="s">
        <v>2115</v>
      </c>
      <c r="G23" s="2402"/>
      <c r="H23" s="2386"/>
      <c r="I23" s="2387"/>
      <c r="J23" s="2386"/>
      <c r="K23" s="2386"/>
      <c r="L23" s="2387"/>
      <c r="M23" s="2386"/>
      <c r="N23" s="2386"/>
      <c r="O23" s="2387"/>
      <c r="P23" s="2386"/>
      <c r="Q23" s="2386"/>
      <c r="R23" s="2388"/>
    </row>
    <row r="24" spans="1:18" s="2358" customFormat="1" ht="15.75" thickBot="1">
      <c r="A24" s="2403"/>
      <c r="B24" s="2401" t="s">
        <v>2116</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dimension ref="A1:O116"/>
  <sheetViews>
    <sheetView zoomScale="70" zoomScaleNormal="70" workbookViewId="0">
      <pane xSplit="1" ySplit="2" topLeftCell="B3" activePane="bottomRight" state="frozen"/>
      <selection pane="topRight" activeCell="B1" sqref="B1"/>
      <selection pane="bottomLeft" activeCell="A3" sqref="A3"/>
      <selection pane="bottomRight" activeCell="M27" sqref="M27"/>
    </sheetView>
  </sheetViews>
  <sheetFormatPr defaultColWidth="10" defaultRowHeight="13.5"/>
  <cols>
    <col min="1" max="1" width="11.75" customWidth="1"/>
    <col min="2" max="2" width="13.75" customWidth="1"/>
    <col min="3" max="3" width="11.625" customWidth="1"/>
    <col min="4" max="4" width="12.625" customWidth="1"/>
    <col min="5" max="5" width="10" style="2972"/>
    <col min="6" max="6" width="10" style="2990"/>
    <col min="7" max="8" width="11.5" style="2990" customWidth="1"/>
    <col min="9" max="9" width="14.5" style="2990" bestFit="1" customWidth="1"/>
    <col min="10" max="10" width="11.5" style="2990" customWidth="1"/>
    <col min="13" max="13" width="10.5" bestFit="1" customWidth="1"/>
    <col min="15" max="15" width="11.5" bestFit="1" customWidth="1"/>
    <col min="16" max="16" width="14" bestFit="1" customWidth="1"/>
    <col min="257" max="257" width="11.75" customWidth="1"/>
    <col min="258" max="258" width="12.5" customWidth="1"/>
    <col min="259" max="259" width="13.75" customWidth="1"/>
    <col min="260" max="260" width="12.625" customWidth="1"/>
    <col min="261" max="262" width="10.5" bestFit="1" customWidth="1"/>
    <col min="263" max="263" width="11.625" customWidth="1"/>
    <col min="264" max="264" width="12.625" customWidth="1"/>
    <col min="265" max="265" width="10.5" bestFit="1" customWidth="1"/>
    <col min="269" max="269" width="10.5" bestFit="1" customWidth="1"/>
    <col min="271" max="271" width="11.5" bestFit="1" customWidth="1"/>
    <col min="272" max="272" width="14" bestFit="1" customWidth="1"/>
    <col min="513" max="513" width="11.75" customWidth="1"/>
    <col min="514" max="514" width="12.5" customWidth="1"/>
    <col min="515" max="515" width="13.75" customWidth="1"/>
    <col min="516" max="516" width="12.625" customWidth="1"/>
    <col min="517" max="518" width="10.5" bestFit="1" customWidth="1"/>
    <col min="519" max="519" width="11.625" customWidth="1"/>
    <col min="520" max="520" width="12.625" customWidth="1"/>
    <col min="521" max="521" width="10.5" bestFit="1" customWidth="1"/>
    <col min="525" max="525" width="10.5" bestFit="1" customWidth="1"/>
    <col min="527" max="527" width="11.5" bestFit="1" customWidth="1"/>
    <col min="528" max="528" width="14" bestFit="1" customWidth="1"/>
    <col min="769" max="769" width="11.75" customWidth="1"/>
    <col min="770" max="770" width="12.5" customWidth="1"/>
    <col min="771" max="771" width="13.75" customWidth="1"/>
    <col min="772" max="772" width="12.625" customWidth="1"/>
    <col min="773" max="774" width="10.5" bestFit="1" customWidth="1"/>
    <col min="775" max="775" width="11.625" customWidth="1"/>
    <col min="776" max="776" width="12.625" customWidth="1"/>
    <col min="777" max="777" width="10.5" bestFit="1" customWidth="1"/>
    <col min="781" max="781" width="10.5" bestFit="1" customWidth="1"/>
    <col min="783" max="783" width="11.5" bestFit="1" customWidth="1"/>
    <col min="784" max="784" width="14" bestFit="1" customWidth="1"/>
    <col min="1025" max="1025" width="11.75" customWidth="1"/>
    <col min="1026" max="1026" width="12.5" customWidth="1"/>
    <col min="1027" max="1027" width="13.75" customWidth="1"/>
    <col min="1028" max="1028" width="12.625" customWidth="1"/>
    <col min="1029" max="1030" width="10.5" bestFit="1" customWidth="1"/>
    <col min="1031" max="1031" width="11.625" customWidth="1"/>
    <col min="1032" max="1032" width="12.625" customWidth="1"/>
    <col min="1033" max="1033" width="10.5" bestFit="1" customWidth="1"/>
    <col min="1037" max="1037" width="10.5" bestFit="1" customWidth="1"/>
    <col min="1039" max="1039" width="11.5" bestFit="1" customWidth="1"/>
    <col min="1040" max="1040" width="14" bestFit="1" customWidth="1"/>
    <col min="1281" max="1281" width="11.75" customWidth="1"/>
    <col min="1282" max="1282" width="12.5" customWidth="1"/>
    <col min="1283" max="1283" width="13.75" customWidth="1"/>
    <col min="1284" max="1284" width="12.625" customWidth="1"/>
    <col min="1285" max="1286" width="10.5" bestFit="1" customWidth="1"/>
    <col min="1287" max="1287" width="11.625" customWidth="1"/>
    <col min="1288" max="1288" width="12.625" customWidth="1"/>
    <col min="1289" max="1289" width="10.5" bestFit="1" customWidth="1"/>
    <col min="1293" max="1293" width="10.5" bestFit="1" customWidth="1"/>
    <col min="1295" max="1295" width="11.5" bestFit="1" customWidth="1"/>
    <col min="1296" max="1296" width="14" bestFit="1" customWidth="1"/>
    <col min="1537" max="1537" width="11.75" customWidth="1"/>
    <col min="1538" max="1538" width="12.5" customWidth="1"/>
    <col min="1539" max="1539" width="13.75" customWidth="1"/>
    <col min="1540" max="1540" width="12.625" customWidth="1"/>
    <col min="1541" max="1542" width="10.5" bestFit="1" customWidth="1"/>
    <col min="1543" max="1543" width="11.625" customWidth="1"/>
    <col min="1544" max="1544" width="12.625" customWidth="1"/>
    <col min="1545" max="1545" width="10.5" bestFit="1" customWidth="1"/>
    <col min="1549" max="1549" width="10.5" bestFit="1" customWidth="1"/>
    <col min="1551" max="1551" width="11.5" bestFit="1" customWidth="1"/>
    <col min="1552" max="1552" width="14" bestFit="1" customWidth="1"/>
    <col min="1793" max="1793" width="11.75" customWidth="1"/>
    <col min="1794" max="1794" width="12.5" customWidth="1"/>
    <col min="1795" max="1795" width="13.75" customWidth="1"/>
    <col min="1796" max="1796" width="12.625" customWidth="1"/>
    <col min="1797" max="1798" width="10.5" bestFit="1" customWidth="1"/>
    <col min="1799" max="1799" width="11.625" customWidth="1"/>
    <col min="1800" max="1800" width="12.625" customWidth="1"/>
    <col min="1801" max="1801" width="10.5" bestFit="1" customWidth="1"/>
    <col min="1805" max="1805" width="10.5" bestFit="1" customWidth="1"/>
    <col min="1807" max="1807" width="11.5" bestFit="1" customWidth="1"/>
    <col min="1808" max="1808" width="14" bestFit="1" customWidth="1"/>
    <col min="2049" max="2049" width="11.75" customWidth="1"/>
    <col min="2050" max="2050" width="12.5" customWidth="1"/>
    <col min="2051" max="2051" width="13.75" customWidth="1"/>
    <col min="2052" max="2052" width="12.625" customWidth="1"/>
    <col min="2053" max="2054" width="10.5" bestFit="1" customWidth="1"/>
    <col min="2055" max="2055" width="11.625" customWidth="1"/>
    <col min="2056" max="2056" width="12.625" customWidth="1"/>
    <col min="2057" max="2057" width="10.5" bestFit="1" customWidth="1"/>
    <col min="2061" max="2061" width="10.5" bestFit="1" customWidth="1"/>
    <col min="2063" max="2063" width="11.5" bestFit="1" customWidth="1"/>
    <col min="2064" max="2064" width="14" bestFit="1" customWidth="1"/>
    <col min="2305" max="2305" width="11.75" customWidth="1"/>
    <col min="2306" max="2306" width="12.5" customWidth="1"/>
    <col min="2307" max="2307" width="13.75" customWidth="1"/>
    <col min="2308" max="2308" width="12.625" customWidth="1"/>
    <col min="2309" max="2310" width="10.5" bestFit="1" customWidth="1"/>
    <col min="2311" max="2311" width="11.625" customWidth="1"/>
    <col min="2312" max="2312" width="12.625" customWidth="1"/>
    <col min="2313" max="2313" width="10.5" bestFit="1" customWidth="1"/>
    <col min="2317" max="2317" width="10.5" bestFit="1" customWidth="1"/>
    <col min="2319" max="2319" width="11.5" bestFit="1" customWidth="1"/>
    <col min="2320" max="2320" width="14" bestFit="1" customWidth="1"/>
    <col min="2561" max="2561" width="11.75" customWidth="1"/>
    <col min="2562" max="2562" width="12.5" customWidth="1"/>
    <col min="2563" max="2563" width="13.75" customWidth="1"/>
    <col min="2564" max="2564" width="12.625" customWidth="1"/>
    <col min="2565" max="2566" width="10.5" bestFit="1" customWidth="1"/>
    <col min="2567" max="2567" width="11.625" customWidth="1"/>
    <col min="2568" max="2568" width="12.625" customWidth="1"/>
    <col min="2569" max="2569" width="10.5" bestFit="1" customWidth="1"/>
    <col min="2573" max="2573" width="10.5" bestFit="1" customWidth="1"/>
    <col min="2575" max="2575" width="11.5" bestFit="1" customWidth="1"/>
    <col min="2576" max="2576" width="14" bestFit="1" customWidth="1"/>
    <col min="2817" max="2817" width="11.75" customWidth="1"/>
    <col min="2818" max="2818" width="12.5" customWidth="1"/>
    <col min="2819" max="2819" width="13.75" customWidth="1"/>
    <col min="2820" max="2820" width="12.625" customWidth="1"/>
    <col min="2821" max="2822" width="10.5" bestFit="1" customWidth="1"/>
    <col min="2823" max="2823" width="11.625" customWidth="1"/>
    <col min="2824" max="2824" width="12.625" customWidth="1"/>
    <col min="2825" max="2825" width="10.5" bestFit="1" customWidth="1"/>
    <col min="2829" max="2829" width="10.5" bestFit="1" customWidth="1"/>
    <col min="2831" max="2831" width="11.5" bestFit="1" customWidth="1"/>
    <col min="2832" max="2832" width="14" bestFit="1" customWidth="1"/>
    <col min="3073" max="3073" width="11.75" customWidth="1"/>
    <col min="3074" max="3074" width="12.5" customWidth="1"/>
    <col min="3075" max="3075" width="13.75" customWidth="1"/>
    <col min="3076" max="3076" width="12.625" customWidth="1"/>
    <col min="3077" max="3078" width="10.5" bestFit="1" customWidth="1"/>
    <col min="3079" max="3079" width="11.625" customWidth="1"/>
    <col min="3080" max="3080" width="12.625" customWidth="1"/>
    <col min="3081" max="3081" width="10.5" bestFit="1" customWidth="1"/>
    <col min="3085" max="3085" width="10.5" bestFit="1" customWidth="1"/>
    <col min="3087" max="3087" width="11.5" bestFit="1" customWidth="1"/>
    <col min="3088" max="3088" width="14" bestFit="1" customWidth="1"/>
    <col min="3329" max="3329" width="11.75" customWidth="1"/>
    <col min="3330" max="3330" width="12.5" customWidth="1"/>
    <col min="3331" max="3331" width="13.75" customWidth="1"/>
    <col min="3332" max="3332" width="12.625" customWidth="1"/>
    <col min="3333" max="3334" width="10.5" bestFit="1" customWidth="1"/>
    <col min="3335" max="3335" width="11.625" customWidth="1"/>
    <col min="3336" max="3336" width="12.625" customWidth="1"/>
    <col min="3337" max="3337" width="10.5" bestFit="1" customWidth="1"/>
    <col min="3341" max="3341" width="10.5" bestFit="1" customWidth="1"/>
    <col min="3343" max="3343" width="11.5" bestFit="1" customWidth="1"/>
    <col min="3344" max="3344" width="14" bestFit="1" customWidth="1"/>
    <col min="3585" max="3585" width="11.75" customWidth="1"/>
    <col min="3586" max="3586" width="12.5" customWidth="1"/>
    <col min="3587" max="3587" width="13.75" customWidth="1"/>
    <col min="3588" max="3588" width="12.625" customWidth="1"/>
    <col min="3589" max="3590" width="10.5" bestFit="1" customWidth="1"/>
    <col min="3591" max="3591" width="11.625" customWidth="1"/>
    <col min="3592" max="3592" width="12.625" customWidth="1"/>
    <col min="3593" max="3593" width="10.5" bestFit="1" customWidth="1"/>
    <col min="3597" max="3597" width="10.5" bestFit="1" customWidth="1"/>
    <col min="3599" max="3599" width="11.5" bestFit="1" customWidth="1"/>
    <col min="3600" max="3600" width="14" bestFit="1" customWidth="1"/>
    <col min="3841" max="3841" width="11.75" customWidth="1"/>
    <col min="3842" max="3842" width="12.5" customWidth="1"/>
    <col min="3843" max="3843" width="13.75" customWidth="1"/>
    <col min="3844" max="3844" width="12.625" customWidth="1"/>
    <col min="3845" max="3846" width="10.5" bestFit="1" customWidth="1"/>
    <col min="3847" max="3847" width="11.625" customWidth="1"/>
    <col min="3848" max="3848" width="12.625" customWidth="1"/>
    <col min="3849" max="3849" width="10.5" bestFit="1" customWidth="1"/>
    <col min="3853" max="3853" width="10.5" bestFit="1" customWidth="1"/>
    <col min="3855" max="3855" width="11.5" bestFit="1" customWidth="1"/>
    <col min="3856" max="3856" width="14" bestFit="1" customWidth="1"/>
    <col min="4097" max="4097" width="11.75" customWidth="1"/>
    <col min="4098" max="4098" width="12.5" customWidth="1"/>
    <col min="4099" max="4099" width="13.75" customWidth="1"/>
    <col min="4100" max="4100" width="12.625" customWidth="1"/>
    <col min="4101" max="4102" width="10.5" bestFit="1" customWidth="1"/>
    <col min="4103" max="4103" width="11.625" customWidth="1"/>
    <col min="4104" max="4104" width="12.625" customWidth="1"/>
    <col min="4105" max="4105" width="10.5" bestFit="1" customWidth="1"/>
    <col min="4109" max="4109" width="10.5" bestFit="1" customWidth="1"/>
    <col min="4111" max="4111" width="11.5" bestFit="1" customWidth="1"/>
    <col min="4112" max="4112" width="14" bestFit="1" customWidth="1"/>
    <col min="4353" max="4353" width="11.75" customWidth="1"/>
    <col min="4354" max="4354" width="12.5" customWidth="1"/>
    <col min="4355" max="4355" width="13.75" customWidth="1"/>
    <col min="4356" max="4356" width="12.625" customWidth="1"/>
    <col min="4357" max="4358" width="10.5" bestFit="1" customWidth="1"/>
    <col min="4359" max="4359" width="11.625" customWidth="1"/>
    <col min="4360" max="4360" width="12.625" customWidth="1"/>
    <col min="4361" max="4361" width="10.5" bestFit="1" customWidth="1"/>
    <col min="4365" max="4365" width="10.5" bestFit="1" customWidth="1"/>
    <col min="4367" max="4367" width="11.5" bestFit="1" customWidth="1"/>
    <col min="4368" max="4368" width="14" bestFit="1" customWidth="1"/>
    <col min="4609" max="4609" width="11.75" customWidth="1"/>
    <col min="4610" max="4610" width="12.5" customWidth="1"/>
    <col min="4611" max="4611" width="13.75" customWidth="1"/>
    <col min="4612" max="4612" width="12.625" customWidth="1"/>
    <col min="4613" max="4614" width="10.5" bestFit="1" customWidth="1"/>
    <col min="4615" max="4615" width="11.625" customWidth="1"/>
    <col min="4616" max="4616" width="12.625" customWidth="1"/>
    <col min="4617" max="4617" width="10.5" bestFit="1" customWidth="1"/>
    <col min="4621" max="4621" width="10.5" bestFit="1" customWidth="1"/>
    <col min="4623" max="4623" width="11.5" bestFit="1" customWidth="1"/>
    <col min="4624" max="4624" width="14" bestFit="1" customWidth="1"/>
    <col min="4865" max="4865" width="11.75" customWidth="1"/>
    <col min="4866" max="4866" width="12.5" customWidth="1"/>
    <col min="4867" max="4867" width="13.75" customWidth="1"/>
    <col min="4868" max="4868" width="12.625" customWidth="1"/>
    <col min="4869" max="4870" width="10.5" bestFit="1" customWidth="1"/>
    <col min="4871" max="4871" width="11.625" customWidth="1"/>
    <col min="4872" max="4872" width="12.625" customWidth="1"/>
    <col min="4873" max="4873" width="10.5" bestFit="1" customWidth="1"/>
    <col min="4877" max="4877" width="10.5" bestFit="1" customWidth="1"/>
    <col min="4879" max="4879" width="11.5" bestFit="1" customWidth="1"/>
    <col min="4880" max="4880" width="14" bestFit="1" customWidth="1"/>
    <col min="5121" max="5121" width="11.75" customWidth="1"/>
    <col min="5122" max="5122" width="12.5" customWidth="1"/>
    <col min="5123" max="5123" width="13.75" customWidth="1"/>
    <col min="5124" max="5124" width="12.625" customWidth="1"/>
    <col min="5125" max="5126" width="10.5" bestFit="1" customWidth="1"/>
    <col min="5127" max="5127" width="11.625" customWidth="1"/>
    <col min="5128" max="5128" width="12.625" customWidth="1"/>
    <col min="5129" max="5129" width="10.5" bestFit="1" customWidth="1"/>
    <col min="5133" max="5133" width="10.5" bestFit="1" customWidth="1"/>
    <col min="5135" max="5135" width="11.5" bestFit="1" customWidth="1"/>
    <col min="5136" max="5136" width="14" bestFit="1" customWidth="1"/>
    <col min="5377" max="5377" width="11.75" customWidth="1"/>
    <col min="5378" max="5378" width="12.5" customWidth="1"/>
    <col min="5379" max="5379" width="13.75" customWidth="1"/>
    <col min="5380" max="5380" width="12.625" customWidth="1"/>
    <col min="5381" max="5382" width="10.5" bestFit="1" customWidth="1"/>
    <col min="5383" max="5383" width="11.625" customWidth="1"/>
    <col min="5384" max="5384" width="12.625" customWidth="1"/>
    <col min="5385" max="5385" width="10.5" bestFit="1" customWidth="1"/>
    <col min="5389" max="5389" width="10.5" bestFit="1" customWidth="1"/>
    <col min="5391" max="5391" width="11.5" bestFit="1" customWidth="1"/>
    <col min="5392" max="5392" width="14" bestFit="1" customWidth="1"/>
    <col min="5633" max="5633" width="11.75" customWidth="1"/>
    <col min="5634" max="5634" width="12.5" customWidth="1"/>
    <col min="5635" max="5635" width="13.75" customWidth="1"/>
    <col min="5636" max="5636" width="12.625" customWidth="1"/>
    <col min="5637" max="5638" width="10.5" bestFit="1" customWidth="1"/>
    <col min="5639" max="5639" width="11.625" customWidth="1"/>
    <col min="5640" max="5640" width="12.625" customWidth="1"/>
    <col min="5641" max="5641" width="10.5" bestFit="1" customWidth="1"/>
    <col min="5645" max="5645" width="10.5" bestFit="1" customWidth="1"/>
    <col min="5647" max="5647" width="11.5" bestFit="1" customWidth="1"/>
    <col min="5648" max="5648" width="14" bestFit="1" customWidth="1"/>
    <col min="5889" max="5889" width="11.75" customWidth="1"/>
    <col min="5890" max="5890" width="12.5" customWidth="1"/>
    <col min="5891" max="5891" width="13.75" customWidth="1"/>
    <col min="5892" max="5892" width="12.625" customWidth="1"/>
    <col min="5893" max="5894" width="10.5" bestFit="1" customWidth="1"/>
    <col min="5895" max="5895" width="11.625" customWidth="1"/>
    <col min="5896" max="5896" width="12.625" customWidth="1"/>
    <col min="5897" max="5897" width="10.5" bestFit="1" customWidth="1"/>
    <col min="5901" max="5901" width="10.5" bestFit="1" customWidth="1"/>
    <col min="5903" max="5903" width="11.5" bestFit="1" customWidth="1"/>
    <col min="5904" max="5904" width="14" bestFit="1" customWidth="1"/>
    <col min="6145" max="6145" width="11.75" customWidth="1"/>
    <col min="6146" max="6146" width="12.5" customWidth="1"/>
    <col min="6147" max="6147" width="13.75" customWidth="1"/>
    <col min="6148" max="6148" width="12.625" customWidth="1"/>
    <col min="6149" max="6150" width="10.5" bestFit="1" customWidth="1"/>
    <col min="6151" max="6151" width="11.625" customWidth="1"/>
    <col min="6152" max="6152" width="12.625" customWidth="1"/>
    <col min="6153" max="6153" width="10.5" bestFit="1" customWidth="1"/>
    <col min="6157" max="6157" width="10.5" bestFit="1" customWidth="1"/>
    <col min="6159" max="6159" width="11.5" bestFit="1" customWidth="1"/>
    <col min="6160" max="6160" width="14" bestFit="1" customWidth="1"/>
    <col min="6401" max="6401" width="11.75" customWidth="1"/>
    <col min="6402" max="6402" width="12.5" customWidth="1"/>
    <col min="6403" max="6403" width="13.75" customWidth="1"/>
    <col min="6404" max="6404" width="12.625" customWidth="1"/>
    <col min="6405" max="6406" width="10.5" bestFit="1" customWidth="1"/>
    <col min="6407" max="6407" width="11.625" customWidth="1"/>
    <col min="6408" max="6408" width="12.625" customWidth="1"/>
    <col min="6409" max="6409" width="10.5" bestFit="1" customWidth="1"/>
    <col min="6413" max="6413" width="10.5" bestFit="1" customWidth="1"/>
    <col min="6415" max="6415" width="11.5" bestFit="1" customWidth="1"/>
    <col min="6416" max="6416" width="14" bestFit="1" customWidth="1"/>
    <col min="6657" max="6657" width="11.75" customWidth="1"/>
    <col min="6658" max="6658" width="12.5" customWidth="1"/>
    <col min="6659" max="6659" width="13.75" customWidth="1"/>
    <col min="6660" max="6660" width="12.625" customWidth="1"/>
    <col min="6661" max="6662" width="10.5" bestFit="1" customWidth="1"/>
    <col min="6663" max="6663" width="11.625" customWidth="1"/>
    <col min="6664" max="6664" width="12.625" customWidth="1"/>
    <col min="6665" max="6665" width="10.5" bestFit="1" customWidth="1"/>
    <col min="6669" max="6669" width="10.5" bestFit="1" customWidth="1"/>
    <col min="6671" max="6671" width="11.5" bestFit="1" customWidth="1"/>
    <col min="6672" max="6672" width="14" bestFit="1" customWidth="1"/>
    <col min="6913" max="6913" width="11.75" customWidth="1"/>
    <col min="6914" max="6914" width="12.5" customWidth="1"/>
    <col min="6915" max="6915" width="13.75" customWidth="1"/>
    <col min="6916" max="6916" width="12.625" customWidth="1"/>
    <col min="6917" max="6918" width="10.5" bestFit="1" customWidth="1"/>
    <col min="6919" max="6919" width="11.625" customWidth="1"/>
    <col min="6920" max="6920" width="12.625" customWidth="1"/>
    <col min="6921" max="6921" width="10.5" bestFit="1" customWidth="1"/>
    <col min="6925" max="6925" width="10.5" bestFit="1" customWidth="1"/>
    <col min="6927" max="6927" width="11.5" bestFit="1" customWidth="1"/>
    <col min="6928" max="6928" width="14" bestFit="1" customWidth="1"/>
    <col min="7169" max="7169" width="11.75" customWidth="1"/>
    <col min="7170" max="7170" width="12.5" customWidth="1"/>
    <col min="7171" max="7171" width="13.75" customWidth="1"/>
    <col min="7172" max="7172" width="12.625" customWidth="1"/>
    <col min="7173" max="7174" width="10.5" bestFit="1" customWidth="1"/>
    <col min="7175" max="7175" width="11.625" customWidth="1"/>
    <col min="7176" max="7176" width="12.625" customWidth="1"/>
    <col min="7177" max="7177" width="10.5" bestFit="1" customWidth="1"/>
    <col min="7181" max="7181" width="10.5" bestFit="1" customWidth="1"/>
    <col min="7183" max="7183" width="11.5" bestFit="1" customWidth="1"/>
    <col min="7184" max="7184" width="14" bestFit="1" customWidth="1"/>
    <col min="7425" max="7425" width="11.75" customWidth="1"/>
    <col min="7426" max="7426" width="12.5" customWidth="1"/>
    <col min="7427" max="7427" width="13.75" customWidth="1"/>
    <col min="7428" max="7428" width="12.625" customWidth="1"/>
    <col min="7429" max="7430" width="10.5" bestFit="1" customWidth="1"/>
    <col min="7431" max="7431" width="11.625" customWidth="1"/>
    <col min="7432" max="7432" width="12.625" customWidth="1"/>
    <col min="7433" max="7433" width="10.5" bestFit="1" customWidth="1"/>
    <col min="7437" max="7437" width="10.5" bestFit="1" customWidth="1"/>
    <col min="7439" max="7439" width="11.5" bestFit="1" customWidth="1"/>
    <col min="7440" max="7440" width="14" bestFit="1" customWidth="1"/>
    <col min="7681" max="7681" width="11.75" customWidth="1"/>
    <col min="7682" max="7682" width="12.5" customWidth="1"/>
    <col min="7683" max="7683" width="13.75" customWidth="1"/>
    <col min="7684" max="7684" width="12.625" customWidth="1"/>
    <col min="7685" max="7686" width="10.5" bestFit="1" customWidth="1"/>
    <col min="7687" max="7687" width="11.625" customWidth="1"/>
    <col min="7688" max="7688" width="12.625" customWidth="1"/>
    <col min="7689" max="7689" width="10.5" bestFit="1" customWidth="1"/>
    <col min="7693" max="7693" width="10.5" bestFit="1" customWidth="1"/>
    <col min="7695" max="7695" width="11.5" bestFit="1" customWidth="1"/>
    <col min="7696" max="7696" width="14" bestFit="1" customWidth="1"/>
    <col min="7937" max="7937" width="11.75" customWidth="1"/>
    <col min="7938" max="7938" width="12.5" customWidth="1"/>
    <col min="7939" max="7939" width="13.75" customWidth="1"/>
    <col min="7940" max="7940" width="12.625" customWidth="1"/>
    <col min="7941" max="7942" width="10.5" bestFit="1" customWidth="1"/>
    <col min="7943" max="7943" width="11.625" customWidth="1"/>
    <col min="7944" max="7944" width="12.625" customWidth="1"/>
    <col min="7945" max="7945" width="10.5" bestFit="1" customWidth="1"/>
    <col min="7949" max="7949" width="10.5" bestFit="1" customWidth="1"/>
    <col min="7951" max="7951" width="11.5" bestFit="1" customWidth="1"/>
    <col min="7952" max="7952" width="14" bestFit="1" customWidth="1"/>
    <col min="8193" max="8193" width="11.75" customWidth="1"/>
    <col min="8194" max="8194" width="12.5" customWidth="1"/>
    <col min="8195" max="8195" width="13.75" customWidth="1"/>
    <col min="8196" max="8196" width="12.625" customWidth="1"/>
    <col min="8197" max="8198" width="10.5" bestFit="1" customWidth="1"/>
    <col min="8199" max="8199" width="11.625" customWidth="1"/>
    <col min="8200" max="8200" width="12.625" customWidth="1"/>
    <col min="8201" max="8201" width="10.5" bestFit="1" customWidth="1"/>
    <col min="8205" max="8205" width="10.5" bestFit="1" customWidth="1"/>
    <col min="8207" max="8207" width="11.5" bestFit="1" customWidth="1"/>
    <col min="8208" max="8208" width="14" bestFit="1" customWidth="1"/>
    <col min="8449" max="8449" width="11.75" customWidth="1"/>
    <col min="8450" max="8450" width="12.5" customWidth="1"/>
    <col min="8451" max="8451" width="13.75" customWidth="1"/>
    <col min="8452" max="8452" width="12.625" customWidth="1"/>
    <col min="8453" max="8454" width="10.5" bestFit="1" customWidth="1"/>
    <col min="8455" max="8455" width="11.625" customWidth="1"/>
    <col min="8456" max="8456" width="12.625" customWidth="1"/>
    <col min="8457" max="8457" width="10.5" bestFit="1" customWidth="1"/>
    <col min="8461" max="8461" width="10.5" bestFit="1" customWidth="1"/>
    <col min="8463" max="8463" width="11.5" bestFit="1" customWidth="1"/>
    <col min="8464" max="8464" width="14" bestFit="1" customWidth="1"/>
    <col min="8705" max="8705" width="11.75" customWidth="1"/>
    <col min="8706" max="8706" width="12.5" customWidth="1"/>
    <col min="8707" max="8707" width="13.75" customWidth="1"/>
    <col min="8708" max="8708" width="12.625" customWidth="1"/>
    <col min="8709" max="8710" width="10.5" bestFit="1" customWidth="1"/>
    <col min="8711" max="8711" width="11.625" customWidth="1"/>
    <col min="8712" max="8712" width="12.625" customWidth="1"/>
    <col min="8713" max="8713" width="10.5" bestFit="1" customWidth="1"/>
    <col min="8717" max="8717" width="10.5" bestFit="1" customWidth="1"/>
    <col min="8719" max="8719" width="11.5" bestFit="1" customWidth="1"/>
    <col min="8720" max="8720" width="14" bestFit="1" customWidth="1"/>
    <col min="8961" max="8961" width="11.75" customWidth="1"/>
    <col min="8962" max="8962" width="12.5" customWidth="1"/>
    <col min="8963" max="8963" width="13.75" customWidth="1"/>
    <col min="8964" max="8964" width="12.625" customWidth="1"/>
    <col min="8965" max="8966" width="10.5" bestFit="1" customWidth="1"/>
    <col min="8967" max="8967" width="11.625" customWidth="1"/>
    <col min="8968" max="8968" width="12.625" customWidth="1"/>
    <col min="8969" max="8969" width="10.5" bestFit="1" customWidth="1"/>
    <col min="8973" max="8973" width="10.5" bestFit="1" customWidth="1"/>
    <col min="8975" max="8975" width="11.5" bestFit="1" customWidth="1"/>
    <col min="8976" max="8976" width="14" bestFit="1" customWidth="1"/>
    <col min="9217" max="9217" width="11.75" customWidth="1"/>
    <col min="9218" max="9218" width="12.5" customWidth="1"/>
    <col min="9219" max="9219" width="13.75" customWidth="1"/>
    <col min="9220" max="9220" width="12.625" customWidth="1"/>
    <col min="9221" max="9222" width="10.5" bestFit="1" customWidth="1"/>
    <col min="9223" max="9223" width="11.625" customWidth="1"/>
    <col min="9224" max="9224" width="12.625" customWidth="1"/>
    <col min="9225" max="9225" width="10.5" bestFit="1" customWidth="1"/>
    <col min="9229" max="9229" width="10.5" bestFit="1" customWidth="1"/>
    <col min="9231" max="9231" width="11.5" bestFit="1" customWidth="1"/>
    <col min="9232" max="9232" width="14" bestFit="1" customWidth="1"/>
    <col min="9473" max="9473" width="11.75" customWidth="1"/>
    <col min="9474" max="9474" width="12.5" customWidth="1"/>
    <col min="9475" max="9475" width="13.75" customWidth="1"/>
    <col min="9476" max="9476" width="12.625" customWidth="1"/>
    <col min="9477" max="9478" width="10.5" bestFit="1" customWidth="1"/>
    <col min="9479" max="9479" width="11.625" customWidth="1"/>
    <col min="9480" max="9480" width="12.625" customWidth="1"/>
    <col min="9481" max="9481" width="10.5" bestFit="1" customWidth="1"/>
    <col min="9485" max="9485" width="10.5" bestFit="1" customWidth="1"/>
    <col min="9487" max="9487" width="11.5" bestFit="1" customWidth="1"/>
    <col min="9488" max="9488" width="14" bestFit="1" customWidth="1"/>
    <col min="9729" max="9729" width="11.75" customWidth="1"/>
    <col min="9730" max="9730" width="12.5" customWidth="1"/>
    <col min="9731" max="9731" width="13.75" customWidth="1"/>
    <col min="9732" max="9732" width="12.625" customWidth="1"/>
    <col min="9733" max="9734" width="10.5" bestFit="1" customWidth="1"/>
    <col min="9735" max="9735" width="11.625" customWidth="1"/>
    <col min="9736" max="9736" width="12.625" customWidth="1"/>
    <col min="9737" max="9737" width="10.5" bestFit="1" customWidth="1"/>
    <col min="9741" max="9741" width="10.5" bestFit="1" customWidth="1"/>
    <col min="9743" max="9743" width="11.5" bestFit="1" customWidth="1"/>
    <col min="9744" max="9744" width="14" bestFit="1" customWidth="1"/>
    <col min="9985" max="9985" width="11.75" customWidth="1"/>
    <col min="9986" max="9986" width="12.5" customWidth="1"/>
    <col min="9987" max="9987" width="13.75" customWidth="1"/>
    <col min="9988" max="9988" width="12.625" customWidth="1"/>
    <col min="9989" max="9990" width="10.5" bestFit="1" customWidth="1"/>
    <col min="9991" max="9991" width="11.625" customWidth="1"/>
    <col min="9992" max="9992" width="12.625" customWidth="1"/>
    <col min="9993" max="9993" width="10.5" bestFit="1" customWidth="1"/>
    <col min="9997" max="9997" width="10.5" bestFit="1" customWidth="1"/>
    <col min="9999" max="9999" width="11.5" bestFit="1" customWidth="1"/>
    <col min="10000" max="10000" width="14" bestFit="1" customWidth="1"/>
    <col min="10241" max="10241" width="11.75" customWidth="1"/>
    <col min="10242" max="10242" width="12.5" customWidth="1"/>
    <col min="10243" max="10243" width="13.75" customWidth="1"/>
    <col min="10244" max="10244" width="12.625" customWidth="1"/>
    <col min="10245" max="10246" width="10.5" bestFit="1" customWidth="1"/>
    <col min="10247" max="10247" width="11.625" customWidth="1"/>
    <col min="10248" max="10248" width="12.625" customWidth="1"/>
    <col min="10249" max="10249" width="10.5" bestFit="1" customWidth="1"/>
    <col min="10253" max="10253" width="10.5" bestFit="1" customWidth="1"/>
    <col min="10255" max="10255" width="11.5" bestFit="1" customWidth="1"/>
    <col min="10256" max="10256" width="14" bestFit="1" customWidth="1"/>
    <col min="10497" max="10497" width="11.75" customWidth="1"/>
    <col min="10498" max="10498" width="12.5" customWidth="1"/>
    <col min="10499" max="10499" width="13.75" customWidth="1"/>
    <col min="10500" max="10500" width="12.625" customWidth="1"/>
    <col min="10501" max="10502" width="10.5" bestFit="1" customWidth="1"/>
    <col min="10503" max="10503" width="11.625" customWidth="1"/>
    <col min="10504" max="10504" width="12.625" customWidth="1"/>
    <col min="10505" max="10505" width="10.5" bestFit="1" customWidth="1"/>
    <col min="10509" max="10509" width="10.5" bestFit="1" customWidth="1"/>
    <col min="10511" max="10511" width="11.5" bestFit="1" customWidth="1"/>
    <col min="10512" max="10512" width="14" bestFit="1" customWidth="1"/>
    <col min="10753" max="10753" width="11.75" customWidth="1"/>
    <col min="10754" max="10754" width="12.5" customWidth="1"/>
    <col min="10755" max="10755" width="13.75" customWidth="1"/>
    <col min="10756" max="10756" width="12.625" customWidth="1"/>
    <col min="10757" max="10758" width="10.5" bestFit="1" customWidth="1"/>
    <col min="10759" max="10759" width="11.625" customWidth="1"/>
    <col min="10760" max="10760" width="12.625" customWidth="1"/>
    <col min="10761" max="10761" width="10.5" bestFit="1" customWidth="1"/>
    <col min="10765" max="10765" width="10.5" bestFit="1" customWidth="1"/>
    <col min="10767" max="10767" width="11.5" bestFit="1" customWidth="1"/>
    <col min="10768" max="10768" width="14" bestFit="1" customWidth="1"/>
    <col min="11009" max="11009" width="11.75" customWidth="1"/>
    <col min="11010" max="11010" width="12.5" customWidth="1"/>
    <col min="11011" max="11011" width="13.75" customWidth="1"/>
    <col min="11012" max="11012" width="12.625" customWidth="1"/>
    <col min="11013" max="11014" width="10.5" bestFit="1" customWidth="1"/>
    <col min="11015" max="11015" width="11.625" customWidth="1"/>
    <col min="11016" max="11016" width="12.625" customWidth="1"/>
    <col min="11017" max="11017" width="10.5" bestFit="1" customWidth="1"/>
    <col min="11021" max="11021" width="10.5" bestFit="1" customWidth="1"/>
    <col min="11023" max="11023" width="11.5" bestFit="1" customWidth="1"/>
    <col min="11024" max="11024" width="14" bestFit="1" customWidth="1"/>
    <col min="11265" max="11265" width="11.75" customWidth="1"/>
    <col min="11266" max="11266" width="12.5" customWidth="1"/>
    <col min="11267" max="11267" width="13.75" customWidth="1"/>
    <col min="11268" max="11268" width="12.625" customWidth="1"/>
    <col min="11269" max="11270" width="10.5" bestFit="1" customWidth="1"/>
    <col min="11271" max="11271" width="11.625" customWidth="1"/>
    <col min="11272" max="11272" width="12.625" customWidth="1"/>
    <col min="11273" max="11273" width="10.5" bestFit="1" customWidth="1"/>
    <col min="11277" max="11277" width="10.5" bestFit="1" customWidth="1"/>
    <col min="11279" max="11279" width="11.5" bestFit="1" customWidth="1"/>
    <col min="11280" max="11280" width="14" bestFit="1" customWidth="1"/>
    <col min="11521" max="11521" width="11.75" customWidth="1"/>
    <col min="11522" max="11522" width="12.5" customWidth="1"/>
    <col min="11523" max="11523" width="13.75" customWidth="1"/>
    <col min="11524" max="11524" width="12.625" customWidth="1"/>
    <col min="11525" max="11526" width="10.5" bestFit="1" customWidth="1"/>
    <col min="11527" max="11527" width="11.625" customWidth="1"/>
    <col min="11528" max="11528" width="12.625" customWidth="1"/>
    <col min="11529" max="11529" width="10.5" bestFit="1" customWidth="1"/>
    <col min="11533" max="11533" width="10.5" bestFit="1" customWidth="1"/>
    <col min="11535" max="11535" width="11.5" bestFit="1" customWidth="1"/>
    <col min="11536" max="11536" width="14" bestFit="1" customWidth="1"/>
    <col min="11777" max="11777" width="11.75" customWidth="1"/>
    <col min="11778" max="11778" width="12.5" customWidth="1"/>
    <col min="11779" max="11779" width="13.75" customWidth="1"/>
    <col min="11780" max="11780" width="12.625" customWidth="1"/>
    <col min="11781" max="11782" width="10.5" bestFit="1" customWidth="1"/>
    <col min="11783" max="11783" width="11.625" customWidth="1"/>
    <col min="11784" max="11784" width="12.625" customWidth="1"/>
    <col min="11785" max="11785" width="10.5" bestFit="1" customWidth="1"/>
    <col min="11789" max="11789" width="10.5" bestFit="1" customWidth="1"/>
    <col min="11791" max="11791" width="11.5" bestFit="1" customWidth="1"/>
    <col min="11792" max="11792" width="14" bestFit="1" customWidth="1"/>
    <col min="12033" max="12033" width="11.75" customWidth="1"/>
    <col min="12034" max="12034" width="12.5" customWidth="1"/>
    <col min="12035" max="12035" width="13.75" customWidth="1"/>
    <col min="12036" max="12036" width="12.625" customWidth="1"/>
    <col min="12037" max="12038" width="10.5" bestFit="1" customWidth="1"/>
    <col min="12039" max="12039" width="11.625" customWidth="1"/>
    <col min="12040" max="12040" width="12.625" customWidth="1"/>
    <col min="12041" max="12041" width="10.5" bestFit="1" customWidth="1"/>
    <col min="12045" max="12045" width="10.5" bestFit="1" customWidth="1"/>
    <col min="12047" max="12047" width="11.5" bestFit="1" customWidth="1"/>
    <col min="12048" max="12048" width="14" bestFit="1" customWidth="1"/>
    <col min="12289" max="12289" width="11.75" customWidth="1"/>
    <col min="12290" max="12290" width="12.5" customWidth="1"/>
    <col min="12291" max="12291" width="13.75" customWidth="1"/>
    <col min="12292" max="12292" width="12.625" customWidth="1"/>
    <col min="12293" max="12294" width="10.5" bestFit="1" customWidth="1"/>
    <col min="12295" max="12295" width="11.625" customWidth="1"/>
    <col min="12296" max="12296" width="12.625" customWidth="1"/>
    <col min="12297" max="12297" width="10.5" bestFit="1" customWidth="1"/>
    <col min="12301" max="12301" width="10.5" bestFit="1" customWidth="1"/>
    <col min="12303" max="12303" width="11.5" bestFit="1" customWidth="1"/>
    <col min="12304" max="12304" width="14" bestFit="1" customWidth="1"/>
    <col min="12545" max="12545" width="11.75" customWidth="1"/>
    <col min="12546" max="12546" width="12.5" customWidth="1"/>
    <col min="12547" max="12547" width="13.75" customWidth="1"/>
    <col min="12548" max="12548" width="12.625" customWidth="1"/>
    <col min="12549" max="12550" width="10.5" bestFit="1" customWidth="1"/>
    <col min="12551" max="12551" width="11.625" customWidth="1"/>
    <col min="12552" max="12552" width="12.625" customWidth="1"/>
    <col min="12553" max="12553" width="10.5" bestFit="1" customWidth="1"/>
    <col min="12557" max="12557" width="10.5" bestFit="1" customWidth="1"/>
    <col min="12559" max="12559" width="11.5" bestFit="1" customWidth="1"/>
    <col min="12560" max="12560" width="14" bestFit="1" customWidth="1"/>
    <col min="12801" max="12801" width="11.75" customWidth="1"/>
    <col min="12802" max="12802" width="12.5" customWidth="1"/>
    <col min="12803" max="12803" width="13.75" customWidth="1"/>
    <col min="12804" max="12804" width="12.625" customWidth="1"/>
    <col min="12805" max="12806" width="10.5" bestFit="1" customWidth="1"/>
    <col min="12807" max="12807" width="11.625" customWidth="1"/>
    <col min="12808" max="12808" width="12.625" customWidth="1"/>
    <col min="12809" max="12809" width="10.5" bestFit="1" customWidth="1"/>
    <col min="12813" max="12813" width="10.5" bestFit="1" customWidth="1"/>
    <col min="12815" max="12815" width="11.5" bestFit="1" customWidth="1"/>
    <col min="12816" max="12816" width="14" bestFit="1" customWidth="1"/>
    <col min="13057" max="13057" width="11.75" customWidth="1"/>
    <col min="13058" max="13058" width="12.5" customWidth="1"/>
    <col min="13059" max="13059" width="13.75" customWidth="1"/>
    <col min="13060" max="13060" width="12.625" customWidth="1"/>
    <col min="13061" max="13062" width="10.5" bestFit="1" customWidth="1"/>
    <col min="13063" max="13063" width="11.625" customWidth="1"/>
    <col min="13064" max="13064" width="12.625" customWidth="1"/>
    <col min="13065" max="13065" width="10.5" bestFit="1" customWidth="1"/>
    <col min="13069" max="13069" width="10.5" bestFit="1" customWidth="1"/>
    <col min="13071" max="13071" width="11.5" bestFit="1" customWidth="1"/>
    <col min="13072" max="13072" width="14" bestFit="1" customWidth="1"/>
    <col min="13313" max="13313" width="11.75" customWidth="1"/>
    <col min="13314" max="13314" width="12.5" customWidth="1"/>
    <col min="13315" max="13315" width="13.75" customWidth="1"/>
    <col min="13316" max="13316" width="12.625" customWidth="1"/>
    <col min="13317" max="13318" width="10.5" bestFit="1" customWidth="1"/>
    <col min="13319" max="13319" width="11.625" customWidth="1"/>
    <col min="13320" max="13320" width="12.625" customWidth="1"/>
    <col min="13321" max="13321" width="10.5" bestFit="1" customWidth="1"/>
    <col min="13325" max="13325" width="10.5" bestFit="1" customWidth="1"/>
    <col min="13327" max="13327" width="11.5" bestFit="1" customWidth="1"/>
    <col min="13328" max="13328" width="14" bestFit="1" customWidth="1"/>
    <col min="13569" max="13569" width="11.75" customWidth="1"/>
    <col min="13570" max="13570" width="12.5" customWidth="1"/>
    <col min="13571" max="13571" width="13.75" customWidth="1"/>
    <col min="13572" max="13572" width="12.625" customWidth="1"/>
    <col min="13573" max="13574" width="10.5" bestFit="1" customWidth="1"/>
    <col min="13575" max="13575" width="11.625" customWidth="1"/>
    <col min="13576" max="13576" width="12.625" customWidth="1"/>
    <col min="13577" max="13577" width="10.5" bestFit="1" customWidth="1"/>
    <col min="13581" max="13581" width="10.5" bestFit="1" customWidth="1"/>
    <col min="13583" max="13583" width="11.5" bestFit="1" customWidth="1"/>
    <col min="13584" max="13584" width="14" bestFit="1" customWidth="1"/>
    <col min="13825" max="13825" width="11.75" customWidth="1"/>
    <col min="13826" max="13826" width="12.5" customWidth="1"/>
    <col min="13827" max="13827" width="13.75" customWidth="1"/>
    <col min="13828" max="13828" width="12.625" customWidth="1"/>
    <col min="13829" max="13830" width="10.5" bestFit="1" customWidth="1"/>
    <col min="13831" max="13831" width="11.625" customWidth="1"/>
    <col min="13832" max="13832" width="12.625" customWidth="1"/>
    <col min="13833" max="13833" width="10.5" bestFit="1" customWidth="1"/>
    <col min="13837" max="13837" width="10.5" bestFit="1" customWidth="1"/>
    <col min="13839" max="13839" width="11.5" bestFit="1" customWidth="1"/>
    <col min="13840" max="13840" width="14" bestFit="1" customWidth="1"/>
    <col min="14081" max="14081" width="11.75" customWidth="1"/>
    <col min="14082" max="14082" width="12.5" customWidth="1"/>
    <col min="14083" max="14083" width="13.75" customWidth="1"/>
    <col min="14084" max="14084" width="12.625" customWidth="1"/>
    <col min="14085" max="14086" width="10.5" bestFit="1" customWidth="1"/>
    <col min="14087" max="14087" width="11.625" customWidth="1"/>
    <col min="14088" max="14088" width="12.625" customWidth="1"/>
    <col min="14089" max="14089" width="10.5" bestFit="1" customWidth="1"/>
    <col min="14093" max="14093" width="10.5" bestFit="1" customWidth="1"/>
    <col min="14095" max="14095" width="11.5" bestFit="1" customWidth="1"/>
    <col min="14096" max="14096" width="14" bestFit="1" customWidth="1"/>
    <col min="14337" max="14337" width="11.75" customWidth="1"/>
    <col min="14338" max="14338" width="12.5" customWidth="1"/>
    <col min="14339" max="14339" width="13.75" customWidth="1"/>
    <col min="14340" max="14340" width="12.625" customWidth="1"/>
    <col min="14341" max="14342" width="10.5" bestFit="1" customWidth="1"/>
    <col min="14343" max="14343" width="11.625" customWidth="1"/>
    <col min="14344" max="14344" width="12.625" customWidth="1"/>
    <col min="14345" max="14345" width="10.5" bestFit="1" customWidth="1"/>
    <col min="14349" max="14349" width="10.5" bestFit="1" customWidth="1"/>
    <col min="14351" max="14351" width="11.5" bestFit="1" customWidth="1"/>
    <col min="14352" max="14352" width="14" bestFit="1" customWidth="1"/>
    <col min="14593" max="14593" width="11.75" customWidth="1"/>
    <col min="14594" max="14594" width="12.5" customWidth="1"/>
    <col min="14595" max="14595" width="13.75" customWidth="1"/>
    <col min="14596" max="14596" width="12.625" customWidth="1"/>
    <col min="14597" max="14598" width="10.5" bestFit="1" customWidth="1"/>
    <col min="14599" max="14599" width="11.625" customWidth="1"/>
    <col min="14600" max="14600" width="12.625" customWidth="1"/>
    <col min="14601" max="14601" width="10.5" bestFit="1" customWidth="1"/>
    <col min="14605" max="14605" width="10.5" bestFit="1" customWidth="1"/>
    <col min="14607" max="14607" width="11.5" bestFit="1" customWidth="1"/>
    <col min="14608" max="14608" width="14" bestFit="1" customWidth="1"/>
    <col min="14849" max="14849" width="11.75" customWidth="1"/>
    <col min="14850" max="14850" width="12.5" customWidth="1"/>
    <col min="14851" max="14851" width="13.75" customWidth="1"/>
    <col min="14852" max="14852" width="12.625" customWidth="1"/>
    <col min="14853" max="14854" width="10.5" bestFit="1" customWidth="1"/>
    <col min="14855" max="14855" width="11.625" customWidth="1"/>
    <col min="14856" max="14856" width="12.625" customWidth="1"/>
    <col min="14857" max="14857" width="10.5" bestFit="1" customWidth="1"/>
    <col min="14861" max="14861" width="10.5" bestFit="1" customWidth="1"/>
    <col min="14863" max="14863" width="11.5" bestFit="1" customWidth="1"/>
    <col min="14864" max="14864" width="14" bestFit="1" customWidth="1"/>
    <col min="15105" max="15105" width="11.75" customWidth="1"/>
    <col min="15106" max="15106" width="12.5" customWidth="1"/>
    <col min="15107" max="15107" width="13.75" customWidth="1"/>
    <col min="15108" max="15108" width="12.625" customWidth="1"/>
    <col min="15109" max="15110" width="10.5" bestFit="1" customWidth="1"/>
    <col min="15111" max="15111" width="11.625" customWidth="1"/>
    <col min="15112" max="15112" width="12.625" customWidth="1"/>
    <col min="15113" max="15113" width="10.5" bestFit="1" customWidth="1"/>
    <col min="15117" max="15117" width="10.5" bestFit="1" customWidth="1"/>
    <col min="15119" max="15119" width="11.5" bestFit="1" customWidth="1"/>
    <col min="15120" max="15120" width="14" bestFit="1" customWidth="1"/>
    <col min="15361" max="15361" width="11.75" customWidth="1"/>
    <col min="15362" max="15362" width="12.5" customWidth="1"/>
    <col min="15363" max="15363" width="13.75" customWidth="1"/>
    <col min="15364" max="15364" width="12.625" customWidth="1"/>
    <col min="15365" max="15366" width="10.5" bestFit="1" customWidth="1"/>
    <col min="15367" max="15367" width="11.625" customWidth="1"/>
    <col min="15368" max="15368" width="12.625" customWidth="1"/>
    <col min="15369" max="15369" width="10.5" bestFit="1" customWidth="1"/>
    <col min="15373" max="15373" width="10.5" bestFit="1" customWidth="1"/>
    <col min="15375" max="15375" width="11.5" bestFit="1" customWidth="1"/>
    <col min="15376" max="15376" width="14" bestFit="1" customWidth="1"/>
    <col min="15617" max="15617" width="11.75" customWidth="1"/>
    <col min="15618" max="15618" width="12.5" customWidth="1"/>
    <col min="15619" max="15619" width="13.75" customWidth="1"/>
    <col min="15620" max="15620" width="12.625" customWidth="1"/>
    <col min="15621" max="15622" width="10.5" bestFit="1" customWidth="1"/>
    <col min="15623" max="15623" width="11.625" customWidth="1"/>
    <col min="15624" max="15624" width="12.625" customWidth="1"/>
    <col min="15625" max="15625" width="10.5" bestFit="1" customWidth="1"/>
    <col min="15629" max="15629" width="10.5" bestFit="1" customWidth="1"/>
    <col min="15631" max="15631" width="11.5" bestFit="1" customWidth="1"/>
    <col min="15632" max="15632" width="14" bestFit="1" customWidth="1"/>
    <col min="15873" max="15873" width="11.75" customWidth="1"/>
    <col min="15874" max="15874" width="12.5" customWidth="1"/>
    <col min="15875" max="15875" width="13.75" customWidth="1"/>
    <col min="15876" max="15876" width="12.625" customWidth="1"/>
    <col min="15877" max="15878" width="10.5" bestFit="1" customWidth="1"/>
    <col min="15879" max="15879" width="11.625" customWidth="1"/>
    <col min="15880" max="15880" width="12.625" customWidth="1"/>
    <col min="15881" max="15881" width="10.5" bestFit="1" customWidth="1"/>
    <col min="15885" max="15885" width="10.5" bestFit="1" customWidth="1"/>
    <col min="15887" max="15887" width="11.5" bestFit="1" customWidth="1"/>
    <col min="15888" max="15888" width="14" bestFit="1" customWidth="1"/>
    <col min="16129" max="16129" width="11.75" customWidth="1"/>
    <col min="16130" max="16130" width="12.5" customWidth="1"/>
    <col min="16131" max="16131" width="13.75" customWidth="1"/>
    <col min="16132" max="16132" width="12.625" customWidth="1"/>
    <col min="16133" max="16134" width="10.5" bestFit="1" customWidth="1"/>
    <col min="16135" max="16135" width="11.625" customWidth="1"/>
    <col min="16136" max="16136" width="12.625" customWidth="1"/>
    <col min="16137" max="16137" width="10.5" bestFit="1" customWidth="1"/>
    <col min="16141" max="16141" width="10.5" bestFit="1" customWidth="1"/>
    <col min="16143" max="16143" width="11.5" bestFit="1" customWidth="1"/>
    <col min="16144" max="16144" width="14" bestFit="1" customWidth="1"/>
  </cols>
  <sheetData>
    <row r="1" spans="1:14" ht="27" customHeight="1">
      <c r="A1" s="3099" t="s">
        <v>3209</v>
      </c>
      <c r="B1" s="3099"/>
      <c r="C1" s="3099"/>
      <c r="D1" s="3099"/>
      <c r="E1" s="3099"/>
      <c r="F1" s="2985" t="s">
        <v>3610</v>
      </c>
      <c r="G1" s="2985"/>
      <c r="H1" s="2985"/>
      <c r="I1" s="2985"/>
      <c r="J1" s="2985"/>
      <c r="L1" s="2970" t="s">
        <v>3231</v>
      </c>
    </row>
    <row r="2" spans="1:14" ht="48" customHeight="1">
      <c r="A2" s="2976" t="s">
        <v>3575</v>
      </c>
      <c r="B2" s="2976" t="s">
        <v>3576</v>
      </c>
      <c r="C2" s="2976" t="s">
        <v>3577</v>
      </c>
      <c r="D2" s="2976" t="s">
        <v>3583</v>
      </c>
      <c r="E2" s="2977" t="s">
        <v>3587</v>
      </c>
      <c r="F2" s="2986" t="s">
        <v>3608</v>
      </c>
      <c r="G2" s="2986" t="s">
        <v>3609</v>
      </c>
      <c r="H2" s="2986" t="s">
        <v>3611</v>
      </c>
      <c r="I2" s="2986" t="s">
        <v>3613</v>
      </c>
      <c r="J2" s="2986" t="s">
        <v>3612</v>
      </c>
      <c r="N2" s="2970"/>
    </row>
    <row r="3" spans="1:14" ht="19.5" customHeight="1">
      <c r="A3" s="2978">
        <v>1</v>
      </c>
      <c r="B3" s="3093" t="s">
        <v>3604</v>
      </c>
      <c r="C3" s="2978" t="s">
        <v>3210</v>
      </c>
      <c r="D3" s="2979">
        <v>136.38</v>
      </c>
      <c r="E3" s="3096" t="s">
        <v>3578</v>
      </c>
      <c r="F3" s="2987"/>
      <c r="G3" s="2987"/>
      <c r="H3" s="2988">
        <f t="shared" ref="H3:H66" si="0">F3+G3</f>
        <v>0</v>
      </c>
      <c r="I3" s="2988"/>
      <c r="J3" s="2988"/>
      <c r="M3" s="2970"/>
      <c r="N3" s="2971"/>
    </row>
    <row r="4" spans="1:14" ht="19.5" customHeight="1">
      <c r="A4" s="2978">
        <v>2</v>
      </c>
      <c r="B4" s="3097"/>
      <c r="C4" s="2980" t="s">
        <v>3211</v>
      </c>
      <c r="D4" s="2980">
        <v>136.38</v>
      </c>
      <c r="E4" s="3100"/>
      <c r="F4" s="2987"/>
      <c r="G4" s="2987"/>
      <c r="H4" s="2988">
        <f t="shared" si="0"/>
        <v>0</v>
      </c>
      <c r="I4" s="2988"/>
      <c r="J4" s="2988"/>
    </row>
    <row r="5" spans="1:14" ht="19.5" customHeight="1">
      <c r="A5" s="2978">
        <v>3</v>
      </c>
      <c r="B5" s="3097" t="s">
        <v>3590</v>
      </c>
      <c r="C5" s="2991" t="s">
        <v>3212</v>
      </c>
      <c r="D5" s="2991">
        <v>302.19</v>
      </c>
      <c r="E5" s="3098" t="s">
        <v>3607</v>
      </c>
      <c r="F5" s="2988">
        <f>4.04+4.1+80.33*2</f>
        <v>168.8</v>
      </c>
      <c r="G5" s="2988">
        <f>43.23+43.24</f>
        <v>86.47</v>
      </c>
      <c r="H5" s="2988">
        <f>F5+G5</f>
        <v>255.27</v>
      </c>
      <c r="I5" s="2988">
        <f>D5-J5</f>
        <v>199.82999999999998</v>
      </c>
      <c r="J5" s="2988">
        <f>ROUND(G5/H5*D5,2)</f>
        <v>102.36</v>
      </c>
    </row>
    <row r="6" spans="1:14" ht="19.5" customHeight="1">
      <c r="A6" s="2978">
        <v>4</v>
      </c>
      <c r="B6" s="3097"/>
      <c r="C6" s="2991" t="s">
        <v>3213</v>
      </c>
      <c r="D6" s="2991">
        <v>326.89</v>
      </c>
      <c r="E6" s="3095"/>
      <c r="F6" s="2987">
        <f>76.22+76.23</f>
        <v>152.44999999999999</v>
      </c>
      <c r="G6" s="2987">
        <f>69.63+63.59</f>
        <v>133.22</v>
      </c>
      <c r="H6" s="2988">
        <f t="shared" si="0"/>
        <v>285.66999999999996</v>
      </c>
      <c r="I6" s="2988">
        <f t="shared" ref="I6:I69" si="1">D6-J6</f>
        <v>174.45</v>
      </c>
      <c r="J6" s="2988">
        <f t="shared" ref="J6:J69" si="2">ROUND(G6/H6*D6,2)</f>
        <v>152.44</v>
      </c>
    </row>
    <row r="7" spans="1:14" ht="19.5" customHeight="1">
      <c r="A7" s="2978">
        <v>5</v>
      </c>
      <c r="B7" s="3097"/>
      <c r="C7" s="2991" t="s">
        <v>3214</v>
      </c>
      <c r="D7" s="2991">
        <v>302.19</v>
      </c>
      <c r="E7" s="3095"/>
      <c r="F7" s="2987">
        <f>4.04+4.1+80.33*2</f>
        <v>168.8</v>
      </c>
      <c r="G7" s="2987">
        <f>43.23+43.24</f>
        <v>86.47</v>
      </c>
      <c r="H7" s="2988">
        <f t="shared" si="0"/>
        <v>255.27</v>
      </c>
      <c r="I7" s="2988">
        <f t="shared" si="1"/>
        <v>199.82999999999998</v>
      </c>
      <c r="J7" s="2988">
        <f t="shared" si="2"/>
        <v>102.36</v>
      </c>
    </row>
    <row r="8" spans="1:14" ht="19.5" customHeight="1">
      <c r="A8" s="2978">
        <v>6</v>
      </c>
      <c r="B8" s="3097"/>
      <c r="C8" s="2980" t="s">
        <v>3215</v>
      </c>
      <c r="D8" s="2980">
        <v>172.61</v>
      </c>
      <c r="E8" s="3095"/>
      <c r="F8" s="2987"/>
      <c r="G8" s="2987"/>
      <c r="H8" s="2988">
        <f t="shared" si="0"/>
        <v>0</v>
      </c>
      <c r="I8" s="2988">
        <f>D8</f>
        <v>172.61</v>
      </c>
      <c r="J8" s="2988"/>
    </row>
    <row r="9" spans="1:14" ht="19.5" customHeight="1">
      <c r="A9" s="2978">
        <v>7</v>
      </c>
      <c r="B9" s="3097"/>
      <c r="C9" s="2980" t="s">
        <v>3216</v>
      </c>
      <c r="D9" s="2980">
        <v>171.68</v>
      </c>
      <c r="E9" s="3095"/>
      <c r="F9" s="2987"/>
      <c r="G9" s="2987"/>
      <c r="H9" s="2988">
        <f t="shared" si="0"/>
        <v>0</v>
      </c>
      <c r="I9" s="2988">
        <f t="shared" ref="I9:I12" si="3">D9</f>
        <v>171.68</v>
      </c>
      <c r="J9" s="2988"/>
    </row>
    <row r="10" spans="1:14" ht="19.5" customHeight="1">
      <c r="A10" s="2978">
        <v>8</v>
      </c>
      <c r="B10" s="3097"/>
      <c r="C10" s="2980" t="s">
        <v>3217</v>
      </c>
      <c r="D10" s="2980">
        <v>171.72</v>
      </c>
      <c r="E10" s="3095"/>
      <c r="F10" s="2987"/>
      <c r="G10" s="2987"/>
      <c r="H10" s="2988">
        <f t="shared" si="0"/>
        <v>0</v>
      </c>
      <c r="I10" s="2988">
        <f t="shared" si="3"/>
        <v>171.72</v>
      </c>
      <c r="J10" s="2988"/>
    </row>
    <row r="11" spans="1:14" ht="19.5" customHeight="1">
      <c r="A11" s="2978">
        <v>9</v>
      </c>
      <c r="B11" s="3097"/>
      <c r="C11" s="2980" t="s">
        <v>3218</v>
      </c>
      <c r="D11" s="2980">
        <v>171.68</v>
      </c>
      <c r="E11" s="3095"/>
      <c r="F11" s="2987"/>
      <c r="G11" s="2987"/>
      <c r="H11" s="2988">
        <f t="shared" si="0"/>
        <v>0</v>
      </c>
      <c r="I11" s="2988">
        <f t="shared" si="3"/>
        <v>171.68</v>
      </c>
      <c r="J11" s="2988"/>
    </row>
    <row r="12" spans="1:14" ht="19.5" customHeight="1">
      <c r="A12" s="2978">
        <v>10</v>
      </c>
      <c r="B12" s="3097"/>
      <c r="C12" s="2980" t="s">
        <v>3219</v>
      </c>
      <c r="D12" s="2980">
        <v>172.61</v>
      </c>
      <c r="E12" s="3095"/>
      <c r="F12" s="2987"/>
      <c r="G12" s="2987"/>
      <c r="H12" s="2988">
        <f t="shared" si="0"/>
        <v>0</v>
      </c>
      <c r="I12" s="2988">
        <f t="shared" si="3"/>
        <v>172.61</v>
      </c>
      <c r="J12" s="2988"/>
    </row>
    <row r="13" spans="1:14" ht="19.5" customHeight="1">
      <c r="A13" s="2978">
        <v>11</v>
      </c>
      <c r="B13" s="3097" t="s">
        <v>3591</v>
      </c>
      <c r="C13" s="2991" t="s">
        <v>3212</v>
      </c>
      <c r="D13" s="2991">
        <v>302.19</v>
      </c>
      <c r="E13" s="3095"/>
      <c r="F13" s="2987">
        <f>4.04+4.1+80.33*2</f>
        <v>168.8</v>
      </c>
      <c r="G13" s="2987">
        <f>43.23+43.24</f>
        <v>86.47</v>
      </c>
      <c r="H13" s="2988">
        <f>F13+G13</f>
        <v>255.27</v>
      </c>
      <c r="I13" s="2988">
        <f t="shared" si="1"/>
        <v>199.82999999999998</v>
      </c>
      <c r="J13" s="2988">
        <f t="shared" si="2"/>
        <v>102.36</v>
      </c>
    </row>
    <row r="14" spans="1:14" ht="19.5" customHeight="1">
      <c r="A14" s="2978">
        <v>12</v>
      </c>
      <c r="B14" s="3097"/>
      <c r="C14" s="2991" t="s">
        <v>3214</v>
      </c>
      <c r="D14" s="2991">
        <v>302.19</v>
      </c>
      <c r="E14" s="3095"/>
      <c r="F14" s="2987">
        <f>4.04+4.1+80.33*2</f>
        <v>168.8</v>
      </c>
      <c r="G14" s="2987">
        <f>43.23+43.24</f>
        <v>86.47</v>
      </c>
      <c r="H14" s="2988">
        <f t="shared" si="0"/>
        <v>255.27</v>
      </c>
      <c r="I14" s="2988">
        <f t="shared" si="1"/>
        <v>199.82999999999998</v>
      </c>
      <c r="J14" s="2988">
        <f t="shared" si="2"/>
        <v>102.36</v>
      </c>
    </row>
    <row r="15" spans="1:14" ht="19.5" customHeight="1">
      <c r="A15" s="2978">
        <v>13</v>
      </c>
      <c r="B15" s="3097"/>
      <c r="C15" s="2980" t="s">
        <v>3215</v>
      </c>
      <c r="D15" s="2980">
        <v>172.61</v>
      </c>
      <c r="E15" s="3095"/>
      <c r="F15" s="2987"/>
      <c r="G15" s="2987"/>
      <c r="H15" s="2988">
        <f t="shared" si="0"/>
        <v>0</v>
      </c>
      <c r="I15" s="2988">
        <f t="shared" ref="I15:I17" si="4">D15</f>
        <v>172.61</v>
      </c>
      <c r="J15" s="2988"/>
    </row>
    <row r="16" spans="1:14" ht="19.5" customHeight="1">
      <c r="A16" s="2978">
        <v>14</v>
      </c>
      <c r="B16" s="3097" t="s">
        <v>3592</v>
      </c>
      <c r="C16" s="2976" t="s">
        <v>3215</v>
      </c>
      <c r="D16" s="2976">
        <v>172.61</v>
      </c>
      <c r="E16" s="3095"/>
      <c r="F16" s="2987"/>
      <c r="G16" s="2987"/>
      <c r="H16" s="2988">
        <f t="shared" si="0"/>
        <v>0</v>
      </c>
      <c r="I16" s="2988">
        <f t="shared" si="4"/>
        <v>172.61</v>
      </c>
      <c r="J16" s="2988"/>
    </row>
    <row r="17" spans="1:15" ht="19.5" customHeight="1">
      <c r="A17" s="2978">
        <v>15</v>
      </c>
      <c r="B17" s="3097"/>
      <c r="C17" s="2976" t="s">
        <v>3216</v>
      </c>
      <c r="D17" s="2976">
        <v>171.68</v>
      </c>
      <c r="E17" s="3095"/>
      <c r="F17" s="2987"/>
      <c r="G17" s="2987"/>
      <c r="H17" s="2988">
        <f t="shared" si="0"/>
        <v>0</v>
      </c>
      <c r="I17" s="2988">
        <f t="shared" si="4"/>
        <v>171.68</v>
      </c>
      <c r="J17" s="2988"/>
    </row>
    <row r="18" spans="1:15" ht="19.5" customHeight="1">
      <c r="A18" s="2978">
        <v>16</v>
      </c>
      <c r="B18" s="3097"/>
      <c r="C18" s="2984" t="s">
        <v>3220</v>
      </c>
      <c r="D18" s="2984">
        <v>325.27</v>
      </c>
      <c r="E18" s="3095"/>
      <c r="F18" s="2987">
        <f>75.85*2</f>
        <v>151.69999999999999</v>
      </c>
      <c r="G18" s="2987">
        <f>69.3+63.26</f>
        <v>132.56</v>
      </c>
      <c r="H18" s="2988">
        <f t="shared" si="0"/>
        <v>284.26</v>
      </c>
      <c r="I18" s="2988">
        <f t="shared" si="1"/>
        <v>173.58999999999997</v>
      </c>
      <c r="J18" s="2988">
        <f t="shared" si="2"/>
        <v>151.68</v>
      </c>
    </row>
    <row r="19" spans="1:15" ht="19.5" customHeight="1">
      <c r="A19" s="2978">
        <v>17</v>
      </c>
      <c r="B19" s="3097" t="s">
        <v>3593</v>
      </c>
      <c r="C19" s="2984" t="s">
        <v>3221</v>
      </c>
      <c r="D19" s="2984">
        <v>326.89</v>
      </c>
      <c r="E19" s="3095"/>
      <c r="F19" s="2987">
        <f>76.22+76.23</f>
        <v>152.44999999999999</v>
      </c>
      <c r="G19" s="2987">
        <f>69.63+63.59</f>
        <v>133.22</v>
      </c>
      <c r="H19" s="2988">
        <f t="shared" si="0"/>
        <v>285.66999999999996</v>
      </c>
      <c r="I19" s="2988">
        <f t="shared" si="1"/>
        <v>174.45</v>
      </c>
      <c r="J19" s="2988">
        <f t="shared" si="2"/>
        <v>152.44</v>
      </c>
    </row>
    <row r="20" spans="1:15" ht="19.5" customHeight="1">
      <c r="A20" s="2978">
        <v>18</v>
      </c>
      <c r="B20" s="3097"/>
      <c r="C20" s="2984" t="s">
        <v>3212</v>
      </c>
      <c r="D20" s="2984">
        <v>302.19</v>
      </c>
      <c r="E20" s="3095"/>
      <c r="F20" s="2987">
        <f>4.04+4.1+80.33*2</f>
        <v>168.8</v>
      </c>
      <c r="G20" s="2987">
        <f>43.23+43.24</f>
        <v>86.47</v>
      </c>
      <c r="H20" s="2988">
        <f t="shared" si="0"/>
        <v>255.27</v>
      </c>
      <c r="I20" s="2988">
        <f t="shared" si="1"/>
        <v>199.82999999999998</v>
      </c>
      <c r="J20" s="2988">
        <f t="shared" si="2"/>
        <v>102.36</v>
      </c>
    </row>
    <row r="21" spans="1:15" ht="19.5" customHeight="1">
      <c r="A21" s="2978">
        <v>19</v>
      </c>
      <c r="B21" s="3097" t="s">
        <v>3594</v>
      </c>
      <c r="C21" s="2991" t="s">
        <v>3222</v>
      </c>
      <c r="D21" s="2992">
        <v>297.93</v>
      </c>
      <c r="E21" s="3095"/>
      <c r="F21" s="2987">
        <f>4.04+4.04+79.89+79.89</f>
        <v>167.86</v>
      </c>
      <c r="G21" s="2987">
        <f>41.92+41.92</f>
        <v>83.84</v>
      </c>
      <c r="H21" s="2988">
        <f t="shared" si="0"/>
        <v>251.70000000000002</v>
      </c>
      <c r="I21" s="2988">
        <f t="shared" si="1"/>
        <v>198.69</v>
      </c>
      <c r="J21" s="2988">
        <f t="shared" si="2"/>
        <v>99.24</v>
      </c>
      <c r="M21" s="2970" t="s">
        <v>3256</v>
      </c>
      <c r="N21">
        <f>SUM(D5:D39)+SUM(D46:D114)</f>
        <v>27309.05</v>
      </c>
      <c r="O21" s="2974">
        <v>0.6</v>
      </c>
    </row>
    <row r="22" spans="1:15" ht="19.5" customHeight="1">
      <c r="A22" s="2978">
        <v>20</v>
      </c>
      <c r="B22" s="3097"/>
      <c r="C22" s="2991" t="s">
        <v>3223</v>
      </c>
      <c r="D22" s="2992">
        <v>300.16000000000003</v>
      </c>
      <c r="E22" s="3095"/>
      <c r="F22" s="2987">
        <f>4.04+4.1+79.97*2</f>
        <v>168.07999999999998</v>
      </c>
      <c r="G22" s="2987">
        <f>42.74+42.75</f>
        <v>85.490000000000009</v>
      </c>
      <c r="H22" s="2988">
        <f>F22+G22</f>
        <v>253.57</v>
      </c>
      <c r="I22" s="2988">
        <f t="shared" si="1"/>
        <v>198.96000000000004</v>
      </c>
      <c r="J22" s="2988">
        <f t="shared" si="2"/>
        <v>101.2</v>
      </c>
      <c r="M22" s="2970" t="s">
        <v>3257</v>
      </c>
      <c r="N22">
        <f>D3+D4+D40+D41+D42+D43+D44</f>
        <v>863.98</v>
      </c>
      <c r="O22" s="2974">
        <v>0.5</v>
      </c>
    </row>
    <row r="23" spans="1:15" ht="19.5" customHeight="1">
      <c r="A23" s="2978">
        <v>21</v>
      </c>
      <c r="B23" s="3097"/>
      <c r="C23" s="2991" t="s">
        <v>3224</v>
      </c>
      <c r="D23" s="2992">
        <v>297.93</v>
      </c>
      <c r="E23" s="3095"/>
      <c r="F23" s="2987">
        <f>4.04+4.04+79.89*2</f>
        <v>167.86</v>
      </c>
      <c r="G23" s="2987">
        <f>41.92+41.92</f>
        <v>83.84</v>
      </c>
      <c r="H23" s="2988">
        <f t="shared" si="0"/>
        <v>251.70000000000002</v>
      </c>
      <c r="I23" s="2988">
        <f t="shared" si="1"/>
        <v>198.69</v>
      </c>
      <c r="J23" s="2988">
        <f t="shared" si="2"/>
        <v>99.24</v>
      </c>
      <c r="M23" s="2970" t="s">
        <v>3258</v>
      </c>
      <c r="N23">
        <f>D45+D115</f>
        <v>35529.1</v>
      </c>
      <c r="O23" s="2974">
        <v>0.8</v>
      </c>
    </row>
    <row r="24" spans="1:15" ht="19.5" customHeight="1">
      <c r="A24" s="2978">
        <v>22</v>
      </c>
      <c r="B24" s="3097"/>
      <c r="C24" s="2991" t="s">
        <v>3213</v>
      </c>
      <c r="D24" s="2992">
        <v>326.89</v>
      </c>
      <c r="E24" s="3095"/>
      <c r="F24" s="2987">
        <f>76.22+76.23</f>
        <v>152.44999999999999</v>
      </c>
      <c r="G24" s="2987">
        <f>69.63+63.59</f>
        <v>133.22</v>
      </c>
      <c r="H24" s="2988">
        <f t="shared" si="0"/>
        <v>285.66999999999996</v>
      </c>
      <c r="I24" s="2988">
        <f t="shared" si="1"/>
        <v>174.45</v>
      </c>
      <c r="J24" s="2988">
        <f t="shared" si="2"/>
        <v>152.44</v>
      </c>
      <c r="M24" s="2970" t="s">
        <v>3259</v>
      </c>
      <c r="N24">
        <f>SUM(N21:N23)</f>
        <v>63702.13</v>
      </c>
      <c r="O24">
        <f>(N21*O21+N22*O22+N23*O23)/N24</f>
        <v>0.71019132327286383</v>
      </c>
    </row>
    <row r="25" spans="1:15" ht="19.5" customHeight="1">
      <c r="A25" s="2978">
        <v>23</v>
      </c>
      <c r="B25" s="3097"/>
      <c r="C25" s="2991" t="s">
        <v>3214</v>
      </c>
      <c r="D25" s="2992">
        <v>302.19</v>
      </c>
      <c r="E25" s="3095"/>
      <c r="F25" s="2987">
        <f>4.04+4.1+80.33*2</f>
        <v>168.8</v>
      </c>
      <c r="G25" s="2987">
        <f>43.23+43.24</f>
        <v>86.47</v>
      </c>
      <c r="H25" s="2988">
        <f t="shared" si="0"/>
        <v>255.27</v>
      </c>
      <c r="I25" s="2988">
        <f t="shared" si="1"/>
        <v>199.82999999999998</v>
      </c>
      <c r="J25" s="2988">
        <f t="shared" si="2"/>
        <v>102.36</v>
      </c>
    </row>
    <row r="26" spans="1:15" ht="19.5" customHeight="1">
      <c r="A26" s="2978">
        <v>24</v>
      </c>
      <c r="B26" s="3091" t="s">
        <v>3595</v>
      </c>
      <c r="C26" s="2991" t="s">
        <v>3214</v>
      </c>
      <c r="D26" s="2984">
        <v>302.19</v>
      </c>
      <c r="E26" s="3095"/>
      <c r="F26" s="2987">
        <f>4.04+4.1+80.33*2</f>
        <v>168.8</v>
      </c>
      <c r="G26" s="2987">
        <f>43.23+43.24</f>
        <v>86.47</v>
      </c>
      <c r="H26" s="2988">
        <f t="shared" si="0"/>
        <v>255.27</v>
      </c>
      <c r="I26" s="2988">
        <f t="shared" si="1"/>
        <v>199.82999999999998</v>
      </c>
      <c r="J26" s="2988">
        <f t="shared" si="2"/>
        <v>102.36</v>
      </c>
    </row>
    <row r="27" spans="1:15" ht="19.5" customHeight="1">
      <c r="A27" s="2978">
        <v>25</v>
      </c>
      <c r="B27" s="3093"/>
      <c r="C27" s="2980" t="s">
        <v>3225</v>
      </c>
      <c r="D27" s="2980">
        <v>145.63999999999999</v>
      </c>
      <c r="E27" s="3095"/>
      <c r="F27" s="2987"/>
      <c r="G27" s="2987"/>
      <c r="H27" s="2988">
        <f t="shared" si="0"/>
        <v>0</v>
      </c>
      <c r="I27" s="2988">
        <f>D27</f>
        <v>145.63999999999999</v>
      </c>
      <c r="J27" s="2988"/>
    </row>
    <row r="28" spans="1:15" ht="19.5" customHeight="1">
      <c r="A28" s="2978">
        <v>26</v>
      </c>
      <c r="B28" s="3097" t="s">
        <v>3596</v>
      </c>
      <c r="C28" s="2991" t="s">
        <v>3212</v>
      </c>
      <c r="D28" s="2991">
        <v>302.19</v>
      </c>
      <c r="E28" s="3095"/>
      <c r="F28" s="2987">
        <f>4.04+4.1+80.33+80.33</f>
        <v>168.8</v>
      </c>
      <c r="G28" s="2987">
        <f>43.23+43.24</f>
        <v>86.47</v>
      </c>
      <c r="H28" s="2988">
        <f t="shared" si="0"/>
        <v>255.27</v>
      </c>
      <c r="I28" s="2988">
        <f t="shared" si="1"/>
        <v>199.82999999999998</v>
      </c>
      <c r="J28" s="2988">
        <f t="shared" si="2"/>
        <v>102.36</v>
      </c>
    </row>
    <row r="29" spans="1:15" ht="19.5" customHeight="1">
      <c r="A29" s="2978">
        <v>27</v>
      </c>
      <c r="B29" s="3097"/>
      <c r="C29" s="2991" t="s">
        <v>3222</v>
      </c>
      <c r="D29" s="2991">
        <v>297.93</v>
      </c>
      <c r="E29" s="3095"/>
      <c r="F29" s="2987">
        <f>4.04+4.04+79.89*2</f>
        <v>167.86</v>
      </c>
      <c r="G29" s="2987">
        <f>41.92+41.92</f>
        <v>83.84</v>
      </c>
      <c r="H29" s="2988">
        <f t="shared" si="0"/>
        <v>251.70000000000002</v>
      </c>
      <c r="I29" s="2988">
        <f t="shared" si="1"/>
        <v>198.69</v>
      </c>
      <c r="J29" s="2988">
        <f t="shared" si="2"/>
        <v>99.24</v>
      </c>
    </row>
    <row r="30" spans="1:15" ht="19.5" customHeight="1">
      <c r="A30" s="2978">
        <v>28</v>
      </c>
      <c r="B30" s="3097"/>
      <c r="C30" s="2991" t="s">
        <v>3224</v>
      </c>
      <c r="D30" s="2991">
        <v>297.93</v>
      </c>
      <c r="E30" s="3095"/>
      <c r="F30" s="2987">
        <f>4.04+4.04+79.89*2</f>
        <v>167.86</v>
      </c>
      <c r="G30" s="2987">
        <f>41.92+41.92</f>
        <v>83.84</v>
      </c>
      <c r="H30" s="2988">
        <f t="shared" si="0"/>
        <v>251.70000000000002</v>
      </c>
      <c r="I30" s="2988">
        <f t="shared" si="1"/>
        <v>198.69</v>
      </c>
      <c r="J30" s="2988">
        <f t="shared" si="2"/>
        <v>99.24</v>
      </c>
    </row>
    <row r="31" spans="1:15" ht="19.5" customHeight="1">
      <c r="A31" s="2978">
        <v>29</v>
      </c>
      <c r="B31" s="3097"/>
      <c r="C31" s="2991" t="s">
        <v>3214</v>
      </c>
      <c r="D31" s="2991">
        <v>302.19</v>
      </c>
      <c r="E31" s="3095"/>
      <c r="F31" s="2987">
        <f>4.04+4.1+80.33*2</f>
        <v>168.8</v>
      </c>
      <c r="G31" s="2987">
        <f>43.23+43.24</f>
        <v>86.47</v>
      </c>
      <c r="H31" s="2988">
        <f t="shared" si="0"/>
        <v>255.27</v>
      </c>
      <c r="I31" s="2988">
        <f t="shared" si="1"/>
        <v>199.82999999999998</v>
      </c>
      <c r="J31" s="2988">
        <f t="shared" si="2"/>
        <v>102.36</v>
      </c>
    </row>
    <row r="32" spans="1:15" ht="19.5" customHeight="1">
      <c r="A32" s="2978">
        <v>30</v>
      </c>
      <c r="B32" s="3097" t="s">
        <v>3597</v>
      </c>
      <c r="C32" s="2976" t="s">
        <v>3216</v>
      </c>
      <c r="D32" s="2976">
        <v>171.68</v>
      </c>
      <c r="E32" s="3095"/>
      <c r="F32" s="2987"/>
      <c r="G32" s="2987"/>
      <c r="H32" s="2988">
        <f t="shared" si="0"/>
        <v>0</v>
      </c>
      <c r="I32" s="2988">
        <f t="shared" ref="I32:I33" si="5">D32</f>
        <v>171.68</v>
      </c>
      <c r="J32" s="2988"/>
    </row>
    <row r="33" spans="1:10" ht="19.5" customHeight="1">
      <c r="A33" s="2978">
        <v>31</v>
      </c>
      <c r="B33" s="3097"/>
      <c r="C33" s="2976" t="s">
        <v>3217</v>
      </c>
      <c r="D33" s="2976">
        <v>171.72</v>
      </c>
      <c r="E33" s="3095"/>
      <c r="F33" s="2987"/>
      <c r="G33" s="2987"/>
      <c r="H33" s="2988">
        <f t="shared" si="0"/>
        <v>0</v>
      </c>
      <c r="I33" s="2988">
        <f t="shared" si="5"/>
        <v>171.72</v>
      </c>
      <c r="J33" s="2988"/>
    </row>
    <row r="34" spans="1:10" ht="19.5" customHeight="1">
      <c r="A34" s="2978">
        <v>32</v>
      </c>
      <c r="B34" s="3097"/>
      <c r="C34" s="2984" t="s">
        <v>3212</v>
      </c>
      <c r="D34" s="2984">
        <v>302.19</v>
      </c>
      <c r="E34" s="3095"/>
      <c r="F34" s="2987">
        <f>4.04+4.1+80.33*2</f>
        <v>168.8</v>
      </c>
      <c r="G34" s="2987">
        <f>43.23+43.24</f>
        <v>86.47</v>
      </c>
      <c r="H34" s="2988">
        <f t="shared" si="0"/>
        <v>255.27</v>
      </c>
      <c r="I34" s="2988">
        <f t="shared" si="1"/>
        <v>199.82999999999998</v>
      </c>
      <c r="J34" s="2988">
        <f t="shared" si="2"/>
        <v>102.36</v>
      </c>
    </row>
    <row r="35" spans="1:10" ht="19.5" customHeight="1">
      <c r="A35" s="2978">
        <v>33</v>
      </c>
      <c r="B35" s="3097" t="s">
        <v>3598</v>
      </c>
      <c r="C35" s="2984" t="s">
        <v>3221</v>
      </c>
      <c r="D35" s="2984">
        <v>326.83</v>
      </c>
      <c r="E35" s="3095"/>
      <c r="F35" s="2987">
        <f>76.22+76.23</f>
        <v>152.44999999999999</v>
      </c>
      <c r="G35" s="2987">
        <f>69.63+63.59</f>
        <v>133.22</v>
      </c>
      <c r="H35" s="2988">
        <f t="shared" si="0"/>
        <v>285.66999999999996</v>
      </c>
      <c r="I35" s="2988">
        <f t="shared" si="1"/>
        <v>174.42</v>
      </c>
      <c r="J35" s="2988">
        <f t="shared" si="2"/>
        <v>152.41</v>
      </c>
    </row>
    <row r="36" spans="1:10" ht="19.5" customHeight="1">
      <c r="A36" s="2978">
        <v>34</v>
      </c>
      <c r="B36" s="3097"/>
      <c r="C36" s="2976" t="s">
        <v>3226</v>
      </c>
      <c r="D36" s="2976">
        <v>171.93</v>
      </c>
      <c r="E36" s="3095"/>
      <c r="F36" s="2987"/>
      <c r="G36" s="2987"/>
      <c r="H36" s="2988">
        <f t="shared" si="0"/>
        <v>0</v>
      </c>
      <c r="I36" s="2988">
        <f>D36</f>
        <v>171.93</v>
      </c>
      <c r="J36" s="2988"/>
    </row>
    <row r="37" spans="1:10" ht="19.5" customHeight="1">
      <c r="A37" s="2978">
        <v>35</v>
      </c>
      <c r="B37" s="3097"/>
      <c r="C37" s="2984" t="s">
        <v>3227</v>
      </c>
      <c r="D37" s="2984">
        <v>325.22000000000003</v>
      </c>
      <c r="E37" s="3095"/>
      <c r="F37" s="2987">
        <f>75.85*2</f>
        <v>151.69999999999999</v>
      </c>
      <c r="G37" s="2987">
        <f>69.3+63.26</f>
        <v>132.56</v>
      </c>
      <c r="H37" s="2988">
        <f t="shared" si="0"/>
        <v>284.26</v>
      </c>
      <c r="I37" s="2988">
        <f t="shared" si="1"/>
        <v>173.56000000000003</v>
      </c>
      <c r="J37" s="2988">
        <f t="shared" si="2"/>
        <v>151.66</v>
      </c>
    </row>
    <row r="38" spans="1:10" ht="19.5" customHeight="1">
      <c r="A38" s="2978">
        <v>36</v>
      </c>
      <c r="B38" s="3097"/>
      <c r="C38" s="2984" t="s">
        <v>3228</v>
      </c>
      <c r="D38" s="2984">
        <v>326.83</v>
      </c>
      <c r="E38" s="3095"/>
      <c r="F38" s="2987">
        <f>76.22+76.23</f>
        <v>152.44999999999999</v>
      </c>
      <c r="G38" s="2987">
        <f>69.63+63.59</f>
        <v>133.22</v>
      </c>
      <c r="H38" s="2988">
        <f t="shared" si="0"/>
        <v>285.66999999999996</v>
      </c>
      <c r="I38" s="2988">
        <f t="shared" si="1"/>
        <v>174.42</v>
      </c>
      <c r="J38" s="2988">
        <f t="shared" si="2"/>
        <v>152.41</v>
      </c>
    </row>
    <row r="39" spans="1:10" ht="19.5" customHeight="1">
      <c r="A39" s="2978">
        <v>37</v>
      </c>
      <c r="B39" s="2983" t="s">
        <v>3599</v>
      </c>
      <c r="C39" s="2984" t="s">
        <v>3220</v>
      </c>
      <c r="D39" s="2984">
        <v>327.86</v>
      </c>
      <c r="E39" s="3096"/>
      <c r="F39" s="2987">
        <f>75.85+75.88</f>
        <v>151.72999999999999</v>
      </c>
      <c r="G39" s="2987">
        <f>70.44+64.4</f>
        <v>134.84</v>
      </c>
      <c r="H39" s="2988">
        <f t="shared" si="0"/>
        <v>286.57</v>
      </c>
      <c r="I39" s="2988">
        <f t="shared" si="1"/>
        <v>173.59</v>
      </c>
      <c r="J39" s="2988">
        <f t="shared" si="2"/>
        <v>154.27000000000001</v>
      </c>
    </row>
    <row r="40" spans="1:10" ht="19.5" customHeight="1">
      <c r="A40" s="2978">
        <v>38</v>
      </c>
      <c r="B40" s="3097" t="s">
        <v>3605</v>
      </c>
      <c r="C40" s="2980" t="s">
        <v>3210</v>
      </c>
      <c r="D40" s="2980">
        <v>134.02000000000001</v>
      </c>
      <c r="E40" s="3098" t="s">
        <v>3606</v>
      </c>
      <c r="F40" s="2988"/>
      <c r="G40" s="2988"/>
      <c r="H40" s="2988">
        <f t="shared" si="0"/>
        <v>0</v>
      </c>
      <c r="I40" s="2988"/>
      <c r="J40" s="2988"/>
    </row>
    <row r="41" spans="1:10" ht="19.5" customHeight="1">
      <c r="A41" s="2978">
        <v>39</v>
      </c>
      <c r="B41" s="3097"/>
      <c r="C41" s="2980" t="s">
        <v>3212</v>
      </c>
      <c r="D41" s="2980">
        <v>134.02000000000001</v>
      </c>
      <c r="E41" s="3095"/>
      <c r="F41" s="2987"/>
      <c r="G41" s="2987"/>
      <c r="H41" s="2988">
        <f t="shared" si="0"/>
        <v>0</v>
      </c>
      <c r="I41" s="2988"/>
      <c r="J41" s="2988"/>
    </row>
    <row r="42" spans="1:10" ht="19.5" customHeight="1">
      <c r="A42" s="2978">
        <v>40</v>
      </c>
      <c r="B42" s="3097"/>
      <c r="C42" s="2980" t="s">
        <v>3222</v>
      </c>
      <c r="D42" s="2980">
        <v>85.98</v>
      </c>
      <c r="E42" s="3095"/>
      <c r="F42" s="2987"/>
      <c r="G42" s="2987"/>
      <c r="H42" s="2988">
        <f t="shared" si="0"/>
        <v>0</v>
      </c>
      <c r="I42" s="2988"/>
      <c r="J42" s="2988"/>
    </row>
    <row r="43" spans="1:10" ht="19.5" customHeight="1">
      <c r="A43" s="2978">
        <v>41</v>
      </c>
      <c r="B43" s="3097"/>
      <c r="C43" s="2980" t="s">
        <v>3229</v>
      </c>
      <c r="D43" s="2980">
        <v>118.6</v>
      </c>
      <c r="E43" s="3095"/>
      <c r="F43" s="2987"/>
      <c r="G43" s="2987"/>
      <c r="H43" s="2988">
        <f t="shared" si="0"/>
        <v>0</v>
      </c>
      <c r="I43" s="2988"/>
      <c r="J43" s="2988"/>
    </row>
    <row r="44" spans="1:10" ht="19.5" customHeight="1">
      <c r="A44" s="2978">
        <v>42</v>
      </c>
      <c r="B44" s="3097"/>
      <c r="C44" s="2980" t="s">
        <v>3230</v>
      </c>
      <c r="D44" s="2980">
        <v>118.6</v>
      </c>
      <c r="E44" s="3096"/>
      <c r="F44" s="2987"/>
      <c r="G44" s="2987"/>
      <c r="H44" s="2988">
        <f t="shared" si="0"/>
        <v>0</v>
      </c>
      <c r="I44" s="2988"/>
      <c r="J44" s="2988"/>
    </row>
    <row r="45" spans="1:10" ht="180" customHeight="1">
      <c r="A45" s="2978">
        <v>43</v>
      </c>
      <c r="B45" s="2976" t="s">
        <v>3579</v>
      </c>
      <c r="C45" s="2981" t="s">
        <v>3584</v>
      </c>
      <c r="D45" s="2976">
        <v>10081.81</v>
      </c>
      <c r="E45" s="2982" t="s">
        <v>3580</v>
      </c>
      <c r="F45" s="2987"/>
      <c r="G45" s="2987"/>
      <c r="H45" s="2988">
        <f t="shared" si="0"/>
        <v>0</v>
      </c>
      <c r="I45" s="2988"/>
      <c r="J45" s="2988"/>
    </row>
    <row r="46" spans="1:10" ht="19.5" customHeight="1">
      <c r="A46" s="2978">
        <v>44</v>
      </c>
      <c r="B46" s="3091" t="s">
        <v>3600</v>
      </c>
      <c r="C46" s="2984" t="s">
        <v>3221</v>
      </c>
      <c r="D46" s="2984">
        <v>333.27</v>
      </c>
      <c r="E46" s="3094" t="s">
        <v>3585</v>
      </c>
      <c r="F46" s="2987">
        <f>76.1+76.11</f>
        <v>152.20999999999998</v>
      </c>
      <c r="G46" s="2987">
        <f>69.49+63.24</f>
        <v>132.72999999999999</v>
      </c>
      <c r="H46" s="2988">
        <f t="shared" si="0"/>
        <v>284.93999999999994</v>
      </c>
      <c r="I46" s="2988">
        <f t="shared" si="1"/>
        <v>178.02999999999997</v>
      </c>
      <c r="J46" s="2988">
        <f t="shared" si="2"/>
        <v>155.24</v>
      </c>
    </row>
    <row r="47" spans="1:10" ht="19.5" customHeight="1">
      <c r="A47" s="2978">
        <v>45</v>
      </c>
      <c r="B47" s="3092"/>
      <c r="C47" s="2984" t="s">
        <v>3243</v>
      </c>
      <c r="D47" s="2984">
        <v>331.62</v>
      </c>
      <c r="E47" s="3095"/>
      <c r="F47" s="2987">
        <f>75.73+75.73</f>
        <v>151.46</v>
      </c>
      <c r="G47" s="2987">
        <f>69.16+62.91</f>
        <v>132.07</v>
      </c>
      <c r="H47" s="2988">
        <f t="shared" si="0"/>
        <v>283.52999999999997</v>
      </c>
      <c r="I47" s="2988">
        <f t="shared" si="1"/>
        <v>177.15</v>
      </c>
      <c r="J47" s="2988">
        <f t="shared" si="2"/>
        <v>154.47</v>
      </c>
    </row>
    <row r="48" spans="1:10" ht="19.5" customHeight="1">
      <c r="A48" s="2978">
        <v>46</v>
      </c>
      <c r="B48" s="3092"/>
      <c r="C48" s="2976" t="s">
        <v>3215</v>
      </c>
      <c r="D48" s="2976">
        <v>170.22</v>
      </c>
      <c r="E48" s="3095"/>
      <c r="F48" s="2987"/>
      <c r="G48" s="2987"/>
      <c r="H48" s="2988"/>
      <c r="I48" s="2988">
        <f t="shared" ref="I48:I49" si="6">D48</f>
        <v>170.22</v>
      </c>
      <c r="J48" s="2988"/>
    </row>
    <row r="49" spans="1:10" ht="19.5" customHeight="1">
      <c r="A49" s="2978">
        <v>47</v>
      </c>
      <c r="B49" s="3092"/>
      <c r="C49" s="2976" t="s">
        <v>3216</v>
      </c>
      <c r="D49" s="2976">
        <v>169.3</v>
      </c>
      <c r="E49" s="3095"/>
      <c r="F49" s="2987"/>
      <c r="G49" s="2987"/>
      <c r="H49" s="2988"/>
      <c r="I49" s="2988">
        <f t="shared" si="6"/>
        <v>169.3</v>
      </c>
      <c r="J49" s="2988"/>
    </row>
    <row r="50" spans="1:10" ht="16.149999999999999" customHeight="1">
      <c r="A50" s="2978">
        <v>48</v>
      </c>
      <c r="B50" s="3092"/>
      <c r="C50" s="2984" t="s">
        <v>3224</v>
      </c>
      <c r="D50" s="2984">
        <v>302.94</v>
      </c>
      <c r="E50" s="3095"/>
      <c r="F50" s="2987">
        <f>79.78*2+4.04*2</f>
        <v>167.64000000000001</v>
      </c>
      <c r="G50" s="2987">
        <f>38.88+38.11</f>
        <v>76.990000000000009</v>
      </c>
      <c r="H50" s="2988">
        <f t="shared" si="0"/>
        <v>244.63000000000002</v>
      </c>
      <c r="I50" s="2988">
        <f t="shared" si="1"/>
        <v>207.6</v>
      </c>
      <c r="J50" s="2988">
        <f t="shared" si="2"/>
        <v>95.34</v>
      </c>
    </row>
    <row r="51" spans="1:10" ht="14.25">
      <c r="A51" s="2978">
        <v>49</v>
      </c>
      <c r="B51" s="3092"/>
      <c r="C51" s="2976" t="s">
        <v>3217</v>
      </c>
      <c r="D51" s="2976">
        <v>169.34</v>
      </c>
      <c r="E51" s="3095"/>
      <c r="F51" s="2987"/>
      <c r="G51" s="2987"/>
      <c r="H51" s="2988"/>
      <c r="I51" s="2988">
        <f t="shared" ref="I51:I52" si="7">D51</f>
        <v>169.34</v>
      </c>
      <c r="J51" s="2988"/>
    </row>
    <row r="52" spans="1:10" ht="14.25">
      <c r="A52" s="2978">
        <v>50</v>
      </c>
      <c r="B52" s="3092"/>
      <c r="C52" s="2976" t="s">
        <v>3244</v>
      </c>
      <c r="D52" s="2976">
        <v>169.3</v>
      </c>
      <c r="E52" s="3095"/>
      <c r="F52" s="2987"/>
      <c r="G52" s="2987"/>
      <c r="H52" s="2988"/>
      <c r="I52" s="2988">
        <f t="shared" si="7"/>
        <v>169.3</v>
      </c>
      <c r="J52" s="2988"/>
    </row>
    <row r="53" spans="1:10" ht="14.25">
      <c r="A53" s="2978">
        <v>51</v>
      </c>
      <c r="B53" s="3092"/>
      <c r="C53" s="2984" t="s">
        <v>3220</v>
      </c>
      <c r="D53" s="2984">
        <v>331.62</v>
      </c>
      <c r="E53" s="3095"/>
      <c r="F53" s="2987">
        <f>75.73+75.73</f>
        <v>151.46</v>
      </c>
      <c r="G53" s="2987">
        <f>69.16+62.91</f>
        <v>132.07</v>
      </c>
      <c r="H53" s="2988">
        <f t="shared" si="0"/>
        <v>283.52999999999997</v>
      </c>
      <c r="I53" s="2988">
        <f t="shared" si="1"/>
        <v>177.15</v>
      </c>
      <c r="J53" s="2988">
        <f t="shared" si="2"/>
        <v>154.47</v>
      </c>
    </row>
    <row r="54" spans="1:10" ht="14.25">
      <c r="A54" s="2978">
        <v>52</v>
      </c>
      <c r="B54" s="3092"/>
      <c r="C54" s="2984" t="s">
        <v>3213</v>
      </c>
      <c r="D54" s="2984">
        <v>333.27</v>
      </c>
      <c r="E54" s="3095"/>
      <c r="F54" s="2987">
        <f>76.1+76.11</f>
        <v>152.20999999999998</v>
      </c>
      <c r="G54" s="2987">
        <f>59.49+63.24</f>
        <v>122.73</v>
      </c>
      <c r="H54" s="2988">
        <f t="shared" si="0"/>
        <v>274.94</v>
      </c>
      <c r="I54" s="2988">
        <f t="shared" si="1"/>
        <v>184.49999999999997</v>
      </c>
      <c r="J54" s="2988">
        <f t="shared" si="2"/>
        <v>148.77000000000001</v>
      </c>
    </row>
    <row r="55" spans="1:10" ht="14.25">
      <c r="A55" s="2978">
        <v>53</v>
      </c>
      <c r="B55" s="3092"/>
      <c r="C55" s="2984" t="s">
        <v>3245</v>
      </c>
      <c r="D55" s="2984">
        <v>302.18</v>
      </c>
      <c r="E55" s="3095"/>
      <c r="F55" s="2987">
        <f>79.78*2+4.04*2</f>
        <v>167.64000000000001</v>
      </c>
      <c r="G55" s="2987">
        <f>38.58+37.8</f>
        <v>76.38</v>
      </c>
      <c r="H55" s="2988">
        <f t="shared" si="0"/>
        <v>244.02</v>
      </c>
      <c r="I55" s="2988">
        <f t="shared" si="1"/>
        <v>207.60000000000002</v>
      </c>
      <c r="J55" s="2988">
        <f t="shared" si="2"/>
        <v>94.58</v>
      </c>
    </row>
    <row r="56" spans="1:10" ht="14.25">
      <c r="A56" s="2978">
        <v>54</v>
      </c>
      <c r="B56" s="3092"/>
      <c r="C56" s="2984" t="s">
        <v>3214</v>
      </c>
      <c r="D56" s="2984">
        <v>285.82</v>
      </c>
      <c r="E56" s="3095"/>
      <c r="F56" s="2987">
        <f>80.21*2+4.04+4.1</f>
        <v>168.55999999999997</v>
      </c>
      <c r="G56" s="2987">
        <f>31.45+30.8</f>
        <v>62.25</v>
      </c>
      <c r="H56" s="2988">
        <f t="shared" si="0"/>
        <v>230.80999999999997</v>
      </c>
      <c r="I56" s="2988">
        <f t="shared" si="1"/>
        <v>208.73</v>
      </c>
      <c r="J56" s="2988">
        <f t="shared" si="2"/>
        <v>77.09</v>
      </c>
    </row>
    <row r="57" spans="1:10" ht="14.25">
      <c r="A57" s="2978">
        <v>55</v>
      </c>
      <c r="B57" s="3092"/>
      <c r="C57" s="2976" t="s">
        <v>3218</v>
      </c>
      <c r="D57" s="2976">
        <v>169.3</v>
      </c>
      <c r="E57" s="3095"/>
      <c r="F57" s="2987"/>
      <c r="G57" s="2987"/>
      <c r="H57" s="2988"/>
      <c r="I57" s="2988">
        <f t="shared" ref="I57:I58" si="8">D57</f>
        <v>169.3</v>
      </c>
      <c r="J57" s="2988"/>
    </row>
    <row r="58" spans="1:10" ht="14.25">
      <c r="A58" s="2978">
        <v>56</v>
      </c>
      <c r="B58" s="3093"/>
      <c r="C58" s="2976" t="s">
        <v>3219</v>
      </c>
      <c r="D58" s="2976">
        <v>170.22</v>
      </c>
      <c r="E58" s="3095"/>
      <c r="F58" s="2987"/>
      <c r="G58" s="2987"/>
      <c r="H58" s="2988"/>
      <c r="I58" s="2988">
        <f t="shared" si="8"/>
        <v>170.22</v>
      </c>
      <c r="J58" s="2988"/>
    </row>
    <row r="59" spans="1:10" ht="14.45" customHeight="1">
      <c r="A59" s="2978">
        <v>57</v>
      </c>
      <c r="B59" s="3091" t="s">
        <v>3601</v>
      </c>
      <c r="C59" s="2984" t="s">
        <v>3243</v>
      </c>
      <c r="D59" s="2984">
        <v>328.12</v>
      </c>
      <c r="E59" s="3095"/>
      <c r="F59" s="2987">
        <f>75.73*2</f>
        <v>151.46</v>
      </c>
      <c r="G59" s="2987">
        <f>69.16+62.91</f>
        <v>132.07</v>
      </c>
      <c r="H59" s="2988">
        <f t="shared" si="0"/>
        <v>283.52999999999997</v>
      </c>
      <c r="I59" s="2988">
        <f t="shared" si="1"/>
        <v>175.28</v>
      </c>
      <c r="J59" s="2988">
        <f t="shared" si="2"/>
        <v>152.84</v>
      </c>
    </row>
    <row r="60" spans="1:10" ht="14.25">
      <c r="A60" s="2978">
        <v>58</v>
      </c>
      <c r="B60" s="3092"/>
      <c r="C60" s="2984" t="s">
        <v>3212</v>
      </c>
      <c r="D60" s="2984">
        <v>302.89</v>
      </c>
      <c r="E60" s="3095"/>
      <c r="F60" s="2987">
        <f>4.04+4.1+80.21*2</f>
        <v>168.56</v>
      </c>
      <c r="G60" s="2987">
        <f>39.83+39.27</f>
        <v>79.099999999999994</v>
      </c>
      <c r="H60" s="2988">
        <f t="shared" si="0"/>
        <v>247.66</v>
      </c>
      <c r="I60" s="2988">
        <f t="shared" si="1"/>
        <v>206.14999999999998</v>
      </c>
      <c r="J60" s="2988">
        <f t="shared" si="2"/>
        <v>96.74</v>
      </c>
    </row>
    <row r="61" spans="1:10" ht="14.25">
      <c r="A61" s="2978">
        <v>59</v>
      </c>
      <c r="B61" s="3092"/>
      <c r="C61" s="2984" t="s">
        <v>3222</v>
      </c>
      <c r="D61" s="2984">
        <v>299.18</v>
      </c>
      <c r="E61" s="3095"/>
      <c r="F61" s="2987">
        <f>4.04+4.04+79.78*2</f>
        <v>167.64000000000001</v>
      </c>
      <c r="G61" s="2987">
        <f>38.88+38.11</f>
        <v>76.990000000000009</v>
      </c>
      <c r="H61" s="2988">
        <f t="shared" si="0"/>
        <v>244.63000000000002</v>
      </c>
      <c r="I61" s="2988">
        <f t="shared" si="1"/>
        <v>205.02</v>
      </c>
      <c r="J61" s="2988">
        <f t="shared" si="2"/>
        <v>94.16</v>
      </c>
    </row>
    <row r="62" spans="1:10" ht="14.25">
      <c r="A62" s="2978">
        <v>60</v>
      </c>
      <c r="B62" s="3092"/>
      <c r="C62" s="2976" t="s">
        <v>3215</v>
      </c>
      <c r="D62" s="2976">
        <v>170.4</v>
      </c>
      <c r="E62" s="3095"/>
      <c r="F62" s="2987"/>
      <c r="G62" s="2987"/>
      <c r="H62" s="2988"/>
      <c r="I62" s="2988">
        <f t="shared" ref="I62:I63" si="9">D62</f>
        <v>170.4</v>
      </c>
      <c r="J62" s="2988"/>
    </row>
    <row r="63" spans="1:10" ht="14.25">
      <c r="A63" s="2978">
        <v>61</v>
      </c>
      <c r="B63" s="3092"/>
      <c r="C63" s="2976" t="s">
        <v>3216</v>
      </c>
      <c r="D63" s="2976">
        <v>169.48</v>
      </c>
      <c r="E63" s="3095"/>
      <c r="F63" s="2987"/>
      <c r="G63" s="2987"/>
      <c r="H63" s="2988"/>
      <c r="I63" s="2988">
        <f t="shared" si="9"/>
        <v>169.48</v>
      </c>
      <c r="J63" s="2988"/>
    </row>
    <row r="64" spans="1:10" ht="14.25">
      <c r="A64" s="2978">
        <v>62</v>
      </c>
      <c r="B64" s="3092"/>
      <c r="C64" s="2984" t="s">
        <v>3246</v>
      </c>
      <c r="D64" s="2984">
        <v>330.75</v>
      </c>
      <c r="E64" s="3095"/>
      <c r="F64" s="2987">
        <f>75.73*2</f>
        <v>151.46</v>
      </c>
      <c r="G64" s="2987">
        <f>70.29+64.05</f>
        <v>134.34</v>
      </c>
      <c r="H64" s="2988">
        <f t="shared" si="0"/>
        <v>285.8</v>
      </c>
      <c r="I64" s="2988">
        <f t="shared" si="1"/>
        <v>175.28</v>
      </c>
      <c r="J64" s="2988">
        <f t="shared" si="2"/>
        <v>155.47</v>
      </c>
    </row>
    <row r="65" spans="1:10" ht="14.25">
      <c r="A65" s="2978">
        <v>63</v>
      </c>
      <c r="B65" s="3092"/>
      <c r="C65" s="2984" t="s">
        <v>3223</v>
      </c>
      <c r="D65" s="2984">
        <v>300.83</v>
      </c>
      <c r="E65" s="3095"/>
      <c r="F65" s="2987">
        <f>4.04+4.1+79.86</f>
        <v>88</v>
      </c>
      <c r="G65" s="2987">
        <f>39.34+38.77</f>
        <v>78.110000000000014</v>
      </c>
      <c r="H65" s="2988">
        <f t="shared" si="0"/>
        <v>166.11</v>
      </c>
      <c r="I65" s="2988">
        <f t="shared" si="1"/>
        <v>159.36999999999998</v>
      </c>
      <c r="J65" s="2988">
        <f t="shared" si="2"/>
        <v>141.46</v>
      </c>
    </row>
    <row r="66" spans="1:10" ht="14.25">
      <c r="A66" s="2978">
        <v>64</v>
      </c>
      <c r="B66" s="3092"/>
      <c r="C66" s="2984" t="s">
        <v>3224</v>
      </c>
      <c r="D66" s="2984">
        <v>303.27999999999997</v>
      </c>
      <c r="E66" s="3095"/>
      <c r="F66" s="2987">
        <f>4.04*2+79.78</f>
        <v>87.86</v>
      </c>
      <c r="G66" s="2987">
        <f>40.56+39.78</f>
        <v>80.34</v>
      </c>
      <c r="H66" s="2988">
        <f t="shared" si="0"/>
        <v>168.2</v>
      </c>
      <c r="I66" s="2988">
        <f t="shared" si="1"/>
        <v>158.41999999999996</v>
      </c>
      <c r="J66" s="2988">
        <f t="shared" si="2"/>
        <v>144.86000000000001</v>
      </c>
    </row>
    <row r="67" spans="1:10" ht="14.25">
      <c r="A67" s="2978">
        <v>65</v>
      </c>
      <c r="B67" s="3092"/>
      <c r="C67" s="2976" t="s">
        <v>3244</v>
      </c>
      <c r="D67" s="2976">
        <v>169.48</v>
      </c>
      <c r="E67" s="3095"/>
      <c r="F67" s="2987"/>
      <c r="G67" s="2987"/>
      <c r="H67" s="2988"/>
      <c r="I67" s="2988">
        <f>D67</f>
        <v>169.48</v>
      </c>
      <c r="J67" s="2988"/>
    </row>
    <row r="68" spans="1:10" ht="14.25">
      <c r="A68" s="2978">
        <v>66</v>
      </c>
      <c r="B68" s="3092"/>
      <c r="C68" s="2984" t="s">
        <v>3220</v>
      </c>
      <c r="D68" s="2984">
        <v>330.79</v>
      </c>
      <c r="E68" s="3095"/>
      <c r="F68" s="2987">
        <f>75.74+75.76</f>
        <v>151.5</v>
      </c>
      <c r="G68" s="2987">
        <f>70.29+64.05</f>
        <v>134.34</v>
      </c>
      <c r="H68" s="2988">
        <f t="shared" ref="H68:H113" si="10">F68+G68</f>
        <v>285.84000000000003</v>
      </c>
      <c r="I68" s="2988">
        <f t="shared" si="1"/>
        <v>175.32000000000002</v>
      </c>
      <c r="J68" s="2988">
        <f t="shared" si="2"/>
        <v>155.47</v>
      </c>
    </row>
    <row r="69" spans="1:10" ht="14.25">
      <c r="A69" s="2978">
        <v>67</v>
      </c>
      <c r="B69" s="3092"/>
      <c r="C69" s="2984" t="s">
        <v>3245</v>
      </c>
      <c r="D69" s="2984">
        <v>304.93</v>
      </c>
      <c r="E69" s="3095"/>
      <c r="F69" s="2987">
        <f>4.04+4.1+79.86*2</f>
        <v>167.86</v>
      </c>
      <c r="G69" s="2987">
        <f>41.02+40.45</f>
        <v>81.47</v>
      </c>
      <c r="H69" s="2988">
        <f t="shared" si="10"/>
        <v>249.33</v>
      </c>
      <c r="I69" s="2988">
        <f t="shared" si="1"/>
        <v>205.29000000000002</v>
      </c>
      <c r="J69" s="2988">
        <f t="shared" si="2"/>
        <v>99.64</v>
      </c>
    </row>
    <row r="70" spans="1:10" ht="14.25">
      <c r="A70" s="2978">
        <v>68</v>
      </c>
      <c r="B70" s="3092"/>
      <c r="C70" s="2976" t="s">
        <v>3219</v>
      </c>
      <c r="D70" s="2976">
        <v>169.48</v>
      </c>
      <c r="E70" s="3095"/>
      <c r="F70" s="2987"/>
      <c r="G70" s="2987"/>
      <c r="H70" s="2988"/>
      <c r="I70" s="2988">
        <f>D70</f>
        <v>169.48</v>
      </c>
      <c r="J70" s="2988"/>
    </row>
    <row r="71" spans="1:10" ht="14.25">
      <c r="A71" s="2978">
        <v>69</v>
      </c>
      <c r="B71" s="3092"/>
      <c r="C71" s="2984" t="s">
        <v>3227</v>
      </c>
      <c r="D71" s="2984">
        <v>328.12</v>
      </c>
      <c r="E71" s="3095"/>
      <c r="F71" s="2987">
        <f>75.73*2</f>
        <v>151.46</v>
      </c>
      <c r="G71" s="2987">
        <f>69.16+62.91</f>
        <v>132.07</v>
      </c>
      <c r="H71" s="2988">
        <f t="shared" si="10"/>
        <v>283.52999999999997</v>
      </c>
      <c r="I71" s="2988">
        <f t="shared" ref="I71:I113" si="11">D71-J71</f>
        <v>175.28</v>
      </c>
      <c r="J71" s="2988">
        <f t="shared" ref="J71:J113" si="12">ROUND(G71/H71*D71,2)</f>
        <v>152.84</v>
      </c>
    </row>
    <row r="72" spans="1:10" ht="14.25">
      <c r="A72" s="2978">
        <v>70</v>
      </c>
      <c r="B72" s="3092"/>
      <c r="C72" s="2984" t="s">
        <v>3228</v>
      </c>
      <c r="D72" s="2984">
        <v>329.75</v>
      </c>
      <c r="E72" s="3095"/>
      <c r="F72" s="2987">
        <f>76.1+76.11</f>
        <v>152.20999999999998</v>
      </c>
      <c r="G72" s="2987">
        <f>69.49+63.24</f>
        <v>132.72999999999999</v>
      </c>
      <c r="H72" s="2988">
        <f t="shared" si="10"/>
        <v>284.93999999999994</v>
      </c>
      <c r="I72" s="2988">
        <f t="shared" si="11"/>
        <v>176.15</v>
      </c>
      <c r="J72" s="2988">
        <f t="shared" si="12"/>
        <v>153.6</v>
      </c>
    </row>
    <row r="73" spans="1:10" ht="14.25">
      <c r="A73" s="2978">
        <v>71</v>
      </c>
      <c r="B73" s="3092"/>
      <c r="C73" s="2984" t="s">
        <v>3247</v>
      </c>
      <c r="D73" s="2984">
        <v>299.18</v>
      </c>
      <c r="E73" s="3095"/>
      <c r="F73" s="2987">
        <f>4.04+4.04+79.78*2</f>
        <v>167.64000000000001</v>
      </c>
      <c r="G73" s="2987">
        <f>38.88+38.11</f>
        <v>76.990000000000009</v>
      </c>
      <c r="H73" s="2988">
        <f t="shared" si="10"/>
        <v>244.63000000000002</v>
      </c>
      <c r="I73" s="2988">
        <f t="shared" si="11"/>
        <v>205.02</v>
      </c>
      <c r="J73" s="2988">
        <f t="shared" si="12"/>
        <v>94.16</v>
      </c>
    </row>
    <row r="74" spans="1:10" ht="14.25">
      <c r="A74" s="2978">
        <v>72</v>
      </c>
      <c r="B74" s="3092"/>
      <c r="C74" s="2984" t="s">
        <v>3248</v>
      </c>
      <c r="D74" s="2984">
        <v>302.89</v>
      </c>
      <c r="E74" s="3095"/>
      <c r="F74" s="2987">
        <f>4.04+4.1+80.21*2</f>
        <v>168.56</v>
      </c>
      <c r="G74" s="2987">
        <f>39.83+39.27</f>
        <v>79.099999999999994</v>
      </c>
      <c r="H74" s="2988">
        <f t="shared" si="10"/>
        <v>247.66</v>
      </c>
      <c r="I74" s="2988">
        <f t="shared" si="11"/>
        <v>206.14999999999998</v>
      </c>
      <c r="J74" s="2988">
        <f t="shared" si="12"/>
        <v>96.74</v>
      </c>
    </row>
    <row r="75" spans="1:10" ht="14.25">
      <c r="A75" s="2978">
        <v>73</v>
      </c>
      <c r="B75" s="3092"/>
      <c r="C75" s="2976" t="s">
        <v>3226</v>
      </c>
      <c r="D75" s="2976">
        <v>169.48</v>
      </c>
      <c r="E75" s="3095"/>
      <c r="F75" s="2987"/>
      <c r="G75" s="2987"/>
      <c r="H75" s="2988"/>
      <c r="I75" s="2988">
        <f t="shared" ref="I75:I76" si="13">D75</f>
        <v>169.48</v>
      </c>
      <c r="J75" s="2988"/>
    </row>
    <row r="76" spans="1:10" ht="14.25">
      <c r="A76" s="2978">
        <v>74</v>
      </c>
      <c r="B76" s="3093"/>
      <c r="C76" s="2976" t="s">
        <v>3249</v>
      </c>
      <c r="D76" s="2976">
        <v>170.4</v>
      </c>
      <c r="E76" s="3095"/>
      <c r="F76" s="2987"/>
      <c r="G76" s="2987"/>
      <c r="H76" s="2988"/>
      <c r="I76" s="2988">
        <f t="shared" si="13"/>
        <v>170.4</v>
      </c>
      <c r="J76" s="2988"/>
    </row>
    <row r="77" spans="1:10" ht="14.45" customHeight="1">
      <c r="A77" s="2978">
        <v>75</v>
      </c>
      <c r="B77" s="3091" t="s">
        <v>3602</v>
      </c>
      <c r="C77" s="2984" t="s">
        <v>3243</v>
      </c>
      <c r="D77" s="2984">
        <v>329.4</v>
      </c>
      <c r="E77" s="3095"/>
      <c r="F77" s="2987">
        <f>75.73+75.73</f>
        <v>151.46</v>
      </c>
      <c r="G77" s="2987">
        <f>69.16+62.91</f>
        <v>132.07</v>
      </c>
      <c r="H77" s="2988">
        <f t="shared" si="10"/>
        <v>283.52999999999997</v>
      </c>
      <c r="I77" s="2988">
        <f t="shared" si="11"/>
        <v>175.95999999999998</v>
      </c>
      <c r="J77" s="2988">
        <f t="shared" si="12"/>
        <v>153.44</v>
      </c>
    </row>
    <row r="78" spans="1:10" ht="14.25">
      <c r="A78" s="2978">
        <v>76</v>
      </c>
      <c r="B78" s="3092"/>
      <c r="C78" s="2984" t="s">
        <v>3212</v>
      </c>
      <c r="D78" s="2984">
        <v>283.57</v>
      </c>
      <c r="E78" s="3095"/>
      <c r="F78" s="2987">
        <f>4.04+4.1+80.21*2</f>
        <v>168.56</v>
      </c>
      <c r="G78" s="2987">
        <f>30.8+31.45</f>
        <v>62.25</v>
      </c>
      <c r="H78" s="2988">
        <f t="shared" si="10"/>
        <v>230.81</v>
      </c>
      <c r="I78" s="2988">
        <f t="shared" si="11"/>
        <v>207.08999999999997</v>
      </c>
      <c r="J78" s="2988">
        <f t="shared" si="12"/>
        <v>76.48</v>
      </c>
    </row>
    <row r="79" spans="1:10" ht="14.25">
      <c r="A79" s="2978">
        <v>77</v>
      </c>
      <c r="B79" s="3092"/>
      <c r="C79" s="2984" t="s">
        <v>3222</v>
      </c>
      <c r="D79" s="2984">
        <v>299.8</v>
      </c>
      <c r="E79" s="3095"/>
      <c r="F79" s="2987">
        <f>4.04+4.04+79.78*2</f>
        <v>167.64000000000001</v>
      </c>
      <c r="G79" s="2987">
        <f>37.8+38.58</f>
        <v>76.38</v>
      </c>
      <c r="H79" s="2988">
        <f t="shared" si="10"/>
        <v>244.02</v>
      </c>
      <c r="I79" s="2988">
        <f t="shared" si="11"/>
        <v>205.96</v>
      </c>
      <c r="J79" s="2988">
        <f t="shared" si="12"/>
        <v>93.84</v>
      </c>
    </row>
    <row r="80" spans="1:10" ht="14.25">
      <c r="A80" s="2978">
        <v>78</v>
      </c>
      <c r="B80" s="3092"/>
      <c r="C80" s="2976" t="s">
        <v>3215</v>
      </c>
      <c r="D80" s="2976">
        <v>170.42</v>
      </c>
      <c r="E80" s="3095"/>
      <c r="F80" s="2987"/>
      <c r="G80" s="2987"/>
      <c r="H80" s="2988"/>
      <c r="I80" s="2988">
        <f t="shared" ref="I80:I81" si="14">D80</f>
        <v>170.42</v>
      </c>
      <c r="J80" s="2988"/>
    </row>
    <row r="81" spans="1:10" ht="14.25">
      <c r="A81" s="2978">
        <v>79</v>
      </c>
      <c r="B81" s="3092"/>
      <c r="C81" s="2976" t="s">
        <v>3216</v>
      </c>
      <c r="D81" s="2976">
        <v>169.5</v>
      </c>
      <c r="E81" s="3095"/>
      <c r="F81" s="2987"/>
      <c r="G81" s="2987"/>
      <c r="H81" s="2988"/>
      <c r="I81" s="2988">
        <f t="shared" si="14"/>
        <v>169.5</v>
      </c>
      <c r="J81" s="2988"/>
    </row>
    <row r="82" spans="1:10" ht="14.25">
      <c r="A82" s="2978">
        <v>80</v>
      </c>
      <c r="B82" s="3092"/>
      <c r="C82" s="2984" t="s">
        <v>3223</v>
      </c>
      <c r="D82" s="2984">
        <v>302.2</v>
      </c>
      <c r="E82" s="3095"/>
      <c r="F82" s="2987">
        <f>4.04+4.1+79.86*2</f>
        <v>167.86</v>
      </c>
      <c r="G82" s="2987">
        <f>38.77+39.34</f>
        <v>78.110000000000014</v>
      </c>
      <c r="H82" s="2988">
        <f t="shared" si="10"/>
        <v>245.97000000000003</v>
      </c>
      <c r="I82" s="2988">
        <f t="shared" si="11"/>
        <v>206.23</v>
      </c>
      <c r="J82" s="2988">
        <f t="shared" si="12"/>
        <v>95.97</v>
      </c>
    </row>
    <row r="83" spans="1:10" ht="14.25">
      <c r="A83" s="2978">
        <v>81</v>
      </c>
      <c r="B83" s="3092"/>
      <c r="C83" s="2976" t="s">
        <v>3217</v>
      </c>
      <c r="D83" s="2976">
        <v>169.54</v>
      </c>
      <c r="E83" s="3095"/>
      <c r="F83" s="2987"/>
      <c r="G83" s="2987"/>
      <c r="H83" s="2988"/>
      <c r="I83" s="2988">
        <f t="shared" ref="I83:I84" si="15">D83</f>
        <v>169.54</v>
      </c>
      <c r="J83" s="2988"/>
    </row>
    <row r="84" spans="1:10" ht="14.25">
      <c r="A84" s="2978">
        <v>82</v>
      </c>
      <c r="B84" s="3092"/>
      <c r="C84" s="2976" t="s">
        <v>3244</v>
      </c>
      <c r="D84" s="2976">
        <v>169.5</v>
      </c>
      <c r="E84" s="3095"/>
      <c r="F84" s="2987"/>
      <c r="G84" s="2987"/>
      <c r="H84" s="2988"/>
      <c r="I84" s="2988">
        <f t="shared" si="15"/>
        <v>169.5</v>
      </c>
      <c r="J84" s="2988"/>
    </row>
    <row r="85" spans="1:10" ht="14.25">
      <c r="A85" s="2978">
        <v>83</v>
      </c>
      <c r="B85" s="3092"/>
      <c r="C85" s="2984" t="s">
        <v>3245</v>
      </c>
      <c r="D85" s="2984">
        <v>306.32</v>
      </c>
      <c r="E85" s="3095"/>
      <c r="F85" s="2987">
        <f>4.04+4.1+79.86*2</f>
        <v>167.86</v>
      </c>
      <c r="G85" s="2987">
        <f>40.45+41.02</f>
        <v>81.47</v>
      </c>
      <c r="H85" s="2988">
        <f t="shared" si="10"/>
        <v>249.33</v>
      </c>
      <c r="I85" s="2988">
        <f t="shared" si="11"/>
        <v>206.23</v>
      </c>
      <c r="J85" s="2988">
        <f t="shared" si="12"/>
        <v>100.09</v>
      </c>
    </row>
    <row r="86" spans="1:10" ht="14.25">
      <c r="A86" s="2978">
        <v>84</v>
      </c>
      <c r="B86" s="3092"/>
      <c r="C86" s="2984" t="s">
        <v>3247</v>
      </c>
      <c r="D86" s="2984">
        <v>300.55</v>
      </c>
      <c r="E86" s="3095"/>
      <c r="F86" s="2987">
        <f>4.04+4.04+79.78*2</f>
        <v>167.64000000000001</v>
      </c>
      <c r="G86" s="2987">
        <f>38.11+38.88</f>
        <v>76.990000000000009</v>
      </c>
      <c r="H86" s="2988">
        <f t="shared" si="10"/>
        <v>244.63000000000002</v>
      </c>
      <c r="I86" s="2988">
        <f t="shared" si="11"/>
        <v>205.96</v>
      </c>
      <c r="J86" s="2988">
        <f t="shared" si="12"/>
        <v>94.59</v>
      </c>
    </row>
    <row r="87" spans="1:10" ht="14.25">
      <c r="A87" s="2978">
        <v>85</v>
      </c>
      <c r="B87" s="3092"/>
      <c r="C87" s="2984" t="s">
        <v>3248</v>
      </c>
      <c r="D87" s="2984">
        <v>304.27</v>
      </c>
      <c r="E87" s="3095"/>
      <c r="F87" s="2987">
        <f>4.04+4.1+80.21*2</f>
        <v>168.56</v>
      </c>
      <c r="G87" s="2987">
        <f>39.27+39.83</f>
        <v>79.099999999999994</v>
      </c>
      <c r="H87" s="2988">
        <f t="shared" si="10"/>
        <v>247.66</v>
      </c>
      <c r="I87" s="2988">
        <f t="shared" si="11"/>
        <v>207.08999999999997</v>
      </c>
      <c r="J87" s="2988">
        <f t="shared" si="12"/>
        <v>97.18</v>
      </c>
    </row>
    <row r="88" spans="1:10" ht="14.25">
      <c r="A88" s="2978">
        <v>86</v>
      </c>
      <c r="B88" s="3093"/>
      <c r="C88" s="2976" t="s">
        <v>3226</v>
      </c>
      <c r="D88" s="2976">
        <v>169.5</v>
      </c>
      <c r="E88" s="3095"/>
      <c r="F88" s="2987"/>
      <c r="G88" s="2987"/>
      <c r="H88" s="2988"/>
      <c r="I88" s="2988">
        <f>D88</f>
        <v>169.5</v>
      </c>
      <c r="J88" s="2988"/>
    </row>
    <row r="89" spans="1:10" ht="14.45" customHeight="1">
      <c r="A89" s="2978">
        <v>87</v>
      </c>
      <c r="B89" s="3091" t="s">
        <v>3603</v>
      </c>
      <c r="C89" s="2984" t="s">
        <v>3221</v>
      </c>
      <c r="D89" s="2984">
        <v>331.49</v>
      </c>
      <c r="E89" s="3095"/>
      <c r="F89" s="2987">
        <f>76.1+76.11</f>
        <v>152.20999999999998</v>
      </c>
      <c r="G89" s="2987">
        <f>69.49+63.24</f>
        <v>132.72999999999999</v>
      </c>
      <c r="H89" s="2988">
        <f t="shared" si="10"/>
        <v>284.93999999999994</v>
      </c>
      <c r="I89" s="2988">
        <f t="shared" si="11"/>
        <v>177.08</v>
      </c>
      <c r="J89" s="2988">
        <f t="shared" si="12"/>
        <v>154.41</v>
      </c>
    </row>
    <row r="90" spans="1:10" ht="14.25">
      <c r="A90" s="2978">
        <v>88</v>
      </c>
      <c r="B90" s="3092"/>
      <c r="C90" s="2984" t="s">
        <v>3212</v>
      </c>
      <c r="D90" s="2984">
        <v>284.07</v>
      </c>
      <c r="E90" s="3095"/>
      <c r="F90" s="2987">
        <f>4.04+4.1+80.21*2</f>
        <v>168.56</v>
      </c>
      <c r="G90" s="2987">
        <f>31.45+30.8</f>
        <v>62.25</v>
      </c>
      <c r="H90" s="2988">
        <f t="shared" si="10"/>
        <v>230.81</v>
      </c>
      <c r="I90" s="2988">
        <f t="shared" si="11"/>
        <v>207.45999999999998</v>
      </c>
      <c r="J90" s="2988">
        <f t="shared" si="12"/>
        <v>76.61</v>
      </c>
    </row>
    <row r="91" spans="1:10" ht="14.25">
      <c r="A91" s="2978">
        <v>89</v>
      </c>
      <c r="B91" s="3092"/>
      <c r="C91" s="2984" t="s">
        <v>3222</v>
      </c>
      <c r="D91" s="2984">
        <v>300.33</v>
      </c>
      <c r="E91" s="3095"/>
      <c r="F91" s="2987">
        <f>4.04+4.04+79.78*2</f>
        <v>167.64000000000001</v>
      </c>
      <c r="G91" s="2987">
        <f>38.58+37.8</f>
        <v>76.38</v>
      </c>
      <c r="H91" s="2988">
        <f t="shared" si="10"/>
        <v>244.02</v>
      </c>
      <c r="I91" s="2988">
        <f t="shared" si="11"/>
        <v>206.32</v>
      </c>
      <c r="J91" s="2988">
        <f t="shared" si="12"/>
        <v>94.01</v>
      </c>
    </row>
    <row r="92" spans="1:10" ht="14.25">
      <c r="A92" s="2978">
        <v>90</v>
      </c>
      <c r="B92" s="3092"/>
      <c r="C92" s="2976" t="s">
        <v>3216</v>
      </c>
      <c r="D92" s="2976">
        <v>169.31</v>
      </c>
      <c r="E92" s="3095"/>
      <c r="F92" s="2987"/>
      <c r="G92" s="2987"/>
      <c r="H92" s="2988"/>
      <c r="I92" s="2988">
        <f>D92</f>
        <v>169.31</v>
      </c>
      <c r="J92" s="2988"/>
    </row>
    <row r="93" spans="1:10" ht="14.25">
      <c r="A93" s="2978">
        <v>91</v>
      </c>
      <c r="B93" s="3092"/>
      <c r="C93" s="2984" t="s">
        <v>3250</v>
      </c>
      <c r="D93" s="2984">
        <v>329.9</v>
      </c>
      <c r="E93" s="3095"/>
      <c r="F93" s="2987">
        <f>75.74+75.76</f>
        <v>151.5</v>
      </c>
      <c r="G93" s="2987">
        <f>69.16+62.91</f>
        <v>132.07</v>
      </c>
      <c r="H93" s="2988">
        <f t="shared" si="10"/>
        <v>283.57</v>
      </c>
      <c r="I93" s="2988">
        <f t="shared" si="11"/>
        <v>176.24999999999997</v>
      </c>
      <c r="J93" s="2988">
        <f t="shared" si="12"/>
        <v>153.65</v>
      </c>
    </row>
    <row r="94" spans="1:10" ht="14.25">
      <c r="A94" s="2978">
        <v>92</v>
      </c>
      <c r="B94" s="3092"/>
      <c r="C94" s="2984" t="s">
        <v>3246</v>
      </c>
      <c r="D94" s="2984">
        <v>332.49</v>
      </c>
      <c r="E94" s="3095"/>
      <c r="F94" s="2987">
        <f>75.73+75.73</f>
        <v>151.46</v>
      </c>
      <c r="G94" s="2987">
        <f>70.29+64.05</f>
        <v>134.34</v>
      </c>
      <c r="H94" s="2988">
        <f t="shared" si="10"/>
        <v>285.8</v>
      </c>
      <c r="I94" s="2988">
        <f t="shared" si="11"/>
        <v>176.20000000000002</v>
      </c>
      <c r="J94" s="2988">
        <f t="shared" si="12"/>
        <v>156.29</v>
      </c>
    </row>
    <row r="95" spans="1:10" ht="14.25">
      <c r="A95" s="2978">
        <v>93</v>
      </c>
      <c r="B95" s="3092"/>
      <c r="C95" s="2984" t="s">
        <v>3223</v>
      </c>
      <c r="D95" s="2984">
        <v>302.73</v>
      </c>
      <c r="E95" s="3095"/>
      <c r="F95" s="2987">
        <f>4.04+4.1+79.86*2</f>
        <v>167.86</v>
      </c>
      <c r="G95" s="2987">
        <f>39.34+38.77</f>
        <v>78.110000000000014</v>
      </c>
      <c r="H95" s="2988">
        <f t="shared" si="10"/>
        <v>245.97000000000003</v>
      </c>
      <c r="I95" s="2988">
        <f t="shared" si="11"/>
        <v>206.60000000000002</v>
      </c>
      <c r="J95" s="2988">
        <f t="shared" si="12"/>
        <v>96.13</v>
      </c>
    </row>
    <row r="96" spans="1:10" ht="14.25">
      <c r="A96" s="2978">
        <v>94</v>
      </c>
      <c r="B96" s="3092"/>
      <c r="C96" s="2984" t="s">
        <v>3224</v>
      </c>
      <c r="D96" s="2984">
        <v>305.2</v>
      </c>
      <c r="E96" s="3095"/>
      <c r="F96" s="2987">
        <f>4.04+4.04+79.78*2</f>
        <v>167.64000000000001</v>
      </c>
      <c r="G96" s="2987">
        <f>40.56+39.78</f>
        <v>80.34</v>
      </c>
      <c r="H96" s="2988">
        <f t="shared" si="10"/>
        <v>247.98000000000002</v>
      </c>
      <c r="I96" s="2988">
        <f t="shared" si="11"/>
        <v>206.32</v>
      </c>
      <c r="J96" s="2988">
        <f t="shared" si="12"/>
        <v>98.88</v>
      </c>
    </row>
    <row r="97" spans="1:10" ht="14.25">
      <c r="A97" s="2978">
        <v>95</v>
      </c>
      <c r="B97" s="3092"/>
      <c r="C97" s="2976" t="s">
        <v>3217</v>
      </c>
      <c r="D97" s="2976">
        <v>169.35</v>
      </c>
      <c r="E97" s="3095"/>
      <c r="F97" s="2987"/>
      <c r="G97" s="2987"/>
      <c r="H97" s="2988"/>
      <c r="I97" s="2988">
        <f t="shared" ref="I97:I98" si="16">D97</f>
        <v>169.35</v>
      </c>
      <c r="J97" s="2988"/>
    </row>
    <row r="98" spans="1:10" ht="14.25">
      <c r="A98" s="2978">
        <v>96</v>
      </c>
      <c r="B98" s="3092"/>
      <c r="C98" s="2976" t="s">
        <v>3244</v>
      </c>
      <c r="D98" s="2976">
        <v>169.31</v>
      </c>
      <c r="E98" s="3095"/>
      <c r="F98" s="2987"/>
      <c r="G98" s="2987"/>
      <c r="H98" s="2988"/>
      <c r="I98" s="2988">
        <f t="shared" si="16"/>
        <v>169.31</v>
      </c>
      <c r="J98" s="2988"/>
    </row>
    <row r="99" spans="1:10" ht="14.25">
      <c r="A99" s="2978">
        <v>97</v>
      </c>
      <c r="B99" s="3092"/>
      <c r="C99" s="2984" t="s">
        <v>3220</v>
      </c>
      <c r="D99" s="2984">
        <v>332.54</v>
      </c>
      <c r="E99" s="3095"/>
      <c r="F99" s="2987">
        <f>75.74+75.76</f>
        <v>151.5</v>
      </c>
      <c r="G99" s="2987">
        <f>70.29+64.05</f>
        <v>134.34</v>
      </c>
      <c r="H99" s="2988">
        <f t="shared" si="10"/>
        <v>285.84000000000003</v>
      </c>
      <c r="I99" s="2988">
        <f t="shared" si="11"/>
        <v>176.25000000000003</v>
      </c>
      <c r="J99" s="2988">
        <f t="shared" si="12"/>
        <v>156.29</v>
      </c>
    </row>
    <row r="100" spans="1:10" ht="14.25">
      <c r="A100" s="2978">
        <v>98</v>
      </c>
      <c r="B100" s="3092"/>
      <c r="C100" s="2984" t="s">
        <v>3213</v>
      </c>
      <c r="D100" s="2984">
        <v>329.85</v>
      </c>
      <c r="E100" s="3095"/>
      <c r="F100" s="2987">
        <f>75.73+75.73</f>
        <v>151.46</v>
      </c>
      <c r="G100" s="2987">
        <f>69.16+62.91</f>
        <v>132.07</v>
      </c>
      <c r="H100" s="2988">
        <f t="shared" si="10"/>
        <v>283.52999999999997</v>
      </c>
      <c r="I100" s="2988">
        <f t="shared" si="11"/>
        <v>176.20000000000002</v>
      </c>
      <c r="J100" s="2988">
        <f t="shared" si="12"/>
        <v>153.65</v>
      </c>
    </row>
    <row r="101" spans="1:10" ht="14.25">
      <c r="A101" s="2978">
        <v>99</v>
      </c>
      <c r="B101" s="3092"/>
      <c r="C101" s="2984" t="s">
        <v>3245</v>
      </c>
      <c r="D101" s="2984">
        <v>306.86</v>
      </c>
      <c r="E101" s="3095"/>
      <c r="F101" s="2987">
        <f>4.04+4.1+79.86*2</f>
        <v>167.86</v>
      </c>
      <c r="G101" s="2987">
        <f>41.02+40.45</f>
        <v>81.47</v>
      </c>
      <c r="H101" s="2988">
        <f t="shared" si="10"/>
        <v>249.33</v>
      </c>
      <c r="I101" s="2988">
        <f t="shared" si="11"/>
        <v>206.59000000000003</v>
      </c>
      <c r="J101" s="2988">
        <f t="shared" si="12"/>
        <v>100.27</v>
      </c>
    </row>
    <row r="102" spans="1:10" ht="14.25">
      <c r="A102" s="2978">
        <v>100</v>
      </c>
      <c r="B102" s="3092"/>
      <c r="C102" s="2984" t="s">
        <v>3214</v>
      </c>
      <c r="D102" s="2984">
        <v>301.08</v>
      </c>
      <c r="E102" s="3095"/>
      <c r="F102" s="2987">
        <f>4.04+4.04+79.78*2</f>
        <v>167.64000000000001</v>
      </c>
      <c r="G102" s="2987">
        <f>38.88+38.11</f>
        <v>76.990000000000009</v>
      </c>
      <c r="H102" s="2988">
        <f t="shared" si="10"/>
        <v>244.63000000000002</v>
      </c>
      <c r="I102" s="2988">
        <f t="shared" si="11"/>
        <v>206.32</v>
      </c>
      <c r="J102" s="2988">
        <f t="shared" si="12"/>
        <v>94.76</v>
      </c>
    </row>
    <row r="103" spans="1:10" ht="14.25">
      <c r="A103" s="2978">
        <v>101</v>
      </c>
      <c r="B103" s="3092"/>
      <c r="C103" s="2976" t="s">
        <v>3219</v>
      </c>
      <c r="D103" s="2976">
        <v>169.31</v>
      </c>
      <c r="E103" s="3095"/>
      <c r="F103" s="2987"/>
      <c r="G103" s="2987"/>
      <c r="H103" s="2988"/>
      <c r="I103" s="2988">
        <f>D103</f>
        <v>169.31</v>
      </c>
      <c r="J103" s="2988"/>
    </row>
    <row r="104" spans="1:10" ht="14.25">
      <c r="A104" s="2978">
        <v>102</v>
      </c>
      <c r="B104" s="3092"/>
      <c r="C104" s="2984" t="s">
        <v>3227</v>
      </c>
      <c r="D104" s="2984">
        <v>329.9</v>
      </c>
      <c r="E104" s="3095"/>
      <c r="F104" s="2987">
        <f>75.74+75.76</f>
        <v>151.5</v>
      </c>
      <c r="G104" s="2987">
        <f>69.16+62.91</f>
        <v>132.07</v>
      </c>
      <c r="H104" s="2988">
        <f t="shared" si="10"/>
        <v>283.57</v>
      </c>
      <c r="I104" s="2988">
        <f t="shared" si="11"/>
        <v>176.24999999999997</v>
      </c>
      <c r="J104" s="2988">
        <f t="shared" si="12"/>
        <v>153.65</v>
      </c>
    </row>
    <row r="105" spans="1:10" ht="14.25">
      <c r="A105" s="2978">
        <v>103</v>
      </c>
      <c r="B105" s="3092"/>
      <c r="C105" s="2984" t="s">
        <v>3228</v>
      </c>
      <c r="D105" s="2984">
        <v>329.85</v>
      </c>
      <c r="E105" s="3095"/>
      <c r="F105" s="2987">
        <f>75.73+75.73</f>
        <v>151.46</v>
      </c>
      <c r="G105" s="2987">
        <f>69.16+62.91</f>
        <v>132.07</v>
      </c>
      <c r="H105" s="2988">
        <f t="shared" si="10"/>
        <v>283.52999999999997</v>
      </c>
      <c r="I105" s="2988">
        <f t="shared" si="11"/>
        <v>176.20000000000002</v>
      </c>
      <c r="J105" s="2988">
        <f t="shared" si="12"/>
        <v>153.65</v>
      </c>
    </row>
    <row r="106" spans="1:10" ht="14.25">
      <c r="A106" s="2978">
        <v>104</v>
      </c>
      <c r="B106" s="3092"/>
      <c r="C106" s="2984" t="s">
        <v>3247</v>
      </c>
      <c r="D106" s="2984">
        <v>302.74</v>
      </c>
      <c r="E106" s="3095"/>
      <c r="F106" s="2987">
        <f>4.04+4.1+79.86*2</f>
        <v>167.86</v>
      </c>
      <c r="G106" s="2987">
        <f>39.34+38.77</f>
        <v>78.110000000000014</v>
      </c>
      <c r="H106" s="2988">
        <f t="shared" si="10"/>
        <v>245.97000000000003</v>
      </c>
      <c r="I106" s="2988">
        <f t="shared" si="11"/>
        <v>206.60000000000002</v>
      </c>
      <c r="J106" s="2988">
        <f t="shared" si="12"/>
        <v>96.14</v>
      </c>
    </row>
    <row r="107" spans="1:10" ht="14.25">
      <c r="A107" s="2978">
        <v>105</v>
      </c>
      <c r="B107" s="3092"/>
      <c r="C107" s="2984" t="s">
        <v>3248</v>
      </c>
      <c r="D107" s="2984">
        <v>301.08</v>
      </c>
      <c r="E107" s="3095"/>
      <c r="F107" s="2987">
        <f>4.04+4.04+79.78*2</f>
        <v>167.64000000000001</v>
      </c>
      <c r="G107" s="2987">
        <f>38.88+38.11</f>
        <v>76.990000000000009</v>
      </c>
      <c r="H107" s="2988">
        <f t="shared" si="10"/>
        <v>244.63000000000002</v>
      </c>
      <c r="I107" s="2988">
        <f t="shared" si="11"/>
        <v>206.32</v>
      </c>
      <c r="J107" s="2988">
        <f t="shared" si="12"/>
        <v>94.76</v>
      </c>
    </row>
    <row r="108" spans="1:10" ht="14.25">
      <c r="A108" s="2978">
        <v>106</v>
      </c>
      <c r="B108" s="3092"/>
      <c r="C108" s="2976" t="s">
        <v>3226</v>
      </c>
      <c r="D108" s="2976">
        <v>169.35</v>
      </c>
      <c r="E108" s="3095"/>
      <c r="F108" s="2987"/>
      <c r="G108" s="2987"/>
      <c r="H108" s="2988"/>
      <c r="I108" s="2988">
        <f t="shared" ref="I108:I109" si="17">D108</f>
        <v>169.35</v>
      </c>
      <c r="J108" s="2988"/>
    </row>
    <row r="109" spans="1:10" ht="14.25">
      <c r="A109" s="2978">
        <v>107</v>
      </c>
      <c r="B109" s="3092"/>
      <c r="C109" s="2976" t="s">
        <v>3249</v>
      </c>
      <c r="D109" s="2976">
        <v>169.31</v>
      </c>
      <c r="E109" s="3095"/>
      <c r="F109" s="2987"/>
      <c r="G109" s="2987"/>
      <c r="H109" s="2988"/>
      <c r="I109" s="2988">
        <f t="shared" si="17"/>
        <v>169.31</v>
      </c>
      <c r="J109" s="2988"/>
    </row>
    <row r="110" spans="1:10" ht="14.25">
      <c r="A110" s="2978">
        <v>108</v>
      </c>
      <c r="B110" s="3092"/>
      <c r="C110" s="2984" t="s">
        <v>3251</v>
      </c>
      <c r="D110" s="2984">
        <v>329.85</v>
      </c>
      <c r="E110" s="3095"/>
      <c r="F110" s="2987">
        <f>75.73*2</f>
        <v>151.46</v>
      </c>
      <c r="G110" s="2987">
        <f>69.16+62.91</f>
        <v>132.07</v>
      </c>
      <c r="H110" s="2988">
        <f t="shared" si="10"/>
        <v>283.52999999999997</v>
      </c>
      <c r="I110" s="2988">
        <f t="shared" si="11"/>
        <v>176.20000000000002</v>
      </c>
      <c r="J110" s="2988">
        <f t="shared" si="12"/>
        <v>153.65</v>
      </c>
    </row>
    <row r="111" spans="1:10" ht="14.25">
      <c r="A111" s="2978">
        <v>109</v>
      </c>
      <c r="B111" s="3092"/>
      <c r="C111" s="2984" t="s">
        <v>3252</v>
      </c>
      <c r="D111" s="2984">
        <v>331.49</v>
      </c>
      <c r="E111" s="3095"/>
      <c r="F111" s="2987">
        <f>76.1+76.11</f>
        <v>152.20999999999998</v>
      </c>
      <c r="G111" s="2987">
        <f>69.49+63.24</f>
        <v>132.72999999999999</v>
      </c>
      <c r="H111" s="2988">
        <f t="shared" si="10"/>
        <v>284.93999999999994</v>
      </c>
      <c r="I111" s="2988">
        <f t="shared" si="11"/>
        <v>177.08</v>
      </c>
      <c r="J111" s="2988">
        <f t="shared" si="12"/>
        <v>154.41</v>
      </c>
    </row>
    <row r="112" spans="1:10" ht="14.25">
      <c r="A112" s="2978">
        <v>110</v>
      </c>
      <c r="B112" s="3092"/>
      <c r="C112" s="2984" t="s">
        <v>3253</v>
      </c>
      <c r="D112" s="2984">
        <v>300.33</v>
      </c>
      <c r="E112" s="3095"/>
      <c r="F112" s="2987">
        <f>4.04+4.04+79.78*2</f>
        <v>167.64000000000001</v>
      </c>
      <c r="G112" s="2987">
        <f>38.58+37.8</f>
        <v>76.38</v>
      </c>
      <c r="H112" s="2988">
        <f t="shared" si="10"/>
        <v>244.02</v>
      </c>
      <c r="I112" s="2988">
        <f t="shared" si="11"/>
        <v>206.32</v>
      </c>
      <c r="J112" s="2988">
        <f t="shared" si="12"/>
        <v>94.01</v>
      </c>
    </row>
    <row r="113" spans="1:10" ht="14.25">
      <c r="A113" s="2978">
        <v>111</v>
      </c>
      <c r="B113" s="3092"/>
      <c r="C113" s="2984" t="s">
        <v>3254</v>
      </c>
      <c r="D113" s="2984">
        <v>284.07</v>
      </c>
      <c r="E113" s="3095"/>
      <c r="F113" s="2987">
        <f>4.04+4.1+80.21*2</f>
        <v>168.56</v>
      </c>
      <c r="G113" s="2987">
        <f>31.45+30.84</f>
        <v>62.29</v>
      </c>
      <c r="H113" s="2988">
        <f t="shared" si="10"/>
        <v>230.85</v>
      </c>
      <c r="I113" s="2988">
        <f t="shared" si="11"/>
        <v>207.42</v>
      </c>
      <c r="J113" s="2988">
        <f t="shared" si="12"/>
        <v>76.650000000000006</v>
      </c>
    </row>
    <row r="114" spans="1:10" ht="14.25">
      <c r="A114" s="2978">
        <v>112</v>
      </c>
      <c r="B114" s="3093"/>
      <c r="C114" s="2976" t="s">
        <v>3255</v>
      </c>
      <c r="D114" s="2976">
        <v>170.23</v>
      </c>
      <c r="E114" s="3096"/>
      <c r="F114" s="2987"/>
      <c r="G114" s="2987"/>
      <c r="H114" s="2988"/>
      <c r="I114" s="2988">
        <f t="shared" ref="I114" si="18">D114</f>
        <v>170.23</v>
      </c>
      <c r="J114" s="2988"/>
    </row>
    <row r="115" spans="1:10" ht="28.5">
      <c r="A115" s="2978">
        <v>113</v>
      </c>
      <c r="B115" s="2976" t="s">
        <v>3581</v>
      </c>
      <c r="C115" s="2976" t="s">
        <v>3586</v>
      </c>
      <c r="D115" s="2976">
        <v>25447.29</v>
      </c>
      <c r="E115" s="2977" t="s">
        <v>3588</v>
      </c>
      <c r="F115" s="2989"/>
      <c r="G115" s="2989"/>
      <c r="H115" s="2988"/>
      <c r="I115" s="2988"/>
      <c r="J115" s="2988"/>
    </row>
    <row r="116" spans="1:10" ht="14.25">
      <c r="A116" s="3088" t="s">
        <v>3582</v>
      </c>
      <c r="B116" s="3089"/>
      <c r="C116" s="3090"/>
      <c r="D116" s="2976">
        <f>SUM(D3:D115)</f>
        <v>63702.13</v>
      </c>
      <c r="E116" s="2977" t="s">
        <v>3574</v>
      </c>
      <c r="F116" s="2989"/>
      <c r="G116" s="2989"/>
      <c r="H116" s="2989"/>
      <c r="I116" s="2976">
        <f>SUM(I3:I115)</f>
        <v>19126.139999999996</v>
      </c>
      <c r="J116" s="2976">
        <f>SUM(J3:J115)</f>
        <v>8182.909999999998</v>
      </c>
    </row>
  </sheetData>
  <autoFilter ref="A2:O116"/>
  <mergeCells count="21">
    <mergeCell ref="A1:E1"/>
    <mergeCell ref="B3:B4"/>
    <mergeCell ref="B5:B12"/>
    <mergeCell ref="B13:B15"/>
    <mergeCell ref="E3:E4"/>
    <mergeCell ref="A116:C116"/>
    <mergeCell ref="B89:B114"/>
    <mergeCell ref="E46:E114"/>
    <mergeCell ref="B46:B58"/>
    <mergeCell ref="B35:B38"/>
    <mergeCell ref="B40:B44"/>
    <mergeCell ref="B59:B76"/>
    <mergeCell ref="B77:B88"/>
    <mergeCell ref="E40:E44"/>
    <mergeCell ref="E5:E39"/>
    <mergeCell ref="B16:B18"/>
    <mergeCell ref="B19:B20"/>
    <mergeCell ref="B21:B25"/>
    <mergeCell ref="B26:B27"/>
    <mergeCell ref="B28:B31"/>
    <mergeCell ref="B32:B34"/>
  </mergeCells>
  <phoneticPr fontId="143" type="noConversion"/>
  <pageMargins left="0.7" right="0.7" top="0.75" bottom="0.75" header="0.3" footer="0.3"/>
  <ignoredErrors>
    <ignoredError sqref="G22 G6" formula="1"/>
  </ignoredErrors>
  <drawing r:id="rId1"/>
</worksheet>
</file>

<file path=xl/worksheets/sheet18.xml><?xml version="1.0" encoding="utf-8"?>
<worksheet xmlns="http://schemas.openxmlformats.org/spreadsheetml/2006/main" xmlns:r="http://schemas.openxmlformats.org/officeDocument/2006/relationships">
  <sheetPr>
    <tabColor rgb="FFFF0000"/>
  </sheetPr>
  <dimension ref="A1:J23"/>
  <sheetViews>
    <sheetView workbookViewId="0">
      <selection activeCell="K19" sqref="K19"/>
    </sheetView>
  </sheetViews>
  <sheetFormatPr defaultColWidth="9" defaultRowHeight="13.5"/>
  <cols>
    <col min="1" max="1" width="23.375" style="1732" customWidth="1"/>
    <col min="2" max="9" width="15.75" style="1732" customWidth="1"/>
    <col min="10" max="16384" width="9" style="1732"/>
  </cols>
  <sheetData>
    <row r="1" spans="1:10" ht="16.5">
      <c r="A1" s="1737" t="s">
        <v>1365</v>
      </c>
      <c r="B1" s="1737">
        <f>SUM(B14:B23)</f>
        <v>63702.12999999999</v>
      </c>
      <c r="C1" s="1736"/>
      <c r="D1" s="1736"/>
      <c r="E1" s="1736"/>
      <c r="F1" s="1736"/>
      <c r="G1" s="1734"/>
    </row>
    <row r="2" spans="1:10" ht="16.5">
      <c r="A2" s="1737" t="s">
        <v>1353</v>
      </c>
      <c r="B2" s="1737">
        <f>SUM(C14:C23)</f>
        <v>14226.66</v>
      </c>
      <c r="C2" s="1736"/>
      <c r="D2" s="1736"/>
      <c r="E2" s="1736"/>
      <c r="F2" s="1736"/>
      <c r="G2" s="1734"/>
    </row>
    <row r="3" spans="1:10" ht="16.5">
      <c r="A3" s="1737" t="s">
        <v>1362</v>
      </c>
      <c r="B3" s="1738">
        <f>项目基本情况!D3</f>
        <v>43633</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150264</v>
      </c>
      <c r="C5" s="1737">
        <f ca="1">ROUND(B5*10000/$B$1,0)</f>
        <v>23589</v>
      </c>
      <c r="D5" s="1737">
        <f ca="1">ROUND(B5*10000/$B$2,0)</f>
        <v>105621</v>
      </c>
      <c r="E5" s="1736"/>
      <c r="F5" s="1734"/>
      <c r="G5" s="1734"/>
    </row>
    <row r="6" spans="1:10" ht="16.5">
      <c r="A6" s="1737" t="s">
        <v>1356</v>
      </c>
      <c r="B6" s="1737">
        <f>SUM(G14:G23)</f>
        <v>0</v>
      </c>
      <c r="C6" s="1737">
        <f>ROUND(B6*10000/$B$1,0)</f>
        <v>0</v>
      </c>
      <c r="D6" s="1737">
        <f>ROUND(B6*10000/$B$2,0)</f>
        <v>0</v>
      </c>
      <c r="E6" s="1736"/>
      <c r="F6" s="1734"/>
      <c r="G6" s="1734"/>
    </row>
    <row r="7" spans="1:10" ht="16.5">
      <c r="A7" s="1737" t="s">
        <v>1364</v>
      </c>
      <c r="B7" s="1737">
        <f ca="1">SUM(H14:H23)</f>
        <v>150264</v>
      </c>
      <c r="C7" s="1737">
        <f ca="1">ROUND(B7*10000/$B$1,0)</f>
        <v>23589</v>
      </c>
      <c r="D7" s="1737">
        <f ca="1">ROUND(B7*10000/$B$2,0)</f>
        <v>105621</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63702.12999999999</v>
      </c>
      <c r="C14" s="1735">
        <f>结果表!C118</f>
        <v>14226.66</v>
      </c>
      <c r="D14" s="1735">
        <f ca="1">结果表!H118</f>
        <v>150264</v>
      </c>
      <c r="E14" s="1735">
        <f ca="1">ROUND(D14*10000/B14,0)</f>
        <v>23589</v>
      </c>
      <c r="F14" s="1735">
        <f ca="1">ROUND(D14*10000/C14,0)</f>
        <v>105621</v>
      </c>
      <c r="G14" s="1735" t="str">
        <f>结果表!D122</f>
        <v>——</v>
      </c>
      <c r="H14" s="1735">
        <f ca="1">结果表!D124</f>
        <v>150264</v>
      </c>
      <c r="I14" s="1735" t="str">
        <f>结果表!D126</f>
        <v>——</v>
      </c>
      <c r="J14" s="1734"/>
    </row>
    <row r="15" spans="1:10" ht="16.5">
      <c r="A15" s="1733" t="s">
        <v>1349</v>
      </c>
      <c r="B15" s="1740"/>
      <c r="C15" s="1740"/>
      <c r="D15" s="1740"/>
      <c r="E15" s="1735" t="e">
        <f t="shared" ref="E15:E23" si="0">ROUND(D15*10000/B15,0)</f>
        <v>#DIV/0!</v>
      </c>
      <c r="F15" s="1735" t="e">
        <f t="shared" ref="F15:F23" si="1">ROUND(D15*10000/C15,0)</f>
        <v>#DIV/0!</v>
      </c>
      <c r="G15" s="1741"/>
      <c r="H15" s="1741"/>
      <c r="I15" s="1740"/>
      <c r="J15" s="1734"/>
    </row>
    <row r="16" spans="1:10" ht="16.5">
      <c r="A16" s="1733" t="s">
        <v>1348</v>
      </c>
      <c r="B16" s="1740"/>
      <c r="C16" s="1740"/>
      <c r="D16" s="1740"/>
      <c r="E16" s="1735" t="e">
        <f t="shared" si="0"/>
        <v>#DIV/0!</v>
      </c>
      <c r="F16" s="1735" t="e">
        <f t="shared" si="1"/>
        <v>#DIV/0!</v>
      </c>
      <c r="G16" s="1741"/>
      <c r="H16" s="1741"/>
      <c r="I16" s="1740"/>
    </row>
    <row r="17" spans="1:9" ht="16.5">
      <c r="A17" s="1733" t="s">
        <v>1347</v>
      </c>
      <c r="B17" s="1740"/>
      <c r="C17" s="1740"/>
      <c r="D17" s="1740"/>
      <c r="E17" s="1735" t="e">
        <f t="shared" si="0"/>
        <v>#DIV/0!</v>
      </c>
      <c r="F17" s="1735" t="e">
        <f t="shared" si="1"/>
        <v>#DIV/0!</v>
      </c>
      <c r="G17" s="1741"/>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85" zoomScaleNormal="100" zoomScaleSheetLayoutView="85" zoomScalePageLayoutView="80" workbookViewId="0">
      <selection activeCell="I27" sqref="I27"/>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6" t="s">
        <v>2117</v>
      </c>
      <c r="B1" s="2409"/>
      <c r="C1" s="2410"/>
      <c r="D1" s="2409"/>
      <c r="E1" s="2409"/>
      <c r="F1" s="2411" t="s">
        <v>2118</v>
      </c>
      <c r="G1" s="2062" t="s">
        <v>2119</v>
      </c>
      <c r="H1" s="2412" t="str">
        <f>IF(G1="现房","——","估价对象范围")</f>
        <v>估价对象范围</v>
      </c>
      <c r="I1" s="2413"/>
    </row>
    <row r="2" spans="1:12" ht="21.75" customHeight="1" thickBot="1">
      <c r="A2" s="3134" t="str">
        <f>项目基本情况!S2</f>
        <v>北京市昌平区南邵镇（中关村科技园昌平园东区二期）0303-54地块出让国有建设用地使用权及在建建筑物房地产</v>
      </c>
      <c r="B2" s="3135"/>
      <c r="C2" s="3135"/>
      <c r="D2" s="3135"/>
      <c r="E2" s="3135"/>
      <c r="F2" s="3135"/>
      <c r="G2" s="3135"/>
      <c r="H2" s="3135"/>
      <c r="I2" s="3136"/>
    </row>
    <row r="3" spans="1:12" ht="12.75">
      <c r="A3" s="3138" t="s">
        <v>2120</v>
      </c>
      <c r="B3" s="3139"/>
      <c r="C3" s="3139"/>
      <c r="D3" s="3139"/>
      <c r="E3" s="3139"/>
      <c r="F3" s="3139"/>
      <c r="G3" s="3139"/>
      <c r="H3" s="3139"/>
      <c r="I3" s="3139"/>
    </row>
    <row r="4" spans="1:12" ht="14.25">
      <c r="A4" s="2416" t="s">
        <v>2121</v>
      </c>
      <c r="B4" s="2417" t="s">
        <v>2122</v>
      </c>
      <c r="C4" s="2418" t="s">
        <v>3184</v>
      </c>
      <c r="D4" s="2418" t="s">
        <v>3185</v>
      </c>
      <c r="E4" s="3131" t="s">
        <v>2123</v>
      </c>
      <c r="F4" s="3132"/>
      <c r="G4" s="3132"/>
      <c r="H4" s="3132"/>
      <c r="I4" s="314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2124</v>
      </c>
      <c r="B5" s="3039">
        <v>25</v>
      </c>
      <c r="C5" s="3117"/>
      <c r="D5" s="3137"/>
      <c r="E5" s="139" t="s">
        <v>2125</v>
      </c>
      <c r="F5" s="2420"/>
      <c r="G5" s="2420"/>
      <c r="H5" s="2420"/>
      <c r="I5" s="1825"/>
    </row>
    <row r="6" spans="1:12" ht="12.75">
      <c r="A6" s="3114"/>
      <c r="B6" s="3039"/>
      <c r="C6" s="3118"/>
      <c r="D6" s="3137"/>
      <c r="E6" s="139" t="s">
        <v>2126</v>
      </c>
      <c r="F6" s="2420"/>
      <c r="G6" s="2420"/>
      <c r="H6" s="2420"/>
      <c r="I6" s="1825"/>
    </row>
    <row r="7" spans="1:12" ht="12.75">
      <c r="A7" s="3114"/>
      <c r="B7" s="3039"/>
      <c r="C7" s="3119"/>
      <c r="D7" s="3137"/>
      <c r="E7" s="139" t="s">
        <v>2127</v>
      </c>
      <c r="F7" s="2420"/>
      <c r="G7" s="2420"/>
      <c r="H7" s="2420"/>
      <c r="I7" s="1825"/>
    </row>
    <row r="8" spans="1:12" ht="12.75">
      <c r="A8" s="3114" t="s">
        <v>2128</v>
      </c>
      <c r="B8" s="3039">
        <v>15</v>
      </c>
      <c r="C8" s="3117"/>
      <c r="D8" s="3137"/>
      <c r="E8" s="139" t="s">
        <v>2129</v>
      </c>
      <c r="F8" s="2420"/>
      <c r="G8" s="2420"/>
      <c r="H8" s="2420"/>
      <c r="I8" s="1825"/>
    </row>
    <row r="9" spans="1:12" ht="12.75">
      <c r="A9" s="3114"/>
      <c r="B9" s="3039"/>
      <c r="C9" s="3119"/>
      <c r="D9" s="3137"/>
      <c r="E9" s="139" t="s">
        <v>2130</v>
      </c>
      <c r="F9" s="2420"/>
      <c r="G9" s="2420"/>
      <c r="H9" s="2420"/>
      <c r="I9" s="1825"/>
    </row>
    <row r="10" spans="1:12" ht="12.75">
      <c r="A10" s="3114" t="s">
        <v>2131</v>
      </c>
      <c r="B10" s="3039">
        <v>15</v>
      </c>
      <c r="C10" s="3117"/>
      <c r="D10" s="3137"/>
      <c r="E10" s="139" t="s">
        <v>2132</v>
      </c>
      <c r="F10" s="2420"/>
      <c r="G10" s="2420"/>
      <c r="H10" s="2420"/>
      <c r="I10" s="1825"/>
    </row>
    <row r="11" spans="1:12" ht="12.75">
      <c r="A11" s="3114"/>
      <c r="B11" s="3039"/>
      <c r="C11" s="3119"/>
      <c r="D11" s="3137"/>
      <c r="E11" s="139" t="s">
        <v>2133</v>
      </c>
      <c r="F11" s="2420"/>
      <c r="G11" s="2420"/>
      <c r="H11" s="2420"/>
      <c r="I11" s="1825"/>
    </row>
    <row r="12" spans="1:12" ht="12.75">
      <c r="A12" s="3114" t="s">
        <v>2134</v>
      </c>
      <c r="B12" s="3039">
        <v>15</v>
      </c>
      <c r="C12" s="3117"/>
      <c r="D12" s="3137"/>
      <c r="E12" s="139" t="s">
        <v>2135</v>
      </c>
      <c r="F12" s="2420"/>
      <c r="G12" s="2420"/>
      <c r="H12" s="2420"/>
      <c r="I12" s="1825"/>
    </row>
    <row r="13" spans="1:12" ht="12.75">
      <c r="A13" s="3114"/>
      <c r="B13" s="3039"/>
      <c r="C13" s="3119"/>
      <c r="D13" s="3137"/>
      <c r="E13" s="139" t="s">
        <v>2136</v>
      </c>
      <c r="F13" s="2420"/>
      <c r="G13" s="2420"/>
      <c r="H13" s="2420"/>
      <c r="I13" s="1825"/>
    </row>
    <row r="14" spans="1:12" ht="12.75">
      <c r="A14" s="3114" t="s">
        <v>2137</v>
      </c>
      <c r="B14" s="3039">
        <v>30</v>
      </c>
      <c r="C14" s="3117">
        <v>3</v>
      </c>
      <c r="D14" s="3137">
        <v>7</v>
      </c>
      <c r="E14" s="139" t="s">
        <v>2138</v>
      </c>
      <c r="F14" s="2420"/>
      <c r="G14" s="2420"/>
      <c r="H14" s="2420"/>
      <c r="I14" s="1825"/>
    </row>
    <row r="15" spans="1:12" ht="12.75">
      <c r="A15" s="3114"/>
      <c r="B15" s="3039"/>
      <c r="C15" s="3118"/>
      <c r="D15" s="3137"/>
      <c r="E15" s="139" t="s">
        <v>2139</v>
      </c>
      <c r="F15" s="2420"/>
      <c r="G15" s="2420"/>
      <c r="H15" s="2420"/>
      <c r="I15" s="1825"/>
    </row>
    <row r="16" spans="1:12" ht="12.75">
      <c r="A16" s="3114"/>
      <c r="B16" s="3039"/>
      <c r="C16" s="3119"/>
      <c r="D16" s="3137"/>
      <c r="E16" s="139" t="s">
        <v>2140</v>
      </c>
      <c r="F16" s="2420"/>
      <c r="G16" s="2420"/>
      <c r="H16" s="2420"/>
      <c r="I16" s="1825"/>
    </row>
    <row r="17" spans="1:35" ht="15">
      <c r="A17" s="2421" t="s">
        <v>2141</v>
      </c>
      <c r="B17" s="64"/>
      <c r="C17" s="140">
        <f>SUM(C5:C16)</f>
        <v>3</v>
      </c>
      <c r="D17" s="140">
        <f>SUM(D5:D16)</f>
        <v>7</v>
      </c>
      <c r="E17" s="137"/>
      <c r="F17" s="137"/>
      <c r="G17" s="137"/>
      <c r="H17" s="137"/>
      <c r="I17" s="137"/>
      <c r="K17" s="2419"/>
      <c r="L17" s="2422" t="s">
        <v>2142</v>
      </c>
      <c r="M17" s="2422" t="s">
        <v>2143</v>
      </c>
    </row>
    <row r="18" spans="1:35" ht="15.75" thickBot="1">
      <c r="A18" s="2423" t="s">
        <v>2144</v>
      </c>
      <c r="B18" s="2424"/>
      <c r="C18" s="141">
        <f>ROUND(C17/SUM(C17:D17),2)</f>
        <v>0.3</v>
      </c>
      <c r="D18" s="141">
        <f>1-C18</f>
        <v>0.7</v>
      </c>
      <c r="E18" s="137"/>
      <c r="F18" s="137"/>
      <c r="G18" s="137"/>
      <c r="H18" s="137"/>
      <c r="I18" s="137"/>
      <c r="K18" s="2419" t="s">
        <v>2145</v>
      </c>
      <c r="L18" s="2419">
        <f>IF(C1="",'数据-汇总表'!E3,SUMIF(项目类型,C1,'数据-汇总表'!E17:E26)+SUMIF(项目类型,C1,'数据-汇总表'!I17:I26))</f>
        <v>63702.12999999999</v>
      </c>
      <c r="M18" s="2419">
        <f>IF(C1="",'数据-汇总表'!E3,SUMIF(项目类型,C1,'数据-汇总表'!E17:E26))</f>
        <v>63702.12999999999</v>
      </c>
    </row>
    <row r="19" spans="1:35" ht="15">
      <c r="A19" s="2425" t="s">
        <v>2146</v>
      </c>
      <c r="B19" s="2426" t="s">
        <v>2147</v>
      </c>
      <c r="C19" s="142">
        <f ca="1">SUMIF(INDIRECT("'"&amp;C4&amp;"'"&amp;"!A:A"),结果表!B19,INDIRECT("'"&amp;C4&amp;"'"&amp;"!B:B"))</f>
        <v>122055</v>
      </c>
      <c r="D19" s="143">
        <f ca="1">SUMIF(INDIRECT("'"&amp;D4&amp;"'"&amp;"!A:A"),结果表!B19,INDIRECT("'"&amp;D4&amp;"'"&amp;"!B:B"))</f>
        <v>162353</v>
      </c>
      <c r="E19" s="2425" t="s">
        <v>2148</v>
      </c>
      <c r="F19" s="2426" t="s">
        <v>2147</v>
      </c>
      <c r="G19" s="144">
        <f ca="1">ROUND(C19*$C$18+D19*$D$18,0)</f>
        <v>150264</v>
      </c>
      <c r="H19" s="2427" t="s">
        <v>2149</v>
      </c>
      <c r="I19" s="137"/>
      <c r="K19" s="2419" t="s">
        <v>2150</v>
      </c>
      <c r="L19" s="2419">
        <f>IF(C1="",'数据-汇总表'!D3,SUMIF(项目类型,C1,'数据-汇总表'!D17:D26)+SUMIF(项目类型,C1,'数据-汇总表'!H17:H27))</f>
        <v>14226.66</v>
      </c>
      <c r="M19" s="2419">
        <f>IF(C1="",'数据-汇总表'!D3,SUMIF(项目类型,C1,'数据-汇总表'!D17:D26))</f>
        <v>14226.66</v>
      </c>
    </row>
    <row r="20" spans="1:35" ht="15">
      <c r="A20" s="2428"/>
      <c r="B20" s="1243" t="s">
        <v>2151</v>
      </c>
      <c r="C20" s="145">
        <f ca="1">SUMIF(INDIRECT("'"&amp;C4&amp;"'"&amp;"!A:A"),结果表!B20,INDIRECT("'"&amp;C4&amp;"'"&amp;"!B:B"))</f>
        <v>19160</v>
      </c>
      <c r="D20" s="146">
        <f ca="1">SUMIF(INDIRECT("'"&amp;D4&amp;"'"&amp;"!A:A"),结果表!B20,INDIRECT("'"&amp;D4&amp;"'"&amp;"!B:B"))</f>
        <v>25486</v>
      </c>
      <c r="E20" s="2428"/>
      <c r="F20" s="1243" t="s">
        <v>2151</v>
      </c>
      <c r="G20" s="147">
        <f ca="1">ROUND(C20*$C$18+D20*$D$18,0)</f>
        <v>23588</v>
      </c>
      <c r="H20" s="976" t="s">
        <v>2152</v>
      </c>
      <c r="I20" s="137"/>
    </row>
    <row r="21" spans="1:35" ht="15" customHeight="1" thickBot="1">
      <c r="A21" s="996"/>
      <c r="B21" s="2429" t="s">
        <v>2153</v>
      </c>
      <c r="C21" s="788">
        <f ca="1">ROUND(C19*10000/L19,0)</f>
        <v>85793</v>
      </c>
      <c r="D21" s="789">
        <f ca="1">ROUND(D19*10000/L19,0)</f>
        <v>114119</v>
      </c>
      <c r="E21" s="996"/>
      <c r="F21" s="2429" t="s">
        <v>2153</v>
      </c>
      <c r="G21" s="148">
        <f ca="1">ROUND(G19*10000/L19,0)</f>
        <v>105621</v>
      </c>
      <c r="H21" s="2430" t="s">
        <v>2152</v>
      </c>
      <c r="I21" s="137"/>
    </row>
    <row r="22" spans="1:35" ht="15" thickBot="1">
      <c r="A22" s="2271" t="s">
        <v>2154</v>
      </c>
      <c r="B22" s="2431"/>
      <c r="C22" s="2432"/>
      <c r="D22" s="790">
        <f ca="1">IF(C19&lt;D19,D19/C19-1,C19/D19-1)</f>
        <v>0.33016263160050796</v>
      </c>
      <c r="E22" s="137"/>
      <c r="F22" s="137"/>
      <c r="G22" s="137"/>
      <c r="H22" s="137"/>
      <c r="I22" s="137"/>
      <c r="J22" s="794">
        <f ca="1">D19*10000/'数据-汇总表'!E3</f>
        <v>25486.274948734059</v>
      </c>
    </row>
    <row r="23" spans="1:35" ht="13.5" thickBot="1">
      <c r="A23" s="2409"/>
      <c r="B23" s="2409"/>
      <c r="C23" s="2409"/>
      <c r="D23" s="2409"/>
      <c r="E23" s="137"/>
      <c r="F23" s="137"/>
      <c r="G23" s="137"/>
      <c r="H23" s="137"/>
      <c r="I23" s="137"/>
    </row>
    <row r="24" spans="1:35" ht="14.25">
      <c r="A24" s="3108" t="s">
        <v>2155</v>
      </c>
      <c r="B24" s="2426" t="s">
        <v>2147</v>
      </c>
      <c r="C24" s="144">
        <f>IF(B30=0,0,D30)</f>
        <v>0</v>
      </c>
      <c r="D24" s="2433"/>
      <c r="E24" s="137"/>
      <c r="F24" s="137"/>
      <c r="G24" s="137"/>
      <c r="H24" s="137"/>
      <c r="I24" s="137"/>
    </row>
    <row r="25" spans="1:35" ht="14.25">
      <c r="A25" s="3109"/>
      <c r="B25" s="1243" t="s">
        <v>2151</v>
      </c>
      <c r="C25" s="149">
        <f>IF(B30=0,0,C30)</f>
        <v>0</v>
      </c>
      <c r="D25" s="2434"/>
      <c r="E25" s="137"/>
      <c r="F25" s="137"/>
      <c r="G25" s="137"/>
      <c r="H25" s="137"/>
      <c r="I25" s="137"/>
    </row>
    <row r="26" spans="1:35" ht="13.5" customHeight="1">
      <c r="A26" s="2435" t="s">
        <v>2156</v>
      </c>
      <c r="B26" s="150" t="s">
        <v>2157</v>
      </c>
      <c r="C26" s="150" t="s">
        <v>2158</v>
      </c>
      <c r="D26" s="151" t="s">
        <v>2159</v>
      </c>
      <c r="E26" s="137"/>
      <c r="F26" s="137"/>
      <c r="G26" s="137"/>
      <c r="H26" s="137"/>
      <c r="I26" s="137"/>
    </row>
    <row r="27" spans="1:35" ht="14.25">
      <c r="A27" s="2435"/>
      <c r="B27" s="150">
        <v>0</v>
      </c>
      <c r="C27" s="150">
        <v>0</v>
      </c>
      <c r="D27" s="151">
        <f ca="1">G19/'数据-汇总表'!F31*10000</f>
        <v>75169.133551974694</v>
      </c>
      <c r="E27" s="137"/>
      <c r="F27" s="137"/>
      <c r="G27" s="137"/>
      <c r="H27" s="137"/>
      <c r="I27" s="137"/>
      <c r="J27" s="794">
        <f ca="1">N59+[1]结果表!$N$59</f>
        <v>397757</v>
      </c>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2160</v>
      </c>
      <c r="B30" s="150"/>
      <c r="C30" s="150"/>
      <c r="D30" s="150"/>
      <c r="E30" s="2917" t="s">
        <v>3036</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2161</v>
      </c>
      <c r="B32" s="2439"/>
      <c r="C32" s="152">
        <f ca="1">IF(D32="总价",G19-C24,G20-C25)</f>
        <v>150264</v>
      </c>
      <c r="D32" s="2440" t="s">
        <v>2162</v>
      </c>
      <c r="E32" s="137"/>
      <c r="F32" s="137"/>
      <c r="G32" s="137"/>
      <c r="H32" s="137"/>
      <c r="I32" s="137"/>
    </row>
    <row r="33" spans="1:15" ht="15">
      <c r="A33" s="953" t="s">
        <v>2163</v>
      </c>
      <c r="B33" s="2441"/>
      <c r="C33" s="2442" t="s">
        <v>3186</v>
      </c>
      <c r="D33" s="2443" t="s">
        <v>3184</v>
      </c>
      <c r="E33" s="2444" t="s">
        <v>2164</v>
      </c>
      <c r="F33" s="2445" t="str">
        <f>IF(D32="楼面单价","取值（单价）","取值（总价）")</f>
        <v>取值（总价）</v>
      </c>
      <c r="G33" s="137"/>
      <c r="H33" s="137"/>
      <c r="I33" s="137"/>
    </row>
    <row r="34" spans="1:15" ht="15">
      <c r="A34" s="2446"/>
      <c r="B34" s="2447" t="s">
        <v>2165</v>
      </c>
      <c r="C34" s="156">
        <f ca="1">IF(C33="自定义",F34,C32-C35)</f>
        <v>120211</v>
      </c>
      <c r="D34" s="1051">
        <f ca="1">IF(C33="自定义",ROUND(C34/C32,3),IF(C33="收益比率",SUMIF(INDIRECT("'"&amp;D33&amp;"'"&amp;"!b:b"),"土地收益比率",INDIRECT("'"&amp;D33&amp;"'"&amp;"!c:c")),SUMIF(INDIRECT("'"&amp;D33&amp;"'"&amp;"!b:b"),"土地成本比率",INDIRECT("'"&amp;D33&amp;"'"&amp;"!c:c"))))</f>
        <v>0.8</v>
      </c>
      <c r="E34" s="2448" t="s">
        <v>2166</v>
      </c>
      <c r="F34" s="1730"/>
      <c r="G34" s="137"/>
      <c r="H34" s="137"/>
      <c r="I34" s="137"/>
    </row>
    <row r="35" spans="1:15" ht="15.75" thickBot="1">
      <c r="A35" s="2449"/>
      <c r="B35" s="2450" t="s">
        <v>2167</v>
      </c>
      <c r="C35" s="1436">
        <f ca="1">IF(C33="自定义",F35,ROUND(C32*D35,0))</f>
        <v>30053</v>
      </c>
      <c r="D35" s="1437">
        <f ca="1">IF(C33="自定义",ROUND(C35/C32,3),IF(C33="收益比率",SUMIF(INDIRECT("'"&amp;D33&amp;"'"&amp;"!b:b"),"建筑物收益比率",INDIRECT("'"&amp;D33&amp;"'"&amp;"!c:c")),SUMIF(INDIRECT("'"&amp;D33&amp;"'"&amp;"!b:b"),"建筑物成本比率",INDIRECT("'"&amp;D33&amp;"'"&amp;"!c:c"))))</f>
        <v>0.2</v>
      </c>
      <c r="E35" s="2451" t="s">
        <v>2168</v>
      </c>
      <c r="F35" s="162"/>
      <c r="G35" s="137"/>
      <c r="H35" s="137"/>
      <c r="I35" s="137"/>
    </row>
    <row r="36" spans="1:15" ht="15.75" thickBot="1">
      <c r="A36" s="3126" t="s">
        <v>2169</v>
      </c>
      <c r="B36" s="2452" t="s">
        <v>2170</v>
      </c>
      <c r="C36" s="153"/>
      <c r="D36" s="2453"/>
      <c r="E36" s="2454"/>
      <c r="F36" s="2455"/>
      <c r="G36" s="137"/>
      <c r="H36" s="137"/>
      <c r="I36" s="137"/>
    </row>
    <row r="37" spans="1:15" ht="15.75" thickBot="1">
      <c r="A37" s="3127"/>
      <c r="B37" s="2257" t="s">
        <v>2171</v>
      </c>
      <c r="C37" s="155"/>
      <c r="D37" s="1387"/>
      <c r="E37" s="1387"/>
      <c r="F37" s="2455"/>
      <c r="G37" s="137"/>
      <c r="H37" s="137"/>
      <c r="I37" s="137"/>
    </row>
    <row r="38" spans="1:15" ht="15.75" thickBot="1">
      <c r="A38" s="3128"/>
      <c r="B38" s="2456" t="s">
        <v>2172</v>
      </c>
      <c r="C38" s="726"/>
      <c r="D38" s="2457" t="s">
        <v>2173</v>
      </c>
      <c r="E38" s="1387"/>
      <c r="F38" s="2455"/>
      <c r="G38" s="137"/>
      <c r="H38" s="137"/>
      <c r="I38" s="137"/>
    </row>
    <row r="39" spans="1:15" ht="15">
      <c r="A39" s="2428" t="s">
        <v>2174</v>
      </c>
      <c r="B39" s="2458" t="s">
        <v>2175</v>
      </c>
      <c r="C39" s="2459" t="s">
        <v>2176</v>
      </c>
      <c r="D39" s="2459" t="s">
        <v>2177</v>
      </c>
      <c r="E39" s="2460" t="s">
        <v>2178</v>
      </c>
      <c r="F39" s="2455"/>
      <c r="G39" s="137"/>
      <c r="H39" s="137"/>
      <c r="I39" s="137"/>
    </row>
    <row r="40" spans="1:15" ht="14.25">
      <c r="A40" s="2461" t="s">
        <v>2179</v>
      </c>
      <c r="B40" s="157"/>
      <c r="C40" s="158"/>
      <c r="D40" s="158"/>
      <c r="E40" s="159"/>
      <c r="F40" s="2455"/>
      <c r="G40" s="137"/>
      <c r="H40" s="137"/>
      <c r="I40" s="137"/>
    </row>
    <row r="41" spans="1:15" ht="14.25">
      <c r="A41" s="2461" t="s">
        <v>2180</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2181</v>
      </c>
      <c r="B44" s="2466"/>
      <c r="C44" s="2466"/>
      <c r="D44" s="2467"/>
      <c r="E44" s="2467"/>
      <c r="F44" s="2468"/>
      <c r="G44" s="2468"/>
      <c r="H44" s="2468"/>
      <c r="I44" s="2468"/>
      <c r="J44" s="2469" t="s">
        <v>2182</v>
      </c>
      <c r="K44" s="2470"/>
      <c r="L44" s="2470"/>
      <c r="M44" s="2470"/>
      <c r="N44" s="2470"/>
      <c r="O44" s="2470"/>
    </row>
    <row r="45" spans="1:15" ht="14.25" customHeight="1" thickBot="1">
      <c r="A45" s="3105" t="s">
        <v>2183</v>
      </c>
      <c r="B45" s="3106"/>
      <c r="C45" s="3107"/>
      <c r="D45" s="163">
        <f ca="1">ROUND(H101*F45,0)</f>
        <v>150264</v>
      </c>
      <c r="E45" s="164" t="s">
        <v>2184</v>
      </c>
      <c r="F45" s="165">
        <v>1</v>
      </c>
      <c r="G45" s="166" t="s">
        <v>2185</v>
      </c>
      <c r="H45" s="137"/>
      <c r="I45" s="137"/>
      <c r="J45" s="3165" t="s">
        <v>2186</v>
      </c>
      <c r="K45" s="3165"/>
      <c r="L45" s="3165"/>
      <c r="M45" s="3165"/>
      <c r="N45" s="3165"/>
      <c r="O45" s="3165"/>
    </row>
    <row r="46" spans="1:15" ht="14.25" customHeight="1">
      <c r="A46" s="3102" t="s">
        <v>2187</v>
      </c>
      <c r="B46" s="3103"/>
      <c r="C46" s="3103"/>
      <c r="D46" s="3103"/>
      <c r="E46" s="3103"/>
      <c r="F46" s="3103"/>
      <c r="G46" s="3104"/>
      <c r="H46" s="2471"/>
      <c r="I46" s="167"/>
      <c r="J46" s="1803">
        <v>1</v>
      </c>
      <c r="K46" s="3165" t="s">
        <v>2188</v>
      </c>
      <c r="L46" s="3165"/>
      <c r="M46" s="3185"/>
      <c r="N46" s="3185"/>
      <c r="O46" s="3185"/>
    </row>
    <row r="47" spans="1:15" ht="12" customHeight="1">
      <c r="A47" s="168" t="s">
        <v>2189</v>
      </c>
      <c r="B47" s="169"/>
      <c r="C47" s="170"/>
      <c r="D47" s="171" t="s">
        <v>2190</v>
      </c>
      <c r="E47" s="24" t="s">
        <v>2191</v>
      </c>
      <c r="F47" s="172" t="s">
        <v>2192</v>
      </c>
      <c r="G47" s="173" t="s">
        <v>2193</v>
      </c>
      <c r="H47" s="2471"/>
      <c r="I47" s="167"/>
      <c r="J47" s="1803">
        <v>2</v>
      </c>
      <c r="K47" s="3165" t="s">
        <v>2194</v>
      </c>
      <c r="L47" s="3165"/>
      <c r="M47" s="3186">
        <f>'数据-取费表'!B2</f>
        <v>43633</v>
      </c>
      <c r="N47" s="3186"/>
      <c r="O47" s="3186"/>
    </row>
    <row r="48" spans="1:15" ht="25.5">
      <c r="A48" s="3133" t="s">
        <v>2195</v>
      </c>
      <c r="B48" s="3116"/>
      <c r="C48" s="3116"/>
      <c r="D48" s="139">
        <f ca="1">IF(H48="情况1",0,IF(H48="情况2",D52,IF(H48="情况3",D53,IF(H48="情况4",D54))))</f>
        <v>7871</v>
      </c>
      <c r="E48" s="1792" t="str">
        <f>IF(H48="情况4","(销售额-原购置价)×税（费）率","销售额×税（费）率")</f>
        <v>销售额×税（费）率</v>
      </c>
      <c r="F48" s="174">
        <f>IF(H48="情况1","免征",'数据-取费表'!B41)</f>
        <v>5.5000000000000007E-2</v>
      </c>
      <c r="G48" s="2472" t="s">
        <v>2196</v>
      </c>
      <c r="H48" s="2473" t="s">
        <v>3198</v>
      </c>
      <c r="I48" s="2471"/>
      <c r="J48" s="1803">
        <v>3</v>
      </c>
      <c r="K48" s="3165" t="s">
        <v>2197</v>
      </c>
      <c r="L48" s="3165"/>
      <c r="M48" s="3187">
        <f ca="1">H101</f>
        <v>150264</v>
      </c>
      <c r="N48" s="3187"/>
      <c r="O48" s="3187"/>
    </row>
    <row r="49" spans="1:35" ht="25.5" customHeight="1">
      <c r="A49" s="175" t="s">
        <v>2198</v>
      </c>
      <c r="B49" s="3101" t="s">
        <v>2199</v>
      </c>
      <c r="C49" s="3101"/>
      <c r="D49" s="176">
        <v>0</v>
      </c>
      <c r="E49" s="23" t="s">
        <v>2200</v>
      </c>
      <c r="F49" s="28" t="s">
        <v>34</v>
      </c>
      <c r="G49" s="3171"/>
      <c r="H49" s="137"/>
      <c r="I49" s="2474"/>
      <c r="J49" s="1803">
        <v>4</v>
      </c>
      <c r="K49" s="3165" t="str">
        <f>IF(项目基本情况!E8="房地产抵押价值","房地产抵押价值","抵押担保权已注销时的房地产抵押价值")</f>
        <v>抵押担保权已注销时的房地产抵押价值</v>
      </c>
      <c r="L49" s="3165"/>
      <c r="M49" s="3187">
        <f ca="1">IF(项目基本情况!E8="房地产抵押价值",H107,H109)</f>
        <v>150264</v>
      </c>
      <c r="N49" s="3187"/>
      <c r="O49" s="3187"/>
    </row>
    <row r="50" spans="1:35" ht="25.5" customHeight="1">
      <c r="A50" s="177"/>
      <c r="B50" s="3101" t="s">
        <v>2201</v>
      </c>
      <c r="C50" s="3101"/>
      <c r="D50" s="178"/>
      <c r="E50" s="31"/>
      <c r="F50" s="179"/>
      <c r="G50" s="3172"/>
      <c r="H50" s="137"/>
      <c r="I50" s="2474"/>
      <c r="J50" s="3165" t="s">
        <v>2202</v>
      </c>
      <c r="K50" s="3165"/>
      <c r="L50" s="3165"/>
      <c r="M50" s="3165"/>
      <c r="N50" s="3165"/>
      <c r="O50" s="3165"/>
    </row>
    <row r="51" spans="1:35" ht="12" customHeight="1">
      <c r="A51" s="180"/>
      <c r="B51" s="3101" t="s">
        <v>2203</v>
      </c>
      <c r="C51" s="3101"/>
      <c r="D51" s="181"/>
      <c r="E51" s="30"/>
      <c r="F51" s="179"/>
      <c r="G51" s="3173"/>
      <c r="H51" s="137"/>
      <c r="I51" s="2474"/>
      <c r="J51" s="2475" t="s">
        <v>2204</v>
      </c>
      <c r="K51" s="3165" t="s">
        <v>2205</v>
      </c>
      <c r="L51" s="3165"/>
      <c r="M51" s="2475" t="s">
        <v>2206</v>
      </c>
      <c r="N51" s="2475" t="s">
        <v>2207</v>
      </c>
      <c r="O51" s="2475" t="s">
        <v>2208</v>
      </c>
    </row>
    <row r="52" spans="1:35" ht="24" customHeight="1">
      <c r="A52" s="182" t="s">
        <v>2209</v>
      </c>
      <c r="B52" s="3101" t="s">
        <v>2210</v>
      </c>
      <c r="C52" s="3101"/>
      <c r="D52" s="181">
        <f ca="1">ROUND(D45*'数据-取费表'!B41/(1+'数据-取费表'!C42),0)</f>
        <v>7871</v>
      </c>
      <c r="E52" s="11" t="s">
        <v>2211</v>
      </c>
      <c r="F52" s="183">
        <f>'数据-取费表'!B41</f>
        <v>5.5000000000000007E-2</v>
      </c>
      <c r="G52" s="2476"/>
      <c r="H52" s="137"/>
      <c r="I52" s="2474"/>
      <c r="J52" s="1803">
        <v>1</v>
      </c>
      <c r="K52" s="3166" t="s">
        <v>2212</v>
      </c>
      <c r="L52" s="3166"/>
      <c r="M52" s="1745">
        <f ca="1">D48</f>
        <v>7871</v>
      </c>
      <c r="N52" s="1803" t="str">
        <f>E48</f>
        <v>销售额×税（费）率</v>
      </c>
      <c r="O52" s="1746">
        <f>F48</f>
        <v>5.5000000000000007E-2</v>
      </c>
    </row>
    <row r="53" spans="1:35" ht="12" customHeight="1">
      <c r="A53" s="182" t="s">
        <v>2213</v>
      </c>
      <c r="B53" s="3124" t="s">
        <v>2214</v>
      </c>
      <c r="C53" s="3125"/>
      <c r="D53" s="181">
        <f ca="1">ROUND(D45*'数据-取费表'!B41/(1+'数据-取费表'!C42),0)</f>
        <v>7871</v>
      </c>
      <c r="E53" s="11" t="s">
        <v>2211</v>
      </c>
      <c r="F53" s="183">
        <f>'数据-取费表'!B41</f>
        <v>5.5000000000000007E-2</v>
      </c>
      <c r="G53" s="2476"/>
      <c r="H53" s="137"/>
      <c r="I53" s="2474"/>
      <c r="J53" s="1803">
        <v>2</v>
      </c>
      <c r="K53" s="3166" t="s">
        <v>2215</v>
      </c>
      <c r="L53" s="3166"/>
      <c r="M53" s="1745">
        <f t="shared" ref="M53:O54" ca="1" si="0">D55</f>
        <v>75</v>
      </c>
      <c r="N53" s="1803" t="str">
        <f t="shared" si="0"/>
        <v>销售额×税（费）率</v>
      </c>
      <c r="O53" s="1746">
        <f t="shared" si="0"/>
        <v>5.0000000000000001E-4</v>
      </c>
    </row>
    <row r="54" spans="1:35" ht="12" customHeight="1">
      <c r="A54" s="182" t="s">
        <v>2216</v>
      </c>
      <c r="B54" s="3124" t="s">
        <v>2217</v>
      </c>
      <c r="C54" s="3125"/>
      <c r="D54" s="181">
        <f ca="1">C68</f>
        <v>7871</v>
      </c>
      <c r="E54" s="30" t="s">
        <v>2218</v>
      </c>
      <c r="F54" s="183">
        <f>'数据-取费表'!B41</f>
        <v>5.5000000000000007E-2</v>
      </c>
      <c r="G54" s="2476"/>
      <c r="H54" s="2477"/>
      <c r="I54" s="2474"/>
      <c r="J54" s="1803">
        <v>3</v>
      </c>
      <c r="K54" s="3166" t="s">
        <v>2219</v>
      </c>
      <c r="L54" s="3166"/>
      <c r="M54" s="1745">
        <f t="shared" ca="1" si="0"/>
        <v>33256</v>
      </c>
      <c r="N54" s="1803" t="str">
        <f t="shared" si="0"/>
        <v>增值额×税（费）率</v>
      </c>
      <c r="O54" s="1747" t="str">
        <f t="shared" si="0"/>
        <v>——</v>
      </c>
    </row>
    <row r="55" spans="1:35" ht="24" customHeight="1">
      <c r="A55" s="3115" t="s">
        <v>2220</v>
      </c>
      <c r="B55" s="3116"/>
      <c r="C55" s="3116"/>
      <c r="D55" s="184">
        <f ca="1">IF(H55="个人住宅",0,ROUND(D45*I55,0))</f>
        <v>75</v>
      </c>
      <c r="E55" s="11" t="s">
        <v>2221</v>
      </c>
      <c r="F55" s="183">
        <f>IF(H55="正常",I55,"免征")</f>
        <v>5.0000000000000001E-4</v>
      </c>
      <c r="G55" s="2476"/>
      <c r="H55" s="2473" t="s">
        <v>2222</v>
      </c>
      <c r="I55" s="185">
        <f>'数据-取费表'!B49</f>
        <v>5.0000000000000001E-4</v>
      </c>
      <c r="J55" s="1803" t="str">
        <f>IF(H59="非个人房产","",4)</f>
        <v/>
      </c>
      <c r="K55" s="3166" t="str">
        <f>IF(H59="非个人房产","——","个人所得税")</f>
        <v>——</v>
      </c>
      <c r="L55" s="3166"/>
      <c r="M55" s="1748" t="str">
        <f>D59</f>
        <v>——</v>
      </c>
      <c r="N55" s="1801" t="str">
        <f>E59</f>
        <v>——</v>
      </c>
      <c r="O55" s="1749" t="str">
        <f>F59</f>
        <v>——</v>
      </c>
    </row>
    <row r="56" spans="1:35" ht="24.75">
      <c r="A56" s="3115" t="s">
        <v>2223</v>
      </c>
      <c r="B56" s="3116"/>
      <c r="C56" s="3116"/>
      <c r="D56" s="184">
        <f ca="1">IF(H56="个人住宅",D57,D58)</f>
        <v>33256</v>
      </c>
      <c r="E56" s="11" t="s">
        <v>2224</v>
      </c>
      <c r="F56" s="183" t="str">
        <f>IF(H56="正常",F58,"免征")</f>
        <v>——</v>
      </c>
      <c r="G56" s="2478" t="s">
        <v>2225</v>
      </c>
      <c r="H56" s="2479" t="s">
        <v>2222</v>
      </c>
      <c r="I56" s="2480"/>
      <c r="J56" s="1803" t="str">
        <f>IF(项目基本情况!K6="上海银行",IF(J55="",4,J55+1),"")</f>
        <v/>
      </c>
      <c r="K56" s="3189" t="str">
        <f>IF(项目基本情况!K6="上海银行","其他处置费用","")</f>
        <v/>
      </c>
      <c r="L56" s="3190"/>
      <c r="M56" s="1745" t="str">
        <f>IF(项目基本情况!K6="上海银行",M69,"")</f>
        <v/>
      </c>
      <c r="N56" s="3192" t="str">
        <f>IF(项目基本情况!K6="上海银行","包含处置中涉及的律师、诉讼、拍卖、评估等费用","")</f>
        <v/>
      </c>
      <c r="O56" s="3193"/>
    </row>
    <row r="57" spans="1:35" ht="12.75">
      <c r="A57" s="182" t="s">
        <v>2198</v>
      </c>
      <c r="B57" s="3131" t="s">
        <v>2226</v>
      </c>
      <c r="C57" s="3140"/>
      <c r="D57" s="186">
        <v>0</v>
      </c>
      <c r="E57" s="23" t="s">
        <v>2200</v>
      </c>
      <c r="F57" s="154"/>
      <c r="G57" s="2476"/>
      <c r="H57" s="2480"/>
      <c r="I57" s="2480"/>
      <c r="J57" s="3166">
        <f>IF(AND(J55="",J56=""),4,IF(项目基本情况!K6="上海银行",结果表!J56+1,结果表!J55+1))</f>
        <v>4</v>
      </c>
      <c r="K57" s="3166" t="s">
        <v>2227</v>
      </c>
      <c r="L57" s="2481" t="s">
        <v>2228</v>
      </c>
      <c r="M57" s="1750"/>
      <c r="N57" s="1751">
        <f ca="1">SUMIF(M52:M56,"&lt;9e307")</f>
        <v>41202</v>
      </c>
      <c r="O57" s="2482"/>
      <c r="P57" s="1744">
        <f ca="1">N57/M49</f>
        <v>0.27419741255390512</v>
      </c>
    </row>
    <row r="58" spans="1:35" ht="24.75">
      <c r="A58" s="182" t="s">
        <v>2209</v>
      </c>
      <c r="B58" s="3131" t="s">
        <v>2229</v>
      </c>
      <c r="C58" s="3132"/>
      <c r="D58" s="184">
        <f ca="1">IF(H58="转让取得",C81,C97)</f>
        <v>33256</v>
      </c>
      <c r="E58" s="11" t="s">
        <v>2224</v>
      </c>
      <c r="F58" s="24" t="s">
        <v>34</v>
      </c>
      <c r="G58" s="2476"/>
      <c r="H58" s="2479" t="s">
        <v>2230</v>
      </c>
      <c r="I58" s="2480"/>
      <c r="J58" s="3166"/>
      <c r="K58" s="3166"/>
      <c r="L58" s="2481" t="s">
        <v>2231</v>
      </c>
      <c r="M58" s="1752"/>
      <c r="N58" s="2483" t="str">
        <f ca="1">NUMBERSTRING(INT(N57*10000),2)&amp;"元整"</f>
        <v>肆亿壹仟贰佰零贰万元整</v>
      </c>
      <c r="O58" s="2484"/>
    </row>
    <row r="59" spans="1:35" ht="24.75" thickBot="1">
      <c r="A59" s="3169" t="s">
        <v>2232</v>
      </c>
      <c r="B59" s="3170"/>
      <c r="C59" s="3170"/>
      <c r="D59" s="187" t="str">
        <f>IF(H59="非个人房产","——",IF(H59="个人住宅",0,ROUND(D45*I59,0)))</f>
        <v>——</v>
      </c>
      <c r="E59" s="188" t="str">
        <f>IF(H59="非个人房产","——","销售额×税（费）率")</f>
        <v>——</v>
      </c>
      <c r="F59" s="189" t="str">
        <f>IF(H59="非个人房产","——",IF(H59="个人住宅","免征",I59))</f>
        <v>——</v>
      </c>
      <c r="G59" s="2485" t="s">
        <v>2225</v>
      </c>
      <c r="H59" s="2479" t="s">
        <v>3199</v>
      </c>
      <c r="I59" s="190">
        <v>0.01</v>
      </c>
      <c r="J59" s="3167">
        <f>J57+1</f>
        <v>5</v>
      </c>
      <c r="K59" s="3166" t="s">
        <v>2233</v>
      </c>
      <c r="L59" s="1803" t="s">
        <v>2228</v>
      </c>
      <c r="M59" s="1753"/>
      <c r="N59" s="1754">
        <f ca="1">M49-N57</f>
        <v>109062</v>
      </c>
      <c r="O59" s="2486"/>
    </row>
    <row r="60" spans="1:35" ht="12" customHeight="1">
      <c r="A60" s="2487"/>
      <c r="B60" s="2409"/>
      <c r="C60" s="2409"/>
      <c r="D60" s="2409"/>
      <c r="E60" s="2157"/>
      <c r="F60" s="2480"/>
      <c r="G60" s="2480"/>
      <c r="H60" s="2488"/>
      <c r="I60" s="137"/>
      <c r="J60" s="3168"/>
      <c r="K60" s="3166"/>
      <c r="L60" s="2481" t="s">
        <v>2231</v>
      </c>
      <c r="M60" s="1752"/>
      <c r="N60" s="2483" t="str">
        <f ca="1">NUMBERSTRING(INT(N59*10000),2)&amp;"元整"</f>
        <v>壹拾亿玖仟零陆拾贰万元整</v>
      </c>
      <c r="O60" s="2484"/>
    </row>
    <row r="61" spans="1:35" ht="13.5" thickBot="1">
      <c r="A61" s="3113" t="s">
        <v>2234</v>
      </c>
      <c r="B61" s="3113"/>
      <c r="C61" s="3113"/>
      <c r="D61" s="3113"/>
      <c r="E61" s="3113"/>
      <c r="F61" s="2480"/>
      <c r="G61" s="2480"/>
      <c r="H61" s="2488"/>
      <c r="I61" s="137"/>
      <c r="J61" s="1803">
        <f>J59+1</f>
        <v>6</v>
      </c>
      <c r="K61" s="3166" t="s">
        <v>2235</v>
      </c>
      <c r="L61" s="3166"/>
      <c r="M61" s="1755"/>
      <c r="N61" s="1756">
        <f ca="1">ROUND(N59*10000/'数据-汇总表'!E3,0)</f>
        <v>17121</v>
      </c>
      <c r="O61" s="2489"/>
    </row>
    <row r="62" spans="1:35" ht="12.75">
      <c r="A62" s="3129" t="s">
        <v>2236</v>
      </c>
      <c r="B62" s="3130"/>
      <c r="C62" s="1795"/>
      <c r="D62" s="1795" t="s">
        <v>2237</v>
      </c>
      <c r="E62" s="191" t="s">
        <v>2238</v>
      </c>
      <c r="F62" s="2480"/>
      <c r="G62" s="2480"/>
      <c r="H62" s="2488"/>
      <c r="I62" s="137"/>
    </row>
    <row r="63" spans="1:35" ht="12.75">
      <c r="A63" s="202" t="s">
        <v>775</v>
      </c>
      <c r="B63" s="192" t="s">
        <v>2239</v>
      </c>
      <c r="C63" s="193">
        <f ca="1">ROUND((C64+C65)/(1+'数据-取费表'!C42),0)</f>
        <v>143109</v>
      </c>
      <c r="D63" s="194"/>
      <c r="E63" s="195"/>
      <c r="F63" s="2480"/>
      <c r="G63" s="2480"/>
      <c r="H63" s="2488"/>
      <c r="I63" s="137"/>
      <c r="J63" s="3191" t="s">
        <v>2240</v>
      </c>
      <c r="K63" s="2490" t="s">
        <v>2241</v>
      </c>
      <c r="L63" s="1743">
        <f ca="1">IF(M49&gt;10000,M49*0.5%,IF(AND(M49&gt;1000,M49&lt;=10000),M49*1%,IF(AND(M49&gt;100,M49&lt;=1000),M49*3%,IF(AND(M49&gt;10,M49&lt;=100),M49*5%,M49*8%))))</f>
        <v>751.32</v>
      </c>
      <c r="M63" s="24">
        <f ca="1">ROUND(L63,1)</f>
        <v>751.3</v>
      </c>
      <c r="Z63" s="2414"/>
      <c r="AI63" s="2415"/>
    </row>
    <row r="64" spans="1:35" ht="14.25" customHeight="1">
      <c r="A64" s="196" t="s">
        <v>770</v>
      </c>
      <c r="B64" s="197" t="s">
        <v>2242</v>
      </c>
      <c r="C64" s="198">
        <f ca="1">D45</f>
        <v>150264</v>
      </c>
      <c r="D64" s="199" t="s">
        <v>32</v>
      </c>
      <c r="E64" s="200"/>
      <c r="F64" s="2480"/>
      <c r="G64" s="2480"/>
      <c r="H64" s="2488"/>
      <c r="I64" s="137"/>
      <c r="J64" s="3191"/>
      <c r="K64" s="2490" t="s">
        <v>2243</v>
      </c>
      <c r="L64" s="1743">
        <f ca="1">IF(M49&gt;2000,M49*0.5%,IF(AND(M49&gt;1000,M49&lt;=2000),M49*0.6%,IF(AND(M49&gt;500,M49&lt;=1000),M49*0.7%,IF(AND(M49&gt;200,M49&lt;=500),M49*0.8%,IF(AND(M49&gt;100,M49&lt;=200),M49*0.9%,IF(AND(M49&gt;50,M49&lt;=100),M49*1%,IF(AND(M49&gt;20,M49&lt;=50),M49*1.5%,IF(AND(M49&gt;10,M49&lt;=20),M49*2%,IF(AND(M49&gt;1,M49&lt;=10),M49*2.5%)))))))))</f>
        <v>751.32</v>
      </c>
      <c r="M64" s="24">
        <f t="shared" ref="M64:M65" ca="1" si="1">ROUND(L64,1)</f>
        <v>751.3</v>
      </c>
      <c r="N64" s="137" t="s">
        <v>2244</v>
      </c>
      <c r="Z64" s="2414"/>
      <c r="AI64" s="2415"/>
    </row>
    <row r="65" spans="1:35" ht="14.25" customHeight="1">
      <c r="A65" s="196" t="s">
        <v>771</v>
      </c>
      <c r="B65" s="197" t="s">
        <v>2245</v>
      </c>
      <c r="C65" s="201"/>
      <c r="D65" s="199"/>
      <c r="E65" s="200"/>
      <c r="F65" s="2480"/>
      <c r="G65" s="2480"/>
      <c r="H65" s="2488"/>
      <c r="I65" s="137"/>
      <c r="J65" s="3191"/>
      <c r="K65" s="2490" t="s">
        <v>2246</v>
      </c>
      <c r="L65" s="1743">
        <f ca="1">IF(M49&gt;1000,M49*0.1%,IF(AND(M49&gt;500,M49&lt;=1000),M49*0.5%,IF(AND(M49&gt;50,M49&lt;=500),M49*1%,IF(AND(M49&gt;1,M49&lt;=50),M49*1.5%))))</f>
        <v>150.26400000000001</v>
      </c>
      <c r="M65" s="24">
        <f t="shared" ca="1" si="1"/>
        <v>150.30000000000001</v>
      </c>
      <c r="N65" s="137" t="s">
        <v>2244</v>
      </c>
      <c r="Z65" s="2414"/>
      <c r="AI65" s="2415"/>
    </row>
    <row r="66" spans="1:35" ht="14.25" customHeight="1">
      <c r="A66" s="202" t="s">
        <v>772</v>
      </c>
      <c r="B66" s="203" t="s">
        <v>2247</v>
      </c>
      <c r="C66" s="204"/>
      <c r="D66" s="205" t="s">
        <v>32</v>
      </c>
      <c r="E66" s="1767" t="s">
        <v>1371</v>
      </c>
      <c r="F66" s="2480"/>
      <c r="G66" s="2480"/>
      <c r="H66" s="2488"/>
      <c r="I66" s="137"/>
      <c r="J66" s="3191"/>
      <c r="K66" s="2490" t="s">
        <v>2248</v>
      </c>
      <c r="L66" s="1743">
        <f ca="1">M49*0.5%</f>
        <v>751.32</v>
      </c>
      <c r="M66" s="24">
        <f ca="1">IF(L66&gt;0.5,0.5,ROUND(L66,0))</f>
        <v>0.5</v>
      </c>
      <c r="N66" s="137" t="s">
        <v>2249</v>
      </c>
      <c r="Z66" s="2414"/>
      <c r="AI66" s="2415"/>
    </row>
    <row r="67" spans="1:35" ht="14.25" customHeight="1">
      <c r="A67" s="202" t="s">
        <v>773</v>
      </c>
      <c r="B67" s="203" t="s">
        <v>2250</v>
      </c>
      <c r="C67" s="206">
        <f ca="1">C63-C66</f>
        <v>143109</v>
      </c>
      <c r="D67" s="199" t="s">
        <v>32</v>
      </c>
      <c r="E67" s="200"/>
      <c r="F67" s="2480"/>
      <c r="G67" s="2480"/>
      <c r="H67" s="2488"/>
      <c r="I67" s="137"/>
      <c r="J67" s="3191"/>
      <c r="K67" s="2490" t="s">
        <v>2251</v>
      </c>
      <c r="L67" s="1743">
        <f ca="1">IF(M49&gt;=10000,(8.25+(M49-10000)*0.01%),IF(AND(M49&gt;=8000,M49&lt;10000),(7.85+(M49-8000)*0.02%),IF(AND(M49&gt;=5000,M49&lt;8000),(6.65+(M49-5000)*0.04%),IF(AND(M49&gt;=2000,M49&lt;5000),(4.25+(PM49-2000)*0.08%),IF(AND(M49&gt;=1000,M49&lt;2000),(2.75+(M49-1000)*0.15%),IF(AND(M49&gt;=100,M49&lt;1000),(0.5+(M49-100)*0.25%),IF(AND(M49&gt;0,M49&lt;100),M49*0.5%)))))))</f>
        <v>22.276400000000002</v>
      </c>
      <c r="M67" s="24">
        <f ca="1">ROUND(L67*0.9,1)</f>
        <v>20</v>
      </c>
      <c r="Z67" s="2414"/>
      <c r="AI67" s="2415"/>
    </row>
    <row r="68" spans="1:35" ht="14.25" customHeight="1" thickBot="1">
      <c r="A68" s="207" t="s">
        <v>774</v>
      </c>
      <c r="B68" s="208" t="s">
        <v>2252</v>
      </c>
      <c r="C68" s="209">
        <f ca="1">IF(C67&lt;=0,0,ROUND(C67*D68,0))</f>
        <v>7871</v>
      </c>
      <c r="D68" s="210">
        <f>'数据-取费表'!B41</f>
        <v>5.5000000000000007E-2</v>
      </c>
      <c r="E68" s="211"/>
      <c r="F68" s="2480"/>
      <c r="G68" s="2480"/>
      <c r="H68" s="2488"/>
      <c r="I68" s="137"/>
      <c r="J68" s="3191"/>
      <c r="K68" s="2490" t="s">
        <v>2253</v>
      </c>
      <c r="L68" s="1743">
        <f ca="1">IF(M49&gt;10000,M49*0.5%,IF(AND(M49&gt;5000,M49&lt;=10000),M49*1%,IF(AND(M49&gt;1000,M49&lt;=5000),M49*2%,IF(AND(M49&gt;200,M49&lt;=1000),M49*3%,M49*5%))))</f>
        <v>751.32</v>
      </c>
      <c r="M68" s="24">
        <f ca="1">ROUND(L68,1)</f>
        <v>751.3</v>
      </c>
      <c r="Z68" s="2414"/>
      <c r="AI68" s="2415"/>
    </row>
    <row r="69" spans="1:35" s="2437" customFormat="1" ht="16.5" customHeight="1">
      <c r="A69" s="2491"/>
      <c r="B69" s="2492"/>
      <c r="C69" s="2493"/>
      <c r="D69" s="2494"/>
      <c r="E69" s="2495"/>
      <c r="F69" s="2157"/>
      <c r="G69" s="2157"/>
      <c r="H69" s="2156"/>
      <c r="I69" s="2409"/>
      <c r="J69" s="3191"/>
      <c r="K69" s="2490" t="s">
        <v>2254</v>
      </c>
      <c r="L69" s="2496"/>
      <c r="M69" s="24">
        <f ca="1">ROUND(SUM(M63:M68),0)</f>
        <v>2425</v>
      </c>
      <c r="N69" s="1744">
        <f ca="1">M69/M49</f>
        <v>1.6138263323217803E-2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50" t="s">
        <v>2255</v>
      </c>
      <c r="B70" s="3151"/>
      <c r="C70" s="3151"/>
      <c r="D70" s="3151"/>
      <c r="E70" s="3151"/>
      <c r="F70" s="3151"/>
      <c r="G70" s="3151"/>
      <c r="H70" s="315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9" t="s">
        <v>2236</v>
      </c>
      <c r="B71" s="3130"/>
      <c r="C71" s="1795"/>
      <c r="D71" s="1795"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143109</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716</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24" t="s">
        <v>2264</v>
      </c>
      <c r="F76" s="3101"/>
      <c r="G76" s="3101"/>
      <c r="H76" s="314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716</v>
      </c>
      <c r="D78" s="225">
        <f>'数据-取费表'!B43</f>
        <v>5.000000000000001E-3</v>
      </c>
      <c r="E78" s="3110" t="s">
        <v>2269</v>
      </c>
      <c r="F78" s="3111"/>
      <c r="G78" s="3111"/>
      <c r="H78" s="3120"/>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142393</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198.87290502793297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85185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50" t="s">
        <v>2273</v>
      </c>
      <c r="B83" s="3151"/>
      <c r="C83" s="3151"/>
      <c r="D83" s="3151"/>
      <c r="E83" s="3151"/>
      <c r="F83" s="3151"/>
      <c r="G83" s="3151"/>
      <c r="H83" s="315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9" t="s">
        <v>2236</v>
      </c>
      <c r="B84" s="3130"/>
      <c r="C84" s="1795"/>
      <c r="D84" s="1795"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143109</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58921</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26080</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f>ROUND(13232*'数据-汇总表'!F19/10000,0)+ROUND(13232*0.25*0.15*'数据-汇总表'!G20/10000,0)</f>
        <v>25308</v>
      </c>
      <c r="D88" s="225"/>
      <c r="E88" s="236" t="s">
        <v>2276</v>
      </c>
      <c r="F88" s="1791"/>
      <c r="G88" s="237" t="s">
        <v>2277</v>
      </c>
      <c r="H88" s="2508" t="s">
        <v>3200</v>
      </c>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772</v>
      </c>
      <c r="D89" s="225">
        <f>'数据-取费表'!B48+'数据-取费表'!B49</f>
        <v>3.0499999999999999E-2</v>
      </c>
      <c r="E89" s="236" t="s">
        <v>2278</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 ca="1">IF(H91="——",成本法!C33,I91)</f>
        <v>18693</v>
      </c>
      <c r="D91" s="225"/>
      <c r="E91" s="3110" t="s">
        <v>2282</v>
      </c>
      <c r="F91" s="3111"/>
      <c r="G91" s="3111"/>
      <c r="H91" s="2509" t="s">
        <v>70</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 ca="1">ROUND((C87+C90+C91)*D92,0)</f>
        <v>4477</v>
      </c>
      <c r="D92" s="225">
        <v>0.1</v>
      </c>
      <c r="E92" s="3110" t="s">
        <v>2285</v>
      </c>
      <c r="F92" s="3111"/>
      <c r="G92" s="3111"/>
      <c r="H92" s="3120"/>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2268</v>
      </c>
      <c r="C93" s="224">
        <f ca="1">ROUND(D45*D93/(1+'数据-取费表'!C42),0)</f>
        <v>716</v>
      </c>
      <c r="D93" s="225">
        <f>'数据-取费表'!B43</f>
        <v>5.000000000000001E-3</v>
      </c>
      <c r="E93" s="3110" t="s">
        <v>2269</v>
      </c>
      <c r="F93" s="3111"/>
      <c r="G93" s="3111"/>
      <c r="H93" s="3120"/>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 ca="1">ROUND((C87+C90+C91)*D94,0)</f>
        <v>8955</v>
      </c>
      <c r="D94" s="225">
        <v>0.2</v>
      </c>
      <c r="E94" s="3121" t="s">
        <v>2289</v>
      </c>
      <c r="F94" s="3122"/>
      <c r="G94" s="3122"/>
      <c r="H94" s="312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84188</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1.4288284312893536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33256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2290</v>
      </c>
      <c r="B99" s="2409"/>
      <c r="C99" s="2409"/>
      <c r="D99" s="2409"/>
      <c r="E99" s="2157"/>
      <c r="F99" s="2157"/>
      <c r="G99" s="2157"/>
      <c r="H99" s="2156"/>
      <c r="I99" s="137"/>
    </row>
    <row r="100" spans="1:35" ht="18.75" customHeight="1">
      <c r="A100" s="3082" t="s">
        <v>2291</v>
      </c>
      <c r="B100" s="3083"/>
      <c r="C100" s="3083"/>
      <c r="D100" s="3112"/>
      <c r="E100" s="3083" t="s">
        <v>2292</v>
      </c>
      <c r="F100" s="3083"/>
      <c r="G100" s="3083"/>
      <c r="H100" s="3112"/>
      <c r="I100" s="137"/>
    </row>
    <row r="101" spans="1:35" ht="18.75" customHeight="1">
      <c r="A101" s="3174" t="s">
        <v>2293</v>
      </c>
      <c r="B101" s="3175"/>
      <c r="C101" s="735" t="str">
        <f>C4</f>
        <v>成本法</v>
      </c>
      <c r="D101" s="736" t="str">
        <f>D4</f>
        <v>假设开发法</v>
      </c>
      <c r="E101" s="3188" t="s">
        <v>2294</v>
      </c>
      <c r="F101" s="3142"/>
      <c r="G101" s="2511" t="s">
        <v>2295</v>
      </c>
      <c r="H101" s="1041">
        <f ca="1">H118</f>
        <v>150264</v>
      </c>
      <c r="I101" s="137"/>
    </row>
    <row r="102" spans="1:35" ht="18.75" customHeight="1">
      <c r="A102" s="3144" t="s">
        <v>2296</v>
      </c>
      <c r="B102" s="2511" t="s">
        <v>2295</v>
      </c>
      <c r="C102" s="735">
        <f ca="1">C19</f>
        <v>122055</v>
      </c>
      <c r="D102" s="736">
        <f ca="1">D19</f>
        <v>162353</v>
      </c>
      <c r="E102" s="3188"/>
      <c r="F102" s="3142"/>
      <c r="G102" s="2511" t="s">
        <v>2297</v>
      </c>
      <c r="H102" s="370">
        <f ca="1">I118</f>
        <v>23589</v>
      </c>
      <c r="I102" s="137"/>
    </row>
    <row r="103" spans="1:35" ht="42.75" customHeight="1">
      <c r="A103" s="3144"/>
      <c r="B103" s="2511" t="s">
        <v>2297</v>
      </c>
      <c r="C103" s="737">
        <f ca="1">C20</f>
        <v>19160</v>
      </c>
      <c r="D103" s="738">
        <f ca="1">D20</f>
        <v>25486</v>
      </c>
      <c r="E103" s="3183" t="s">
        <v>2298</v>
      </c>
      <c r="F103" s="3184"/>
      <c r="G103" s="2512" t="s">
        <v>2299</v>
      </c>
      <c r="H103" s="1041">
        <f>IF(D36="正常操作",H104+H105+H106,H105+H106)</f>
        <v>0</v>
      </c>
      <c r="I103" s="137"/>
    </row>
    <row r="104" spans="1:35" ht="18.75" customHeight="1">
      <c r="A104" s="3144" t="s">
        <v>2300</v>
      </c>
      <c r="B104" s="2513" t="s">
        <v>2295</v>
      </c>
      <c r="C104" s="739">
        <f ca="1">H118</f>
        <v>150264</v>
      </c>
      <c r="D104" s="740"/>
      <c r="E104" s="2257" t="s">
        <v>2301</v>
      </c>
      <c r="F104" s="2249"/>
      <c r="G104" s="2512" t="s">
        <v>2299</v>
      </c>
      <c r="H104" s="1042">
        <f>IF(D36="同一抵押权人同一抵押物续贷",C36&amp;"（未扣减，详见特别提示）",C36)</f>
        <v>0</v>
      </c>
      <c r="I104" s="137"/>
    </row>
    <row r="105" spans="1:35" ht="18.75" customHeight="1" thickBot="1">
      <c r="A105" s="3145"/>
      <c r="B105" s="2514" t="s">
        <v>2297</v>
      </c>
      <c r="C105" s="741">
        <f ca="1">I118</f>
        <v>23589</v>
      </c>
      <c r="D105" s="742"/>
      <c r="E105" s="2257" t="s">
        <v>2302</v>
      </c>
      <c r="F105" s="2249"/>
      <c r="G105" s="2512" t="s">
        <v>2299</v>
      </c>
      <c r="H105" s="1042">
        <f>C37</f>
        <v>0</v>
      </c>
      <c r="I105" s="137"/>
    </row>
    <row r="106" spans="1:35" ht="18.75" customHeight="1">
      <c r="A106" s="2409" t="s">
        <v>2303</v>
      </c>
      <c r="B106" s="2409"/>
      <c r="C106" s="2409"/>
      <c r="D106" s="2409"/>
      <c r="E106" s="2515" t="s">
        <v>2304</v>
      </c>
      <c r="F106" s="2249"/>
      <c r="G106" s="2512" t="s">
        <v>2299</v>
      </c>
      <c r="H106" s="1042">
        <f>C38</f>
        <v>0</v>
      </c>
      <c r="I106" s="137"/>
    </row>
    <row r="107" spans="1:35" ht="18.75" customHeight="1">
      <c r="A107" s="137"/>
      <c r="B107" s="137"/>
      <c r="C107" s="137"/>
      <c r="D107" s="137"/>
      <c r="E107" s="3141" t="str">
        <f>IF(项目基本情况!E8="已注销","——","3.房地产抵押价值")</f>
        <v>——</v>
      </c>
      <c r="F107" s="3142"/>
      <c r="G107" s="2511" t="s">
        <v>2295</v>
      </c>
      <c r="H107" s="1041" t="str">
        <f>IF(E107="——","——",H101-H103)</f>
        <v>——</v>
      </c>
      <c r="I107" s="137"/>
    </row>
    <row r="108" spans="1:35" ht="18.75" customHeight="1">
      <c r="A108" s="137"/>
      <c r="B108" s="137"/>
      <c r="C108" s="137"/>
      <c r="D108" s="137"/>
      <c r="E108" s="3141"/>
      <c r="F108" s="3142"/>
      <c r="G108" s="2511" t="s">
        <v>2297</v>
      </c>
      <c r="H108" s="370" t="e">
        <f>ROUND(H107*10000/'数据-汇总表'!E3,0)</f>
        <v>#VALUE!</v>
      </c>
      <c r="I108" s="137"/>
    </row>
    <row r="109" spans="1:35" ht="18.75" customHeight="1">
      <c r="A109" s="137"/>
      <c r="B109" s="137"/>
      <c r="C109" s="137"/>
      <c r="D109" s="137"/>
      <c r="E109" s="3141" t="str">
        <f>IF(项目基本情况!E8="已注销及未注销","4.抵押担保权已注销时的房地产抵押价值",IF(项目基本情况!E8="已注销","3.抵押担保权已注销时的房地产抵押价值","——"))</f>
        <v>3.抵押担保权已注销时的房地产抵押价值</v>
      </c>
      <c r="F109" s="3142"/>
      <c r="G109" s="2511" t="s">
        <v>2295</v>
      </c>
      <c r="H109" s="347">
        <f ca="1">IF(E109="——","——",H101-H105-H106)</f>
        <v>150264</v>
      </c>
      <c r="I109" s="137"/>
    </row>
    <row r="110" spans="1:35" ht="18.75" customHeight="1">
      <c r="A110" s="137"/>
      <c r="B110" s="137"/>
      <c r="C110" s="137"/>
      <c r="D110" s="137"/>
      <c r="E110" s="3141"/>
      <c r="F110" s="3142"/>
      <c r="G110" s="2511" t="s">
        <v>2297</v>
      </c>
      <c r="H110" s="370">
        <f ca="1">IF(H109="——","——",ROUND(H109*10000/'数据-汇总表'!E3,0))</f>
        <v>23589</v>
      </c>
      <c r="I110" s="137"/>
    </row>
    <row r="111" spans="1:35" ht="18.75" customHeight="1">
      <c r="A111" s="137"/>
      <c r="B111" s="137"/>
      <c r="C111" s="137"/>
      <c r="D111" s="137"/>
      <c r="E111" s="3176" t="str">
        <f>IF(项目基本情况!E9="抵押净值",IF(OR(项目基本情况!E8="已注销",项目基本情况!E8="房地产抵押价值"),"4.抵押净值","5.抵押净值"),"——")</f>
        <v>——</v>
      </c>
      <c r="F111" s="3177"/>
      <c r="G111" s="2511" t="s">
        <v>2295</v>
      </c>
      <c r="H111" s="1041" t="str">
        <f>IF(E111="——","——",N59)</f>
        <v>——</v>
      </c>
      <c r="I111" s="137"/>
    </row>
    <row r="112" spans="1:35" ht="18.75" customHeight="1" thickBot="1">
      <c r="A112" s="137"/>
      <c r="B112" s="137"/>
      <c r="C112" s="137"/>
      <c r="D112" s="137"/>
      <c r="E112" s="3178"/>
      <c r="F112" s="3179"/>
      <c r="G112" s="2516" t="s">
        <v>2297</v>
      </c>
      <c r="H112" s="789" t="str">
        <f>IF(E111="——","——",N61)</f>
        <v>——</v>
      </c>
      <c r="I112" s="137"/>
    </row>
    <row r="113" spans="1:11" ht="18.75" customHeight="1">
      <c r="A113" s="137"/>
      <c r="B113" s="137"/>
      <c r="C113" s="137"/>
      <c r="D113" s="137"/>
      <c r="E113" s="3146" t="s">
        <v>2303</v>
      </c>
      <c r="F113" s="3146"/>
      <c r="G113" s="3146"/>
      <c r="H113" s="3146"/>
      <c r="I113" s="137"/>
    </row>
    <row r="114" spans="1:11" ht="3.75" customHeight="1">
      <c r="A114" s="2409"/>
      <c r="B114" s="2409"/>
      <c r="C114" s="2409"/>
      <c r="D114" s="2409"/>
      <c r="E114" s="2487"/>
      <c r="F114" s="2487"/>
      <c r="G114" s="2487"/>
      <c r="H114" s="2487"/>
      <c r="I114" s="2409"/>
    </row>
    <row r="115" spans="1:11" ht="18.75" customHeight="1">
      <c r="A115" s="3159" t="s">
        <v>2305</v>
      </c>
      <c r="B115" s="3160"/>
      <c r="C115" s="3160"/>
      <c r="D115" s="3160"/>
      <c r="E115" s="3160"/>
      <c r="F115" s="3160"/>
      <c r="G115" s="3160"/>
      <c r="H115" s="3160"/>
      <c r="I115" s="3161"/>
    </row>
    <row r="116" spans="1:11" ht="27" customHeight="1">
      <c r="A116" s="3039" t="s">
        <v>2306</v>
      </c>
      <c r="B116" s="3147" t="s">
        <v>2307</v>
      </c>
      <c r="C116" s="3147" t="s">
        <v>2308</v>
      </c>
      <c r="D116" s="3163" t="s">
        <v>2309</v>
      </c>
      <c r="E116" s="3164"/>
      <c r="F116" s="3155" t="s">
        <v>2310</v>
      </c>
      <c r="G116" s="3155"/>
      <c r="H116" s="3039" t="s">
        <v>2311</v>
      </c>
      <c r="I116" s="3039"/>
    </row>
    <row r="117" spans="1:11" ht="18.75" customHeight="1">
      <c r="A117" s="3039"/>
      <c r="B117" s="3148"/>
      <c r="C117" s="3148"/>
      <c r="D117" s="1789" t="s">
        <v>2312</v>
      </c>
      <c r="E117" s="1789" t="s">
        <v>2313</v>
      </c>
      <c r="F117" s="1789" t="s">
        <v>2312</v>
      </c>
      <c r="G117" s="1789" t="s">
        <v>2314</v>
      </c>
      <c r="H117" s="1789" t="s">
        <v>2312</v>
      </c>
      <c r="I117" s="1789" t="s">
        <v>2314</v>
      </c>
    </row>
    <row r="118" spans="1:11" ht="24.75" customHeight="1">
      <c r="A118" s="2517" t="str">
        <f>项目基本情况!S2</f>
        <v>北京市昌平区南邵镇（中关村科技园昌平园东区二期）0303-54地块出让国有建设用地使用权及在建建筑物房地产</v>
      </c>
      <c r="B118" s="1789">
        <f>M18</f>
        <v>63702.12999999999</v>
      </c>
      <c r="C118" s="1789">
        <f>M19</f>
        <v>14226.66</v>
      </c>
      <c r="D118" s="1789">
        <f ca="1">ROUND(IF(D32="总价",C34,E118*B118/10000),0)</f>
        <v>120211</v>
      </c>
      <c r="E118" s="1789">
        <f ca="1">ROUND(IF(C33="自定义",IF(D32="楼面单价",C34,D118*10000/B118),I118-G118),0)</f>
        <v>18871</v>
      </c>
      <c r="F118" s="1789">
        <f ca="1">ROUND(IF(D32="总价",C35,G118*B118/10000),0)</f>
        <v>30053</v>
      </c>
      <c r="G118" s="1789">
        <f ca="1">ROUND(IF(D32="楼面单价",C35,F118*10000/B118),0)</f>
        <v>4718</v>
      </c>
      <c r="H118" s="1789">
        <f ca="1">ROUND(IF(D32="总价",C32,I118*B118/10000),0)</f>
        <v>150264</v>
      </c>
      <c r="I118" s="1789">
        <f ca="1">ROUND(IF(D32="楼面单价",C32,H118*10000/B118),0)</f>
        <v>23589</v>
      </c>
    </row>
    <row r="119" spans="1:11" ht="18.75" customHeight="1">
      <c r="A119" s="3039" t="s">
        <v>2315</v>
      </c>
      <c r="B119" s="3039"/>
      <c r="C119" s="3039"/>
      <c r="D119" s="3152" t="str">
        <f ca="1">NUMBERSTRING(INT(D118*10000),2)&amp;"元整"</f>
        <v>壹拾贰亿零贰佰壹拾壹万元整</v>
      </c>
      <c r="E119" s="3154"/>
      <c r="F119" s="3152" t="str">
        <f ca="1">NUMBERSTRING(INT(F118*10000),2)&amp;"元整"</f>
        <v>叁亿零伍拾叁万元整</v>
      </c>
      <c r="G119" s="3154"/>
      <c r="H119" s="3152" t="str">
        <f ca="1">NUMBERSTRING(INT(H118*10000),2)&amp;"元整"</f>
        <v>壹拾伍亿零贰佰陆拾肆万元整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4" t="str">
        <f>IF(D120=0,"故，本次评估不存在"&amp;A120,"故，本次评估"&amp;A120&amp;"为人民币"&amp;D120&amp;"万元整。")</f>
        <v>故，本次评估不存在估价师知悉的法定优先受偿款</v>
      </c>
    </row>
    <row r="121" spans="1:11" ht="18.75" customHeight="1">
      <c r="A121" s="3156" t="s">
        <v>2315</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
      </c>
      <c r="B122" s="3143"/>
      <c r="C122" s="3143"/>
      <c r="D122" s="3180" t="str">
        <f>H107</f>
        <v>——</v>
      </c>
      <c r="E122" s="3181"/>
      <c r="F122" s="3181"/>
      <c r="G122" s="3181"/>
      <c r="H122" s="3181"/>
      <c r="I122" s="3182"/>
    </row>
    <row r="123" spans="1:11" ht="18.75" customHeight="1">
      <c r="A123" s="3039" t="s">
        <v>2315</v>
      </c>
      <c r="B123" s="3039"/>
      <c r="C123" s="3039"/>
      <c r="D123" s="3152" t="e">
        <f>NUMBERSTRING(INT(D122*10000),2)&amp;"元整"</f>
        <v>#VALUE!</v>
      </c>
      <c r="E123" s="3153"/>
      <c r="F123" s="3153"/>
      <c r="G123" s="3153"/>
      <c r="H123" s="3153"/>
      <c r="I123" s="3154"/>
    </row>
    <row r="124" spans="1:11" ht="18.75" customHeight="1">
      <c r="A124" s="3143" t="str">
        <f>IF(项目基本情况!B9="房地产市场价值","",MID(E109,3,LEN(E109)-2))</f>
        <v>抵押担保权已注销时的房地产抵押价值</v>
      </c>
      <c r="B124" s="3143"/>
      <c r="C124" s="3143"/>
      <c r="D124" s="3180">
        <f ca="1">H109</f>
        <v>150264</v>
      </c>
      <c r="E124" s="3181"/>
      <c r="F124" s="3181"/>
      <c r="G124" s="3181"/>
      <c r="H124" s="3181"/>
      <c r="I124" s="3182"/>
    </row>
    <row r="125" spans="1:11" ht="18.75" customHeight="1">
      <c r="A125" s="3039" t="s">
        <v>2315</v>
      </c>
      <c r="B125" s="3039"/>
      <c r="C125" s="3039"/>
      <c r="D125" s="3152" t="str">
        <f ca="1">NUMBERSTRING(INT(D124*10000),2)&amp;"元整"</f>
        <v>壹拾伍亿零贰佰陆拾肆万元整</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39" t="s">
        <v>2315</v>
      </c>
      <c r="B127" s="3039"/>
      <c r="C127" s="3039"/>
      <c r="D127" s="3152" t="e">
        <f>NUMBERSTRING(INT(D126*10000),2)&amp;"元整"</f>
        <v>#VALUE!</v>
      </c>
      <c r="E127" s="3153"/>
      <c r="F127" s="3153"/>
      <c r="G127" s="3153"/>
      <c r="H127" s="3153"/>
      <c r="I127" s="3154"/>
    </row>
    <row r="128" spans="1:11" ht="21.75" customHeight="1">
      <c r="A128" s="3162" t="s">
        <v>2316</v>
      </c>
      <c r="B128" s="3162"/>
      <c r="C128" s="3162"/>
      <c r="D128" s="3162"/>
      <c r="E128" s="3162"/>
      <c r="F128" s="3162"/>
      <c r="G128" s="3162"/>
      <c r="H128" s="3162"/>
      <c r="I128" s="3162"/>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5" t="str">
        <f>项目基本情况!B1</f>
        <v>北京市昌平区南邵镇（中关村科技园昌平园东区二期）0303-54地块出让国有建设用地使用权及在建建筑物房地产抵押价值预评估</v>
      </c>
      <c r="C37" s="2995"/>
      <c r="D37" s="2995"/>
      <c r="E37" s="2995"/>
      <c r="F37" s="2995"/>
      <c r="G37" s="2995"/>
      <c r="H37" s="2995"/>
      <c r="I37" s="2995"/>
    </row>
    <row r="38" spans="1:9">
      <c r="A38" s="1012"/>
      <c r="B38" s="1012"/>
    </row>
    <row r="39" spans="1:9">
      <c r="A39" s="1010" t="s">
        <v>818</v>
      </c>
      <c r="B39" s="1010" t="s">
        <v>820</v>
      </c>
    </row>
    <row r="40" spans="1:9">
      <c r="A40" s="1010"/>
      <c r="B40" s="1936" t="str">
        <f>项目基本情况!B5</f>
        <v>北京泰禾嘉兴房地产开发有限公司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欧红伟（注册号：1120000080)、郑燚（注册号：1120070131)</v>
      </c>
    </row>
    <row r="47" spans="1:9">
      <c r="A47" s="1010"/>
      <c r="B47" s="1010" t="str">
        <f>项目基本情况!K5</f>
        <v/>
      </c>
    </row>
    <row r="48" spans="1:9">
      <c r="A48" s="1010" t="s">
        <v>818</v>
      </c>
      <c r="B48" s="1010"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1"/>
      <c r="C1" s="241"/>
      <c r="D1" s="241"/>
      <c r="E1" s="241"/>
      <c r="F1" s="241"/>
      <c r="G1" s="1375">
        <f>MATCH(B1,'数据-取费表'!A6:A16,0)+5</f>
        <v>10</v>
      </c>
    </row>
    <row r="2" spans="1:9" s="243" customFormat="1" ht="18" customHeight="1">
      <c r="A2" s="244" t="s">
        <v>2325</v>
      </c>
      <c r="B2" s="245">
        <f ca="1">IF(D2="——",C52,C52-E2)</f>
        <v>122055</v>
      </c>
      <c r="C2" s="242" t="s">
        <v>2326</v>
      </c>
      <c r="D2" s="2540" t="s">
        <v>70</v>
      </c>
      <c r="E2" s="1435"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19160</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73738</v>
      </c>
      <c r="D5" s="254" t="s">
        <v>2332</v>
      </c>
      <c r="E5" s="255" t="s">
        <v>2333</v>
      </c>
      <c r="F5" s="255" t="s">
        <v>2334</v>
      </c>
      <c r="G5" s="256"/>
    </row>
    <row r="6" spans="1:9" s="257" customFormat="1" ht="13.5" customHeight="1">
      <c r="A6" s="945" t="s">
        <v>2335</v>
      </c>
      <c r="B6" s="258" t="s">
        <v>2336</v>
      </c>
      <c r="C6" s="259">
        <f>'土地比较法-住宅、综合'!F66</f>
        <v>70458</v>
      </c>
      <c r="D6" s="260"/>
      <c r="E6" s="261"/>
      <c r="F6" s="261"/>
      <c r="G6" s="262"/>
    </row>
    <row r="7" spans="1:9" s="257" customFormat="1" ht="13.5" customHeight="1">
      <c r="A7" s="945" t="s">
        <v>2337</v>
      </c>
      <c r="B7" s="258" t="s">
        <v>2338</v>
      </c>
      <c r="C7" s="263">
        <f>ROUND(C6*F7,0)</f>
        <v>2149</v>
      </c>
      <c r="D7" s="263"/>
      <c r="E7" s="261"/>
      <c r="F7" s="264">
        <f>'数据-取费表'!B48+'数据-取费表'!B49</f>
        <v>3.0499999999999999E-2</v>
      </c>
      <c r="G7" s="262"/>
    </row>
    <row r="8" spans="1:9" s="266" customFormat="1">
      <c r="A8" s="945" t="s">
        <v>2339</v>
      </c>
      <c r="B8" s="258" t="s">
        <v>2340</v>
      </c>
      <c r="C8" s="2953">
        <f ca="1">IF(G8="已包含在土地购买价格中","0",IF(B1="",'数据-取费表'!B29,IF(G9="全部缴纳",C9+C10,H9)))</f>
        <v>1131</v>
      </c>
      <c r="D8" s="265"/>
      <c r="E8" s="263"/>
      <c r="F8" s="264"/>
      <c r="G8" s="2543" t="s">
        <v>3152</v>
      </c>
    </row>
    <row r="9" spans="1:9" s="257" customFormat="1" ht="13.5" customHeight="1">
      <c r="A9" s="946" t="s">
        <v>800</v>
      </c>
      <c r="B9" s="267" t="s">
        <v>2341</v>
      </c>
      <c r="C9" s="2954">
        <f ca="1">ROUND(D9*E9/10000,0)</f>
        <v>300</v>
      </c>
      <c r="D9" s="1028">
        <f ca="1">IF(B1="",'数据-汇总表'!E5,IF(INDIRECT("'数据-取费表'!c"&amp;$G$1)="住宅",INDIRECT("'数据-取费表'!k"&amp;$G$1),0))</f>
        <v>19990.119999999995</v>
      </c>
      <c r="E9" s="268">
        <f>'数据-取费表'!B27</f>
        <v>150</v>
      </c>
      <c r="F9" s="264"/>
      <c r="G9" s="2544"/>
      <c r="H9" s="2960">
        <f ca="1">C9+C10</f>
        <v>1131</v>
      </c>
      <c r="I9" s="2545" t="s">
        <v>2342</v>
      </c>
    </row>
    <row r="10" spans="1:9" s="257" customFormat="1" ht="13.5" customHeight="1">
      <c r="A10" s="946" t="s">
        <v>801</v>
      </c>
      <c r="B10" s="267" t="s">
        <v>2343</v>
      </c>
      <c r="C10" s="2954">
        <f ca="1">ROUND(D10*E10/10000,0)</f>
        <v>831</v>
      </c>
      <c r="D10" s="1028">
        <f ca="1">IF(B1="",'数据-汇总表'!E6,IF(INDIRECT("'数据-取费表'!c"&amp;$G$1)="住宅",INDIRECT("'数据-取费表'!s"&amp;$G$1),INDIRECT("'数据-取费表'!k"&amp;$G$1)+INDIRECT("'数据-取费表'!s"&amp;$G$1)))</f>
        <v>43712.009999999995</v>
      </c>
      <c r="E10" s="268">
        <f>'数据-取费表'!B28</f>
        <v>190</v>
      </c>
      <c r="F10" s="264"/>
      <c r="G10" s="269"/>
    </row>
    <row r="11" spans="1:9" s="257" customFormat="1" ht="13.5" hidden="1" customHeight="1">
      <c r="A11" s="270" t="s">
        <v>7</v>
      </c>
      <c r="B11" s="258" t="s">
        <v>2344</v>
      </c>
      <c r="C11" s="254"/>
      <c r="D11" s="1030"/>
      <c r="E11" s="261"/>
      <c r="F11" s="261"/>
      <c r="G11" s="262"/>
    </row>
    <row r="12" spans="1:9" s="257" customFormat="1" ht="13.5" hidden="1" customHeight="1">
      <c r="A12" s="270" t="s">
        <v>8</v>
      </c>
      <c r="B12" s="258" t="s">
        <v>2345</v>
      </c>
      <c r="C12" s="254">
        <v>0</v>
      </c>
      <c r="D12" s="1030"/>
      <c r="E12" s="271"/>
      <c r="F12" s="264">
        <v>3.0499999999999999E-2</v>
      </c>
      <c r="G12" s="262"/>
    </row>
    <row r="13" spans="1:9" s="257" customFormat="1" ht="13.5" hidden="1" customHeight="1">
      <c r="A13" s="270" t="s">
        <v>9</v>
      </c>
      <c r="B13" s="258" t="s">
        <v>2346</v>
      </c>
      <c r="C13" s="254"/>
      <c r="D13" s="1030"/>
      <c r="E13" s="261"/>
      <c r="F13" s="261"/>
      <c r="G13" s="262"/>
    </row>
    <row r="14" spans="1:9" s="257" customFormat="1" ht="13.5" hidden="1" customHeight="1">
      <c r="A14" s="270" t="s">
        <v>10</v>
      </c>
      <c r="B14" s="258" t="s">
        <v>2347</v>
      </c>
      <c r="C14" s="254"/>
      <c r="D14" s="1030"/>
      <c r="E14" s="261"/>
      <c r="F14" s="261"/>
      <c r="G14" s="262" t="s">
        <v>2348</v>
      </c>
    </row>
    <row r="15" spans="1:9" s="257" customFormat="1" ht="13.5" hidden="1" customHeight="1">
      <c r="A15" s="270" t="s">
        <v>11</v>
      </c>
      <c r="B15" s="258" t="s">
        <v>2349</v>
      </c>
      <c r="C15" s="263"/>
      <c r="D15" s="1030"/>
      <c r="E15" s="261"/>
      <c r="F15" s="261"/>
      <c r="G15" s="262" t="s">
        <v>2350</v>
      </c>
    </row>
    <row r="16" spans="1:9" s="257" customFormat="1" ht="13.5" hidden="1" customHeight="1">
      <c r="A16" s="270" t="s">
        <v>12</v>
      </c>
      <c r="B16" s="258" t="s">
        <v>2347</v>
      </c>
      <c r="C16" s="263"/>
      <c r="D16" s="1030"/>
      <c r="E16" s="261"/>
      <c r="F16" s="261"/>
      <c r="G16" s="262"/>
    </row>
    <row r="17" spans="1:7" s="257" customFormat="1" ht="13.5" hidden="1" customHeight="1">
      <c r="A17" s="270" t="s">
        <v>13</v>
      </c>
      <c r="B17" s="258" t="s">
        <v>2351</v>
      </c>
      <c r="C17" s="272"/>
      <c r="D17" s="1031"/>
      <c r="E17" s="272"/>
      <c r="F17" s="272"/>
      <c r="G17" s="262" t="s">
        <v>2350</v>
      </c>
    </row>
    <row r="18" spans="1:7" s="257" customFormat="1" ht="13.5" hidden="1" customHeight="1">
      <c r="A18" s="270" t="s">
        <v>14</v>
      </c>
      <c r="B18" s="258" t="s">
        <v>2352</v>
      </c>
      <c r="C18" s="263">
        <v>0</v>
      </c>
      <c r="D18" s="1030"/>
      <c r="E18" s="261"/>
      <c r="F18" s="264">
        <v>3.0499999999999999E-2</v>
      </c>
      <c r="G18" s="262" t="s">
        <v>2353</v>
      </c>
    </row>
    <row r="19" spans="1:7" s="266" customFormat="1" ht="13.5" customHeight="1">
      <c r="A19" s="298" t="s">
        <v>2354</v>
      </c>
      <c r="B19" s="253" t="s">
        <v>2355</v>
      </c>
      <c r="C19" s="254" t="str">
        <f>IF(G19="已包含在土地取得成本中","0",ROUND(D19*E19/10000,0))</f>
        <v>0</v>
      </c>
      <c r="D19" s="1032">
        <f ca="1">D9+D10</f>
        <v>63702.12999999999</v>
      </c>
      <c r="E19" s="254">
        <f>'数据-取费表'!B31</f>
        <v>200</v>
      </c>
      <c r="F19" s="274"/>
      <c r="G19" s="2543" t="s">
        <v>3049</v>
      </c>
    </row>
    <row r="20" spans="1:7" s="257" customFormat="1" ht="13.5" customHeight="1">
      <c r="A20" s="298" t="s">
        <v>2356</v>
      </c>
      <c r="B20" s="253" t="s">
        <v>2357</v>
      </c>
      <c r="C20" s="275">
        <f ca="1">ROUND((C5+C19)*F20,0)</f>
        <v>1106</v>
      </c>
      <c r="D20" s="275"/>
      <c r="E20" s="275"/>
      <c r="F20" s="276">
        <f>'数据-取费表'!B37</f>
        <v>1.4999999999999999E-2</v>
      </c>
      <c r="G20" s="277" t="s">
        <v>2358</v>
      </c>
    </row>
    <row r="21" spans="1:7" s="257" customFormat="1" ht="13.5" customHeight="1">
      <c r="A21" s="298" t="s">
        <v>2359</v>
      </c>
      <c r="B21" s="253" t="s">
        <v>2360</v>
      </c>
      <c r="C21" s="278">
        <f>F21</f>
        <v>1.4999999999999999E-2</v>
      </c>
      <c r="D21" s="279" t="s">
        <v>2361</v>
      </c>
      <c r="E21" s="275"/>
      <c r="F21" s="276">
        <f>'数据-取费表'!B38</f>
        <v>1.4999999999999999E-2</v>
      </c>
      <c r="G21" s="277" t="s">
        <v>2362</v>
      </c>
    </row>
    <row r="22" spans="1:7" s="257" customFormat="1" ht="13.5" customHeight="1">
      <c r="A22" s="298" t="s">
        <v>2363</v>
      </c>
      <c r="B22" s="253" t="s">
        <v>2364</v>
      </c>
      <c r="C22" s="1350">
        <f ca="1">ROUND(SUM(C23:C25),0)</f>
        <v>8175</v>
      </c>
      <c r="D22" s="278">
        <f ca="1">C26</f>
        <v>8.0000000000000004E-4</v>
      </c>
      <c r="E22" s="279" t="s">
        <v>2361</v>
      </c>
      <c r="F22" s="280">
        <f ca="1">'数据-取费表'!B40</f>
        <v>4.7500000000000001E-2</v>
      </c>
      <c r="G22" s="277" t="str">
        <f>IF('数据-取费表'!B22&lt;=1,"单利计息","复利计息")</f>
        <v>复利计息</v>
      </c>
    </row>
    <row r="23" spans="1:7" s="257" customFormat="1" ht="13.5" customHeight="1">
      <c r="A23" s="947" t="s">
        <v>2365</v>
      </c>
      <c r="B23" s="258" t="s">
        <v>2366</v>
      </c>
      <c r="C23" s="1351">
        <f ca="1">ROUND(IF('数据-取费表'!B22&lt;=1,C5*F22*'数据-取费表'!B23,C5*(POWER((1+F22),'数据-取费表'!B23)-1)),0)</f>
        <v>8116</v>
      </c>
      <c r="D23" s="281"/>
      <c r="E23" s="281"/>
      <c r="F23" s="282"/>
      <c r="G23" s="283" t="s">
        <v>2367</v>
      </c>
    </row>
    <row r="24" spans="1:7" s="257" customFormat="1" ht="13.5" customHeight="1">
      <c r="A24" s="947" t="s">
        <v>2368</v>
      </c>
      <c r="B24" s="258" t="s">
        <v>2369</v>
      </c>
      <c r="C24" s="1351">
        <f ca="1">ROUND(IF('数据-取费表'!B22&lt;=1,C19*F22*('数据-取费表'!B19/2+'数据-取费表'!B21),C19*(POWER((1+F22),('数据-取费表'!B19/2+'数据-取费表'!B21))-1)),0)</f>
        <v>0</v>
      </c>
      <c r="D24" s="281"/>
      <c r="E24" s="281"/>
      <c r="F24" s="282"/>
      <c r="G24" s="283" t="s">
        <v>2370</v>
      </c>
    </row>
    <row r="25" spans="1:7" s="257" customFormat="1" ht="24">
      <c r="A25" s="947" t="s">
        <v>2371</v>
      </c>
      <c r="B25" s="258" t="s">
        <v>2372</v>
      </c>
      <c r="C25" s="1351">
        <f ca="1">ROUND(IF('数据-取费表'!B22&lt;=1,C20*F22*'数据-取费表'!B23/2,C20*(POWER((1+F22),'数据-取费表'!B23/2)-1)),0)</f>
        <v>59</v>
      </c>
      <c r="D25" s="281"/>
      <c r="E25" s="284"/>
      <c r="F25" s="282"/>
      <c r="G25" s="285" t="s">
        <v>2373</v>
      </c>
    </row>
    <row r="26" spans="1:7" s="257" customFormat="1">
      <c r="A26" s="947" t="s">
        <v>795</v>
      </c>
      <c r="B26" s="258" t="s">
        <v>2374</v>
      </c>
      <c r="C26" s="281">
        <f ca="1">ROUND(IF('数据-取费表'!B22&lt;=1,F21*F22*'数据-取费表'!B23/2,F21*(POWER((1+F22),'数据-取费表'!B23/2)-1)),4)</f>
        <v>8.0000000000000004E-4</v>
      </c>
      <c r="D26" s="281"/>
      <c r="E26" s="284"/>
      <c r="F26" s="282"/>
      <c r="G26" s="286"/>
    </row>
    <row r="27" spans="1:7" s="257" customFormat="1" ht="24.75">
      <c r="A27" s="298" t="s">
        <v>2375</v>
      </c>
      <c r="B27" s="287" t="s">
        <v>2376</v>
      </c>
      <c r="C27" s="288">
        <f ca="1">C28</f>
        <v>7859</v>
      </c>
      <c r="D27" s="278">
        <f ca="1">C29</f>
        <v>1.6000000000000001E-3</v>
      </c>
      <c r="E27" s="279" t="s">
        <v>2377</v>
      </c>
      <c r="F27" s="289">
        <f ca="1">IF(B1="",'数据-取费表'!Q16,INDIRECT("'数据-取费表'!q"&amp;$G$1))</f>
        <v>0.14000000000000001</v>
      </c>
      <c r="G27" s="290" t="s">
        <v>2378</v>
      </c>
    </row>
    <row r="28" spans="1:7" s="257" customFormat="1" ht="13.5" customHeight="1">
      <c r="A28" s="947" t="s">
        <v>791</v>
      </c>
      <c r="B28" s="291" t="s">
        <v>2379</v>
      </c>
      <c r="C28" s="292">
        <f ca="1">ROUND((C5+C19+C20)*F27*'数据-取费表'!B21/'数据-取费表'!B20,0)</f>
        <v>7859</v>
      </c>
      <c r="D28" s="278"/>
      <c r="E28" s="279"/>
      <c r="F28" s="289"/>
      <c r="G28" s="290"/>
    </row>
    <row r="29" spans="1:7" s="257" customFormat="1" ht="13.5" customHeight="1">
      <c r="A29" s="947" t="s">
        <v>792</v>
      </c>
      <c r="B29" s="291" t="s">
        <v>2380</v>
      </c>
      <c r="C29" s="281">
        <f ca="1">ROUND(C21*F27*'数据-取费表'!B21/'数据-取费表'!B20,4)</f>
        <v>1.6000000000000001E-3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97697</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18693</v>
      </c>
      <c r="D33" s="275"/>
      <c r="E33" s="255"/>
      <c r="F33" s="284"/>
      <c r="G33" s="277"/>
    </row>
    <row r="34" spans="1:7" s="301" customFormat="1" ht="13.5" customHeight="1">
      <c r="A34" s="947" t="s">
        <v>791</v>
      </c>
      <c r="B34" s="258" t="s">
        <v>2388</v>
      </c>
      <c r="C34" s="263">
        <f ca="1">IF(B1="",IF(F34=100%,'数据-取费表'!M16,'数据-取费表'!O16),IF(F34=100%,INDIRECT("'数据-取费表'!m"&amp;$G$1)+INDIRECT("'数据-取费表'!t"&amp;$G$1),INDIRECT("'数据-取费表'!o"&amp;$G$1)+INDIRECT("'数据-取费表'!aq"&amp;$G$1)))</f>
        <v>16722</v>
      </c>
      <c r="D34" s="260"/>
      <c r="E34" s="263"/>
      <c r="F34" s="300">
        <f ca="1">IF('数据-取费表'!B24=0,1,IF(B1="",'数据-取费表'!N16,INDIRECT("'数据-取费表'!n"&amp;$G$1)))</f>
        <v>0.75</v>
      </c>
      <c r="G34" s="262" t="s">
        <v>2389</v>
      </c>
    </row>
    <row r="35" spans="1:7" ht="13.5" customHeight="1">
      <c r="A35" s="947" t="s">
        <v>796</v>
      </c>
      <c r="B35" s="258" t="s">
        <v>2390</v>
      </c>
      <c r="C35" s="263">
        <f ca="1">ROUND(C34*F35,0)</f>
        <v>502</v>
      </c>
      <c r="D35" s="263"/>
      <c r="E35" s="263"/>
      <c r="F35" s="302">
        <f>'数据-取费表'!B33</f>
        <v>0.03</v>
      </c>
      <c r="G35" s="262" t="s">
        <v>2391</v>
      </c>
    </row>
    <row r="36" spans="1:7" ht="24">
      <c r="A36" s="947" t="s">
        <v>797</v>
      </c>
      <c r="B36" s="258" t="s">
        <v>2392</v>
      </c>
      <c r="C36" s="263">
        <f ca="1">ROUND(IF(B1="",SUMIF('数据-取费表'!C:C,"住宅",IF(F34=100%,'数据-取费表'!M:M,'数据-取费表'!O:O))*F36,IF(INDIRECT("'数据-取费表'!c"&amp;$G$1)="住宅",IF(F34=100%,INDIRECT("'数据-取费表'!m"&amp;$G$1)*F36,INDIRECT("'数据-取费表'!o"&amp;$G$1)*F36),0)),0)</f>
        <v>262</v>
      </c>
      <c r="D36" s="263"/>
      <c r="E36" s="263"/>
      <c r="F36" s="302">
        <f>'数据-取费表'!B34</f>
        <v>0.05</v>
      </c>
      <c r="G36" s="303" t="s">
        <v>2393</v>
      </c>
    </row>
    <row r="37" spans="1:7" s="301" customFormat="1" ht="13.5" customHeight="1">
      <c r="A37" s="947" t="s">
        <v>798</v>
      </c>
      <c r="B37" s="258" t="s">
        <v>2394</v>
      </c>
      <c r="C37" s="292">
        <f ca="1">ROUND(E37*D37*F34/10000,0)</f>
        <v>956</v>
      </c>
      <c r="D37" s="260">
        <f ca="1">D19</f>
        <v>63702.12999999999</v>
      </c>
      <c r="E37" s="292">
        <f>'数据-取费表'!B35</f>
        <v>200</v>
      </c>
      <c r="F37" s="302"/>
      <c r="G37" s="304" t="s">
        <v>2395</v>
      </c>
    </row>
    <row r="38" spans="1:7" ht="13.5" customHeight="1">
      <c r="A38" s="947" t="s">
        <v>799</v>
      </c>
      <c r="B38" s="258" t="s">
        <v>2396</v>
      </c>
      <c r="C38" s="263">
        <f ca="1">ROUND(C34*F38,0)</f>
        <v>251</v>
      </c>
      <c r="D38" s="263"/>
      <c r="E38" s="263"/>
      <c r="F38" s="302">
        <f>'数据-取费表'!B36</f>
        <v>1.4999999999999999E-2</v>
      </c>
      <c r="G38" s="262" t="s">
        <v>2391</v>
      </c>
    </row>
    <row r="39" spans="1:7" s="257" customFormat="1" ht="13.5" customHeight="1">
      <c r="A39" s="298" t="s">
        <v>2397</v>
      </c>
      <c r="B39" s="253" t="s">
        <v>2398</v>
      </c>
      <c r="C39" s="275">
        <f ca="1">ROUND(C33*F20,0)</f>
        <v>280</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1017</v>
      </c>
      <c r="D41" s="278">
        <f ca="1">C44</f>
        <v>8.0000000000000004E-4</v>
      </c>
      <c r="E41" s="279" t="s">
        <v>2402</v>
      </c>
      <c r="F41" s="280"/>
      <c r="G41" s="277" t="str">
        <f>IF('数据-取费表'!B22&lt;=1,"单利计息","复利计息")</f>
        <v>复利计息</v>
      </c>
    </row>
    <row r="42" spans="1:7" ht="13.5" customHeight="1">
      <c r="A42" s="947" t="s">
        <v>791</v>
      </c>
      <c r="B42" s="258" t="s">
        <v>2406</v>
      </c>
      <c r="C42" s="281">
        <f ca="1">ROUND(IF('数据-取费表'!B22&lt;=1,C33*F22*'数据-取费表'!B21/2,C33*(POWER((1+F22),'数据-取费表'!B21/2)-1)),0)</f>
        <v>1002</v>
      </c>
      <c r="D42" s="281"/>
      <c r="E42" s="281"/>
      <c r="F42" s="282"/>
      <c r="G42" s="3194" t="s">
        <v>2407</v>
      </c>
    </row>
    <row r="43" spans="1:7" ht="13.5" customHeight="1">
      <c r="A43" s="947" t="s">
        <v>792</v>
      </c>
      <c r="B43" s="258" t="s">
        <v>2408</v>
      </c>
      <c r="C43" s="281">
        <f ca="1">ROUND(IF('数据-取费表'!B22&lt;=1,C39*F22*'数据-取费表'!B21/2,C39*(POWER((1+F22),'数据-取费表'!B21/2)-1)),0)</f>
        <v>15</v>
      </c>
      <c r="D43" s="281"/>
      <c r="E43" s="281"/>
      <c r="F43" s="282"/>
      <c r="G43" s="3195"/>
    </row>
    <row r="44" spans="1:7" ht="13.5" customHeight="1">
      <c r="A44" s="947" t="s">
        <v>793</v>
      </c>
      <c r="B44" s="258" t="s">
        <v>2409</v>
      </c>
      <c r="C44" s="281">
        <f ca="1">ROUND(IF('数据-取费表'!B22&lt;=1,C40*F22*'数据-取费表'!B21/2,C40*(POWER((1+F22),'数据-取费表'!B21/2)-1)),4)</f>
        <v>8.0000000000000004E-4</v>
      </c>
      <c r="D44" s="281"/>
      <c r="E44" s="281"/>
      <c r="F44" s="282"/>
      <c r="G44" s="3196"/>
    </row>
    <row r="45" spans="1:7" s="257" customFormat="1" ht="13.5" customHeight="1">
      <c r="A45" s="298" t="s">
        <v>2410</v>
      </c>
      <c r="B45" s="287" t="s">
        <v>2376</v>
      </c>
      <c r="C45" s="288">
        <f ca="1">C46</f>
        <v>2656</v>
      </c>
      <c r="D45" s="278">
        <f ca="1">C47</f>
        <v>2.0999999999999999E-3</v>
      </c>
      <c r="E45" s="279" t="s">
        <v>2402</v>
      </c>
      <c r="F45" s="289"/>
      <c r="G45" s="290" t="s">
        <v>2411</v>
      </c>
    </row>
    <row r="46" spans="1:7" s="257" customFormat="1" ht="13.5" customHeight="1">
      <c r="A46" s="947" t="s">
        <v>791</v>
      </c>
      <c r="B46" s="291" t="s">
        <v>2412</v>
      </c>
      <c r="C46" s="292">
        <f ca="1">ROUND((C33+C39)*F27,0)</f>
        <v>2656</v>
      </c>
      <c r="D46" s="306"/>
      <c r="E46" s="279"/>
      <c r="F46" s="289"/>
      <c r="G46" s="290"/>
    </row>
    <row r="47" spans="1:7" s="257" customFormat="1" ht="13.5" customHeight="1">
      <c r="A47" s="947" t="s">
        <v>792</v>
      </c>
      <c r="B47" s="291" t="s">
        <v>2413</v>
      </c>
      <c r="C47" s="281">
        <f ca="1">ROUND(C40*F27,4)</f>
        <v>2.0999999999999999E-3</v>
      </c>
      <c r="D47" s="306"/>
      <c r="E47" s="279"/>
      <c r="F47" s="289"/>
      <c r="G47" s="290"/>
    </row>
    <row r="48" spans="1:7" s="257" customFormat="1" ht="13.5" customHeight="1">
      <c r="A48" s="298" t="s">
        <v>2375</v>
      </c>
      <c r="B48" s="253" t="s">
        <v>2414</v>
      </c>
      <c r="C48" s="1722">
        <f>ROUND(F30/(1+'数据-取费表'!C42),4)</f>
        <v>5.2400000000000002E-2</v>
      </c>
      <c r="D48" s="279" t="s">
        <v>2402</v>
      </c>
      <c r="E48" s="275"/>
      <c r="F48" s="280"/>
      <c r="G48" s="277" t="s">
        <v>2415</v>
      </c>
    </row>
    <row r="49" spans="1:7" ht="16.5" customHeight="1">
      <c r="A49" s="298" t="s">
        <v>2381</v>
      </c>
      <c r="B49" s="253" t="s">
        <v>2416</v>
      </c>
      <c r="C49" s="275">
        <f ca="1">ROUND((C33+C39+C41+C45)/(1-C40-D41-D45-C48),0)</f>
        <v>24358</v>
      </c>
      <c r="D49" s="275"/>
      <c r="E49" s="275"/>
      <c r="F49" s="307"/>
      <c r="G49" s="277" t="s">
        <v>2417</v>
      </c>
    </row>
    <row r="50" spans="1:7" s="301" customFormat="1" ht="24">
      <c r="A50" s="298" t="s">
        <v>2418</v>
      </c>
      <c r="B50" s="253" t="s">
        <v>2419</v>
      </c>
      <c r="C50" s="275"/>
      <c r="D50" s="275"/>
      <c r="E50" s="275"/>
      <c r="F50" s="307">
        <f>IF('数据-取费表'!B24=0,'数据-取费表'!N16,1)</f>
        <v>1</v>
      </c>
      <c r="G50" s="290" t="s">
        <v>2420</v>
      </c>
    </row>
    <row r="51" spans="1:7" ht="16.5" customHeight="1">
      <c r="A51" s="298" t="s">
        <v>2421</v>
      </c>
      <c r="B51" s="253" t="s">
        <v>2422</v>
      </c>
      <c r="C51" s="275">
        <f ca="1">ROUND(C49*F50,0)</f>
        <v>24358</v>
      </c>
      <c r="D51" s="275"/>
      <c r="E51" s="275"/>
      <c r="F51" s="307"/>
      <c r="G51" s="277" t="s">
        <v>2423</v>
      </c>
    </row>
    <row r="52" spans="1:7" s="251" customFormat="1" ht="16.5" thickBot="1">
      <c r="A52" s="308" t="s">
        <v>2424</v>
      </c>
      <c r="B52" s="309"/>
      <c r="C52" s="310">
        <f ca="1">C31+C51</f>
        <v>122055</v>
      </c>
      <c r="D52" s="309"/>
      <c r="E52" s="309"/>
      <c r="F52" s="309"/>
      <c r="G52" s="311"/>
    </row>
    <row r="55" spans="1:7" ht="15">
      <c r="B55" s="313" t="s">
        <v>2425</v>
      </c>
      <c r="C55" s="314"/>
    </row>
    <row r="56" spans="1:7">
      <c r="B56" s="316" t="s">
        <v>1514</v>
      </c>
      <c r="C56" s="318">
        <f ca="1">1-C57</f>
        <v>0.8</v>
      </c>
    </row>
    <row r="57" spans="1:7">
      <c r="B57" s="316" t="s">
        <v>1515</v>
      </c>
      <c r="C57" s="317">
        <f ca="1">ROUND(C51/C52,3)</f>
        <v>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1"/>
      <c r="C1" s="2546" t="s">
        <v>2426</v>
      </c>
      <c r="D1" s="241"/>
      <c r="E1" s="241"/>
      <c r="F1" s="241"/>
      <c r="G1" s="1375">
        <f>MATCH(B1,'数据-取费表'!A6:A16,0)+5</f>
        <v>10</v>
      </c>
      <c r="H1" s="1278" t="str">
        <f>IF(ISERROR(FIND("住宅",B1)),"非住宅","住宅")</f>
        <v>非住宅</v>
      </c>
    </row>
    <row r="2" spans="1:8" s="243" customFormat="1" ht="18" customHeight="1">
      <c r="A2" s="244" t="s">
        <v>2325</v>
      </c>
      <c r="B2" s="245" t="e">
        <f ca="1">ROUND(IF(D2="——",C52/10000,C52/10000-E2),0)</f>
        <v>#DIV/0!</v>
      </c>
      <c r="C2" s="242" t="s">
        <v>2326</v>
      </c>
      <c r="D2" s="2540" t="s">
        <v>70</v>
      </c>
      <c r="E2" s="1435" t="e">
        <f ca="1">SUMIF(INDIRECT("'"&amp;G2&amp;"'"&amp;"!A:A"),"承租人权益价值",INDIRECT("'"&amp;G2&amp;"'"&amp;"!c:c"))</f>
        <v>#REF!</v>
      </c>
      <c r="F2" s="2541" t="s">
        <v>2326</v>
      </c>
      <c r="G2" s="2542"/>
    </row>
    <row r="3" spans="1:8" s="243" customFormat="1" ht="18" customHeight="1" thickBot="1">
      <c r="A3" s="246" t="s">
        <v>2327</v>
      </c>
      <c r="B3" s="247" t="e">
        <f ca="1">ROUND(B2*10000/(IF(B1="",'数据-汇总表'!E3,INDIRECT("'数据-取费表'!k"&amp;$G$1))),0)</f>
        <v>#DIV/0!</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t="e">
        <f ca="1">C6+C7+C8</f>
        <v>#DIV/0!</v>
      </c>
      <c r="D5" s="254" t="s">
        <v>2332</v>
      </c>
      <c r="E5" s="255" t="s">
        <v>2333</v>
      </c>
      <c r="F5" s="255" t="s">
        <v>2334</v>
      </c>
      <c r="G5" s="256"/>
    </row>
    <row r="6" spans="1:8" s="257" customFormat="1" ht="13.5" customHeight="1">
      <c r="A6" s="945" t="s">
        <v>2335</v>
      </c>
      <c r="B6" s="258" t="s">
        <v>2336</v>
      </c>
      <c r="C6" s="259" t="e">
        <f ca="1">基准地价修正!B2*10000</f>
        <v>#DIV/0!</v>
      </c>
      <c r="D6" s="260"/>
      <c r="E6" s="261"/>
      <c r="F6" s="261"/>
      <c r="G6" s="262"/>
    </row>
    <row r="7" spans="1:8" s="257" customFormat="1" ht="13.5" customHeight="1">
      <c r="A7" s="945" t="s">
        <v>2337</v>
      </c>
      <c r="B7" s="258" t="s">
        <v>2338</v>
      </c>
      <c r="C7" s="263" t="e">
        <f ca="1">ROUND(C6*F7,0)</f>
        <v>#DIV/0!</v>
      </c>
      <c r="D7" s="263"/>
      <c r="E7" s="261"/>
      <c r="F7" s="264">
        <f>'数据-取费表'!B48+'数据-取费表'!B49</f>
        <v>3.0499999999999999E-2</v>
      </c>
      <c r="G7" s="262"/>
    </row>
    <row r="8" spans="1:8" s="266" customFormat="1">
      <c r="A8" s="945" t="s">
        <v>2339</v>
      </c>
      <c r="B8" s="258" t="s">
        <v>2340</v>
      </c>
      <c r="C8" s="263">
        <f>IF(G8="已包含在土地购买价格中",0,C9+C10)</f>
        <v>0</v>
      </c>
      <c r="D8" s="265"/>
      <c r="E8" s="263"/>
      <c r="F8" s="264"/>
      <c r="G8" s="2543" t="s">
        <v>1148</v>
      </c>
    </row>
    <row r="9" spans="1:8" s="257" customFormat="1" ht="13.5" customHeight="1">
      <c r="A9" s="946" t="s">
        <v>800</v>
      </c>
      <c r="B9" s="267" t="s">
        <v>2341</v>
      </c>
      <c r="C9" s="268">
        <f ca="1">ROUND(D9*E9,0)</f>
        <v>2998518</v>
      </c>
      <c r="D9" s="1028">
        <f ca="1">IF(B1="",'数据-汇总表'!E5,IF(INDIRECT("'数据-取费表'!c"&amp;$G$1)="住宅",INDIRECT("'数据-取费表'!k"&amp;$G$1),0))</f>
        <v>19990.119999999995</v>
      </c>
      <c r="E9" s="268">
        <f>'数据-取费表'!B27</f>
        <v>150</v>
      </c>
      <c r="F9" s="264"/>
      <c r="G9" s="269"/>
    </row>
    <row r="10" spans="1:8" s="257" customFormat="1" ht="13.5" customHeight="1">
      <c r="A10" s="946" t="s">
        <v>801</v>
      </c>
      <c r="B10" s="267" t="s">
        <v>2343</v>
      </c>
      <c r="C10" s="268">
        <f ca="1">ROUND(D10*E10,0)</f>
        <v>8305282</v>
      </c>
      <c r="D10" s="1028">
        <f ca="1">IF(B1="",'数据-汇总表'!E6,IF(INDIRECT("'数据-取费表'!c"&amp;$G$1)="住宅",INDIRECT("'数据-取费表'!s"&amp;$G$1),INDIRECT("'数据-取费表'!k"&amp;$G$1)+INDIRECT("'数据-取费表'!s"&amp;$G$1)))</f>
        <v>43712.009999999995</v>
      </c>
      <c r="E10" s="268">
        <f>'数据-取费表'!B28</f>
        <v>190</v>
      </c>
      <c r="F10" s="264"/>
      <c r="G10" s="269"/>
    </row>
    <row r="11" spans="1:8" s="257" customFormat="1" ht="13.5" hidden="1" customHeight="1">
      <c r="A11" s="270" t="s">
        <v>7</v>
      </c>
      <c r="B11" s="258" t="s">
        <v>2344</v>
      </c>
      <c r="C11" s="254"/>
      <c r="D11" s="1030"/>
      <c r="E11" s="261"/>
      <c r="F11" s="261"/>
      <c r="G11" s="262"/>
    </row>
    <row r="12" spans="1:8" s="257" customFormat="1" ht="13.5" hidden="1" customHeight="1">
      <c r="A12" s="270" t="s">
        <v>8</v>
      </c>
      <c r="B12" s="258" t="s">
        <v>2427</v>
      </c>
      <c r="C12" s="254">
        <v>0</v>
      </c>
      <c r="D12" s="1030"/>
      <c r="E12" s="271"/>
      <c r="F12" s="264">
        <v>3.0499999999999999E-2</v>
      </c>
      <c r="G12" s="262"/>
    </row>
    <row r="13" spans="1:8" s="257" customFormat="1" ht="13.5" hidden="1" customHeight="1">
      <c r="A13" s="270" t="s">
        <v>9</v>
      </c>
      <c r="B13" s="258" t="s">
        <v>2428</v>
      </c>
      <c r="C13" s="254"/>
      <c r="D13" s="1030"/>
      <c r="E13" s="261"/>
      <c r="F13" s="261"/>
      <c r="G13" s="262"/>
    </row>
    <row r="14" spans="1:8" s="257" customFormat="1" ht="13.5" hidden="1" customHeight="1">
      <c r="A14" s="270" t="s">
        <v>10</v>
      </c>
      <c r="B14" s="258" t="s">
        <v>2340</v>
      </c>
      <c r="C14" s="254"/>
      <c r="D14" s="1030"/>
      <c r="E14" s="261"/>
      <c r="F14" s="261"/>
      <c r="G14" s="262" t="s">
        <v>2429</v>
      </c>
    </row>
    <row r="15" spans="1:8" s="257" customFormat="1" ht="13.5" hidden="1" customHeight="1">
      <c r="A15" s="270" t="s">
        <v>11</v>
      </c>
      <c r="B15" s="258" t="s">
        <v>2430</v>
      </c>
      <c r="C15" s="263"/>
      <c r="D15" s="1030"/>
      <c r="E15" s="261"/>
      <c r="F15" s="261"/>
      <c r="G15" s="262" t="s">
        <v>2431</v>
      </c>
    </row>
    <row r="16" spans="1:8" s="257" customFormat="1" ht="13.5" hidden="1" customHeight="1">
      <c r="A16" s="270" t="s">
        <v>12</v>
      </c>
      <c r="B16" s="258" t="s">
        <v>2340</v>
      </c>
      <c r="C16" s="263"/>
      <c r="D16" s="1030"/>
      <c r="E16" s="261"/>
      <c r="F16" s="261"/>
      <c r="G16" s="262"/>
    </row>
    <row r="17" spans="1:7" s="257" customFormat="1" ht="13.5" hidden="1" customHeight="1">
      <c r="A17" s="270" t="s">
        <v>13</v>
      </c>
      <c r="B17" s="258" t="s">
        <v>2432</v>
      </c>
      <c r="C17" s="272"/>
      <c r="D17" s="1031"/>
      <c r="E17" s="272"/>
      <c r="F17" s="272"/>
      <c r="G17" s="262" t="s">
        <v>2431</v>
      </c>
    </row>
    <row r="18" spans="1:7" s="257" customFormat="1" ht="13.5" hidden="1" customHeight="1">
      <c r="A18" s="270" t="s">
        <v>14</v>
      </c>
      <c r="B18" s="258" t="s">
        <v>2433</v>
      </c>
      <c r="C18" s="263">
        <v>0</v>
      </c>
      <c r="D18" s="1030"/>
      <c r="E18" s="261"/>
      <c r="F18" s="264">
        <v>3.0499999999999999E-2</v>
      </c>
      <c r="G18" s="262" t="s">
        <v>2434</v>
      </c>
    </row>
    <row r="19" spans="1:7" s="266" customFormat="1" ht="13.5" customHeight="1">
      <c r="A19" s="298" t="s">
        <v>2435</v>
      </c>
      <c r="B19" s="253" t="s">
        <v>2436</v>
      </c>
      <c r="C19" s="254" t="str">
        <f>IF(G19="已包含在土地取得成本中","0",ROUND(D19*E19,0))</f>
        <v>0</v>
      </c>
      <c r="D19" s="1032">
        <f ca="1">D9+D10</f>
        <v>63702.12999999999</v>
      </c>
      <c r="E19" s="254">
        <f>'数据-取费表'!B31</f>
        <v>200</v>
      </c>
      <c r="F19" s="274"/>
      <c r="G19" s="2543" t="s">
        <v>3049</v>
      </c>
    </row>
    <row r="20" spans="1:7" s="257" customFormat="1" ht="13.5" customHeight="1">
      <c r="A20" s="298" t="s">
        <v>2437</v>
      </c>
      <c r="B20" s="253" t="s">
        <v>2438</v>
      </c>
      <c r="C20" s="275" t="e">
        <f ca="1">ROUND((C5+C19)*F20,0)</f>
        <v>#DIV/0!</v>
      </c>
      <c r="D20" s="275"/>
      <c r="E20" s="275"/>
      <c r="F20" s="276">
        <f>'数据-取费表'!B37</f>
        <v>1.4999999999999999E-2</v>
      </c>
      <c r="G20" s="277" t="s">
        <v>2439</v>
      </c>
    </row>
    <row r="21" spans="1:7" s="257" customFormat="1" ht="13.5" customHeight="1">
      <c r="A21" s="298" t="s">
        <v>2440</v>
      </c>
      <c r="B21" s="253" t="s">
        <v>2441</v>
      </c>
      <c r="C21" s="278">
        <f>F21</f>
        <v>1.4999999999999999E-2</v>
      </c>
      <c r="D21" s="279" t="s">
        <v>2442</v>
      </c>
      <c r="E21" s="275"/>
      <c r="F21" s="276">
        <f>'数据-取费表'!B38</f>
        <v>1.4999999999999999E-2</v>
      </c>
      <c r="G21" s="277" t="s">
        <v>2443</v>
      </c>
    </row>
    <row r="22" spans="1:7" s="257" customFormat="1" ht="13.5" customHeight="1">
      <c r="A22" s="298" t="s">
        <v>2444</v>
      </c>
      <c r="B22" s="253" t="s">
        <v>2445</v>
      </c>
      <c r="C22" s="1376" t="e">
        <f ca="1">ROUND(SUM(C23:C25),0)</f>
        <v>#DIV/0!</v>
      </c>
      <c r="D22" s="278">
        <f ca="1">C26</f>
        <v>1.1000000000000001E-3</v>
      </c>
      <c r="E22" s="279" t="s">
        <v>2442</v>
      </c>
      <c r="F22" s="280">
        <f ca="1">'数据-取费表'!B40</f>
        <v>4.7500000000000001E-2</v>
      </c>
      <c r="G22" s="277" t="str">
        <f>IF('数据-取费表'!B22&lt;=1,"单利计息","复利计息")</f>
        <v>复利计息</v>
      </c>
    </row>
    <row r="23" spans="1:7" s="257" customFormat="1" ht="13.5" customHeight="1">
      <c r="A23" s="947" t="s">
        <v>2335</v>
      </c>
      <c r="B23" s="258" t="s">
        <v>2446</v>
      </c>
      <c r="C23" s="1377" t="e">
        <f ca="1">ROUND(IF('数据-取费表'!B22&lt;=1,C5*F22*'数据-取费表'!B22,C5*(POWER((1+F22),'数据-取费表'!B22)-1)),0)</f>
        <v>#DIV/0!</v>
      </c>
      <c r="D23" s="281"/>
      <c r="E23" s="281"/>
      <c r="F23" s="282"/>
      <c r="G23" s="283" t="s">
        <v>2447</v>
      </c>
    </row>
    <row r="24" spans="1:7" s="257" customFormat="1" ht="13.5" customHeight="1">
      <c r="A24" s="947" t="s">
        <v>2337</v>
      </c>
      <c r="B24" s="258" t="s">
        <v>2448</v>
      </c>
      <c r="C24" s="1377">
        <f ca="1">ROUND(IF('数据-取费表'!B22&lt;=1,C19*F22*('数据-取费表'!B19/2+'数据-取费表'!B20),C19*(POWER((1+F22),('数据-取费表'!B19/2+'数据-取费表'!B20))-1)),0)</f>
        <v>0</v>
      </c>
      <c r="D24" s="281"/>
      <c r="E24" s="281"/>
      <c r="F24" s="282"/>
      <c r="G24" s="283" t="s">
        <v>2449</v>
      </c>
    </row>
    <row r="25" spans="1:7" s="257" customFormat="1" ht="24">
      <c r="A25" s="947" t="s">
        <v>2339</v>
      </c>
      <c r="B25" s="258" t="s">
        <v>2450</v>
      </c>
      <c r="C25" s="1377" t="e">
        <f ca="1">ROUND(IF('数据-取费表'!B22&lt;=1,C20*F22*'数据-取费表'!B22/2,C20*(POWER((1+F22),'数据-取费表'!B22/2)-1)),0)</f>
        <v>#DIV/0!</v>
      </c>
      <c r="D25" s="281"/>
      <c r="E25" s="284"/>
      <c r="F25" s="282"/>
      <c r="G25" s="285" t="s">
        <v>2451</v>
      </c>
    </row>
    <row r="26" spans="1:7" s="257" customFormat="1">
      <c r="A26" s="947" t="s">
        <v>795</v>
      </c>
      <c r="B26" s="258" t="s">
        <v>2374</v>
      </c>
      <c r="C26" s="281">
        <f ca="1">ROUND(IF('数据-取费表'!B22&lt;=1,F21*F22*'数据-取费表'!B22/2,F21*(POWER((1+F22),'数据-取费表'!B22/2)-1)),4)</f>
        <v>1.1000000000000001E-3</v>
      </c>
      <c r="D26" s="281"/>
      <c r="E26" s="284"/>
      <c r="F26" s="282"/>
      <c r="G26" s="286"/>
    </row>
    <row r="27" spans="1:7" s="257" customFormat="1" ht="24.75">
      <c r="A27" s="298" t="s">
        <v>2375</v>
      </c>
      <c r="B27" s="287" t="s">
        <v>2376</v>
      </c>
      <c r="C27" s="288" t="e">
        <f ca="1">C28</f>
        <v>#DIV/0!</v>
      </c>
      <c r="D27" s="278">
        <f ca="1">C29</f>
        <v>2.0999999999999999E-3</v>
      </c>
      <c r="E27" s="279" t="s">
        <v>2377</v>
      </c>
      <c r="F27" s="289">
        <f ca="1">IF(B1="",'数据-取费表'!Q16,INDIRECT("'数据-取费表'!q"&amp;$G$1))</f>
        <v>0.14000000000000001</v>
      </c>
      <c r="G27" s="290" t="s">
        <v>2378</v>
      </c>
    </row>
    <row r="28" spans="1:7" s="257" customFormat="1" ht="13.5" customHeight="1">
      <c r="A28" s="947" t="s">
        <v>791</v>
      </c>
      <c r="B28" s="291" t="s">
        <v>2379</v>
      </c>
      <c r="C28" s="292" t="e">
        <f ca="1">ROUND((C5+C19+C20)*F27,0)</f>
        <v>#DIV/0!</v>
      </c>
      <c r="D28" s="278"/>
      <c r="E28" s="279"/>
      <c r="F28" s="289"/>
      <c r="G28" s="290"/>
    </row>
    <row r="29" spans="1:7" s="257" customFormat="1" ht="13.5" customHeight="1">
      <c r="A29" s="947" t="s">
        <v>792</v>
      </c>
      <c r="B29" s="291" t="s">
        <v>2380</v>
      </c>
      <c r="C29" s="281">
        <f ca="1">ROUND(C21*F27,4)</f>
        <v>2.0999999999999999E-3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t="e">
        <f ca="1">ROUND((C5+C19+C20+C22+C27)/(1-C21-D22-D27-C30),0)</f>
        <v>#DIV/0!</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249229238</v>
      </c>
      <c r="D33" s="275"/>
      <c r="E33" s="255"/>
      <c r="F33" s="284"/>
      <c r="G33" s="277"/>
    </row>
    <row r="34" spans="1:7" s="301" customFormat="1" ht="13.5" customHeight="1">
      <c r="A34" s="947" t="s">
        <v>791</v>
      </c>
      <c r="B34" s="258" t="s">
        <v>2388</v>
      </c>
      <c r="C34" s="263">
        <f ca="1">ROUND(IF(B1="",SUMPRODUCT('数据-取费表'!K6:K14,'数据-取费表'!L6:L14),INDIRECT("'数据-取费表'!l"&amp;$G$1)*INDIRECT("'数据-取费表'!k"&amp;$G$1)+'数据-取费表'!L14*INDIRECT("'数据-取费表'!S"&amp;$G$1)),0)</f>
        <v>222957455</v>
      </c>
      <c r="D34" s="260"/>
      <c r="E34" s="263"/>
      <c r="F34" s="300"/>
      <c r="G34" s="262"/>
    </row>
    <row r="35" spans="1:7" ht="13.5" customHeight="1">
      <c r="A35" s="947" t="s">
        <v>796</v>
      </c>
      <c r="B35" s="258" t="s">
        <v>2390</v>
      </c>
      <c r="C35" s="263">
        <f ca="1">ROUND(C34*F35,0)</f>
        <v>6688724</v>
      </c>
      <c r="D35" s="263"/>
      <c r="E35" s="263"/>
      <c r="F35" s="302">
        <f>'数据-取费表'!B33</f>
        <v>0.03</v>
      </c>
      <c r="G35" s="262" t="s">
        <v>2391</v>
      </c>
    </row>
    <row r="36" spans="1:7" ht="24">
      <c r="A36" s="947" t="s">
        <v>797</v>
      </c>
      <c r="B36" s="258" t="s">
        <v>2392</v>
      </c>
      <c r="C36" s="263">
        <f ca="1">ROUND(IF(B1="",SUM('数据-取费表'!AP6:AP13)*F36,IF(INDIRECT("'数据-取费表'!c"&amp;$G$1)="住宅",INDIRECT("'数据-取费表'!k"&amp;$G$1)*INDIRECT("'数据-取费表'!l"&amp;$G$1)*F36,0)),0)</f>
        <v>3498271</v>
      </c>
      <c r="D36" s="263"/>
      <c r="E36" s="263"/>
      <c r="F36" s="302">
        <f>'数据-取费表'!B34</f>
        <v>0.05</v>
      </c>
      <c r="G36" s="303" t="s">
        <v>2393</v>
      </c>
    </row>
    <row r="37" spans="1:7" s="301" customFormat="1" ht="13.5" customHeight="1">
      <c r="A37" s="947" t="s">
        <v>798</v>
      </c>
      <c r="B37" s="258" t="s">
        <v>2394</v>
      </c>
      <c r="C37" s="292">
        <f ca="1">ROUND(E37*D37,0)</f>
        <v>12740426</v>
      </c>
      <c r="D37" s="260">
        <f ca="1">D19</f>
        <v>63702.12999999999</v>
      </c>
      <c r="E37" s="292">
        <f>'数据-取费表'!B35</f>
        <v>200</v>
      </c>
      <c r="F37" s="302"/>
      <c r="G37" s="304"/>
    </row>
    <row r="38" spans="1:7" ht="13.5" customHeight="1">
      <c r="A38" s="947" t="s">
        <v>799</v>
      </c>
      <c r="B38" s="258" t="s">
        <v>2396</v>
      </c>
      <c r="C38" s="263">
        <f ca="1">ROUND(C34*F38,0)</f>
        <v>3344362</v>
      </c>
      <c r="D38" s="263"/>
      <c r="E38" s="263"/>
      <c r="F38" s="302">
        <f>'数据-取费表'!B36</f>
        <v>1.4999999999999999E-2</v>
      </c>
      <c r="G38" s="262" t="s">
        <v>2391</v>
      </c>
    </row>
    <row r="39" spans="1:7" s="257" customFormat="1" ht="13.5" customHeight="1">
      <c r="A39" s="298" t="s">
        <v>2397</v>
      </c>
      <c r="B39" s="253" t="s">
        <v>2398</v>
      </c>
      <c r="C39" s="275">
        <f ca="1">ROUND(C33*F20,0)</f>
        <v>3738439</v>
      </c>
      <c r="D39" s="275"/>
      <c r="E39" s="275"/>
      <c r="F39" s="276"/>
      <c r="G39" s="277" t="s">
        <v>2399</v>
      </c>
    </row>
    <row r="40" spans="1:7" s="257" customFormat="1" ht="13.5" customHeight="1">
      <c r="A40" s="298" t="s">
        <v>2400</v>
      </c>
      <c r="B40" s="253" t="s">
        <v>2401</v>
      </c>
      <c r="C40" s="1722">
        <f>F21</f>
        <v>1.4999999999999999E-2</v>
      </c>
      <c r="D40" s="279" t="s">
        <v>2402</v>
      </c>
      <c r="E40" s="275"/>
      <c r="F40" s="276"/>
      <c r="G40" s="277" t="s">
        <v>2403</v>
      </c>
    </row>
    <row r="41" spans="1:7" s="257" customFormat="1" ht="13.5" customHeight="1">
      <c r="A41" s="298" t="s">
        <v>2404</v>
      </c>
      <c r="B41" s="253" t="s">
        <v>2405</v>
      </c>
      <c r="C41" s="275">
        <f ca="1">ROUND(SUM(C42:C43),0)</f>
        <v>18236316</v>
      </c>
      <c r="D41" s="278">
        <f ca="1">C44</f>
        <v>1.1000000000000001E-3</v>
      </c>
      <c r="E41" s="279" t="s">
        <v>2402</v>
      </c>
      <c r="F41" s="280"/>
      <c r="G41" s="277" t="str">
        <f>IF('数据-取费表'!B22&lt;=1,"单利计息","复利计息")</f>
        <v>复利计息</v>
      </c>
    </row>
    <row r="42" spans="1:7" ht="13.5" customHeight="1">
      <c r="A42" s="947" t="s">
        <v>791</v>
      </c>
      <c r="B42" s="258" t="s">
        <v>2406</v>
      </c>
      <c r="C42" s="281">
        <f ca="1">ROUND(IF('数据-取费表'!B22&lt;=1,C33*F22*'数据-取费表'!B20/2,C33*(POWER((1+F22),'数据-取费表'!B20/2)-1)),0)</f>
        <v>17966814</v>
      </c>
      <c r="D42" s="281"/>
      <c r="E42" s="281"/>
      <c r="F42" s="282"/>
      <c r="G42" s="3194" t="s">
        <v>2454</v>
      </c>
    </row>
    <row r="43" spans="1:7" ht="13.5" customHeight="1">
      <c r="A43" s="947" t="s">
        <v>792</v>
      </c>
      <c r="B43" s="258" t="s">
        <v>2408</v>
      </c>
      <c r="C43" s="281">
        <f ca="1">ROUND(IF('数据-取费表'!B22&lt;=1,C39*F22*'数据-取费表'!B20/2,C39*(POWER((1+F22),'数据-取费表'!B20/2)-1)),0)</f>
        <v>269502</v>
      </c>
      <c r="D43" s="281"/>
      <c r="E43" s="281"/>
      <c r="F43" s="282"/>
      <c r="G43" s="3195"/>
    </row>
    <row r="44" spans="1:7" ht="13.5" customHeight="1">
      <c r="A44" s="947" t="s">
        <v>793</v>
      </c>
      <c r="B44" s="258" t="s">
        <v>2409</v>
      </c>
      <c r="C44" s="281">
        <f ca="1">ROUND(IF('数据-取费表'!B22&lt;=1,C40*F22*'数据-取费表'!B20/2,C40*(POWER((1+F22),'数据-取费表'!B20/2)-1)),4)</f>
        <v>1.1000000000000001E-3</v>
      </c>
      <c r="D44" s="281"/>
      <c r="E44" s="281"/>
      <c r="F44" s="282"/>
      <c r="G44" s="3196"/>
    </row>
    <row r="45" spans="1:7" s="257" customFormat="1" ht="13.5" customHeight="1">
      <c r="A45" s="298" t="s">
        <v>2410</v>
      </c>
      <c r="B45" s="287" t="s">
        <v>2376</v>
      </c>
      <c r="C45" s="288">
        <f ca="1">C46</f>
        <v>35415475</v>
      </c>
      <c r="D45" s="278">
        <f ca="1">C47</f>
        <v>2.0999999999999999E-3</v>
      </c>
      <c r="E45" s="279" t="s">
        <v>2402</v>
      </c>
      <c r="F45" s="289"/>
      <c r="G45" s="290" t="s">
        <v>2411</v>
      </c>
    </row>
    <row r="46" spans="1:7" s="257" customFormat="1" ht="13.5" customHeight="1">
      <c r="A46" s="947" t="s">
        <v>791</v>
      </c>
      <c r="B46" s="291" t="s">
        <v>2412</v>
      </c>
      <c r="C46" s="292">
        <f ca="1">ROUND((C33+C39)*F27,0)</f>
        <v>35415475</v>
      </c>
      <c r="D46" s="306"/>
      <c r="E46" s="279"/>
      <c r="F46" s="289"/>
      <c r="G46" s="290"/>
    </row>
    <row r="47" spans="1:7" s="257" customFormat="1" ht="13.5" customHeight="1">
      <c r="A47" s="947" t="s">
        <v>792</v>
      </c>
      <c r="B47" s="291" t="s">
        <v>2413</v>
      </c>
      <c r="C47" s="281">
        <f ca="1">ROUND(C40*F27,4)</f>
        <v>2.0999999999999999E-3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329911199</v>
      </c>
      <c r="D49" s="275"/>
      <c r="E49" s="275"/>
      <c r="F49" s="307"/>
      <c r="G49" s="277" t="s">
        <v>2417</v>
      </c>
    </row>
    <row r="50" spans="1:7" s="301" customFormat="1">
      <c r="A50" s="298" t="s">
        <v>2418</v>
      </c>
      <c r="B50" s="253" t="s">
        <v>2419</v>
      </c>
      <c r="C50" s="275"/>
      <c r="D50" s="275"/>
      <c r="E50" s="275"/>
      <c r="F50" s="307">
        <f>IF('数据-取费表'!B24=0,'数据-取费表'!N16,1)</f>
        <v>1</v>
      </c>
      <c r="G50" s="290"/>
    </row>
    <row r="51" spans="1:7" ht="16.5" customHeight="1">
      <c r="A51" s="298" t="s">
        <v>2421</v>
      </c>
      <c r="B51" s="253" t="s">
        <v>2456</v>
      </c>
      <c r="C51" s="275">
        <f ca="1">ROUND(C49*F50,0)</f>
        <v>329911199</v>
      </c>
      <c r="D51" s="275"/>
      <c r="E51" s="275"/>
      <c r="F51" s="307"/>
      <c r="G51" s="277" t="s">
        <v>2423</v>
      </c>
    </row>
    <row r="52" spans="1:7" s="251" customFormat="1" ht="16.5" thickBot="1">
      <c r="A52" s="308" t="s">
        <v>2424</v>
      </c>
      <c r="B52" s="309"/>
      <c r="C52" s="310" t="e">
        <f ca="1">C31+C51</f>
        <v>#DIV/0!</v>
      </c>
      <c r="D52" s="309"/>
      <c r="E52" s="309"/>
      <c r="F52" s="309"/>
      <c r="G52" s="311"/>
    </row>
    <row r="55" spans="1:7" ht="15">
      <c r="B55" s="313" t="s">
        <v>2425</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7" workbookViewId="0">
      <selection activeCell="I34" sqref="I34"/>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2457</v>
      </c>
      <c r="B1" s="1575"/>
      <c r="C1" s="1576"/>
      <c r="D1" s="1574"/>
      <c r="E1" s="319"/>
      <c r="F1" s="319"/>
      <c r="G1" s="1575"/>
      <c r="H1" s="319"/>
      <c r="I1" s="319"/>
      <c r="J1" s="319"/>
      <c r="K1" s="319">
        <f>MATCH(C1,'数据-取费表'!A6:A16,0)+5</f>
        <v>10</v>
      </c>
    </row>
    <row r="2" spans="1:33" ht="18" customHeight="1">
      <c r="A2" s="244" t="s">
        <v>2325</v>
      </c>
      <c r="B2" s="247">
        <f ca="1">C32</f>
        <v>162353</v>
      </c>
      <c r="C2" s="319" t="s">
        <v>2458</v>
      </c>
      <c r="D2" s="319"/>
      <c r="E2" s="319"/>
      <c r="F2" s="319"/>
      <c r="G2" s="319"/>
      <c r="H2" s="319"/>
      <c r="I2" s="319"/>
      <c r="J2" s="319"/>
      <c r="K2" s="319"/>
    </row>
    <row r="3" spans="1:33" ht="18" customHeight="1" thickBot="1">
      <c r="A3" s="246" t="s">
        <v>2327</v>
      </c>
      <c r="B3" s="247">
        <f ca="1">ROUND(B2*10000/IF(C1="",'数据-汇总表'!E3,INDIRECT("'数据-取费表'!K"&amp;$K$1)),0)</f>
        <v>25486</v>
      </c>
      <c r="C3" s="319" t="s">
        <v>2459</v>
      </c>
      <c r="D3" s="319"/>
      <c r="E3" s="319"/>
      <c r="F3" s="319"/>
      <c r="G3" s="319"/>
      <c r="H3" s="319"/>
      <c r="I3" s="319"/>
      <c r="J3" s="319"/>
      <c r="K3" s="319"/>
    </row>
    <row r="4" spans="1:33" s="952" customFormat="1" ht="16.5" customHeight="1">
      <c r="A4" s="949" t="s">
        <v>2460</v>
      </c>
      <c r="B4" s="950"/>
      <c r="C4" s="992">
        <f ca="1">SUM(C8:K8)</f>
        <v>197328</v>
      </c>
      <c r="D4" s="950"/>
      <c r="E4" s="950"/>
      <c r="F4" s="950"/>
      <c r="G4" s="950"/>
      <c r="H4" s="950"/>
      <c r="I4" s="950"/>
      <c r="J4" s="950"/>
      <c r="K4" s="951"/>
    </row>
    <row r="5" spans="1:33" s="956" customFormat="1" ht="15">
      <c r="A5" s="953" t="s">
        <v>2461</v>
      </c>
      <c r="B5" s="954" t="s">
        <v>2462</v>
      </c>
      <c r="C5" s="2547" t="s">
        <v>3052</v>
      </c>
      <c r="D5" s="2547" t="s">
        <v>3054</v>
      </c>
      <c r="E5" s="2547" t="s">
        <v>3232</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2463</v>
      </c>
      <c r="C6" s="958">
        <f>'比较法-叠拼'!B3</f>
        <v>64689</v>
      </c>
      <c r="D6" s="958">
        <f ca="1">'收益法（车库）'!B3</f>
        <v>4589</v>
      </c>
      <c r="E6" s="958">
        <f>'比较法-高层'!B3</f>
        <v>50502</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39" t="s">
        <v>2465</v>
      </c>
      <c r="C7" s="320">
        <f>SUMIF('数据-汇总表'!$C19:$C33,假设开发法!C5,'数据-汇总表'!$E19:$E33)</f>
        <v>19126.139999999996</v>
      </c>
      <c r="D7" s="320">
        <f>SUMIF('数据-汇总表'!$C19:$C33,假设开发法!D5,'数据-汇总表'!$E19:$E33)</f>
        <v>35529.1</v>
      </c>
      <c r="E7" s="320">
        <f>SUMIF('数据-汇总表'!$C19:$C33,假设开发法!E5,'数据-汇总表'!$E19:$E33)</f>
        <v>863.98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2466</v>
      </c>
      <c r="B8" s="176" t="s">
        <v>2467</v>
      </c>
      <c r="C8" s="993">
        <f>'比较法-叠拼'!B2</f>
        <v>176660</v>
      </c>
      <c r="D8" s="993">
        <f ca="1">'收益法（车库）'!B2</f>
        <v>16305</v>
      </c>
      <c r="E8" s="993">
        <f>'比较法-高层'!B2</f>
        <v>4363</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1334</v>
      </c>
      <c r="B11" s="968" t="s">
        <v>2475</v>
      </c>
      <c r="C11" s="322">
        <f ca="1">IF(C1="",'数据-取费表'!P16,INDIRECT("'数据-取费表'!p"&amp;$K$1)+INDIRECT("'数据-取费表'!ar"&amp;$K$1))</f>
        <v>5573</v>
      </c>
      <c r="D11" s="969"/>
      <c r="E11" s="374"/>
      <c r="F11" s="970">
        <f ca="1">1-IF('数据-取费表'!B24=0,1,IF(C1="",'数据-取费表'!N16,INDIRECT("'数据-取费表'!n"&amp;$K$1)))</f>
        <v>0.25</v>
      </c>
      <c r="G11" s="8"/>
      <c r="H11" s="964"/>
      <c r="I11" s="964"/>
      <c r="J11" s="964"/>
      <c r="K11" s="965"/>
    </row>
    <row r="12" spans="1:33" s="971" customFormat="1" ht="13.5" customHeight="1">
      <c r="A12" s="967" t="s">
        <v>1335</v>
      </c>
      <c r="B12" s="968" t="s">
        <v>2476</v>
      </c>
      <c r="C12" s="24">
        <f ca="1">ROUND(C11*F12,0)</f>
        <v>167</v>
      </c>
      <c r="D12" s="969"/>
      <c r="E12" s="374"/>
      <c r="F12" s="972">
        <f>'数据-取费表'!B33</f>
        <v>0.03</v>
      </c>
      <c r="G12" s="8" t="s">
        <v>2477</v>
      </c>
      <c r="H12" s="964"/>
      <c r="I12" s="964"/>
      <c r="J12" s="964"/>
      <c r="K12" s="965"/>
    </row>
    <row r="13" spans="1:33" s="971" customFormat="1" ht="13.5" customHeight="1">
      <c r="A13" s="967" t="s">
        <v>1336</v>
      </c>
      <c r="B13" s="968" t="s">
        <v>2478</v>
      </c>
      <c r="C13" s="24">
        <f ca="1">ROUND(IF(C1="",SUMIF('数据-取费表'!C:C,"住宅",'数据-取费表'!P:P)*F13,IF(INDIRECT("'数据-取费表'!c"&amp;$K$1)="住宅",INDIRECT("'数据-取费表'!P"&amp;$K$1)*F13,0)),0)</f>
        <v>87</v>
      </c>
      <c r="D13" s="1029"/>
      <c r="E13" s="374"/>
      <c r="F13" s="972">
        <f>'数据-取费表'!B34</f>
        <v>0.05</v>
      </c>
      <c r="G13" s="8" t="s">
        <v>2479</v>
      </c>
      <c r="H13" s="964"/>
      <c r="I13" s="964"/>
      <c r="J13" s="964"/>
      <c r="K13" s="965"/>
    </row>
    <row r="14" spans="1:33" s="973" customFormat="1" ht="13.5" customHeight="1">
      <c r="A14" s="967" t="s">
        <v>1337</v>
      </c>
      <c r="B14" s="968" t="s">
        <v>2480</v>
      </c>
      <c r="C14" s="24">
        <f ca="1">ROUND(D14*E14*F11/10000,0)</f>
        <v>319</v>
      </c>
      <c r="D14" s="1029">
        <f ca="1">IF(C1="",'数据-汇总表'!E3,INDIRECT("'数据-取费表'!K"&amp;$K$1)+INDIRECT("'数据-取费表'!S"&amp;$K$1))</f>
        <v>63702.12999999999</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2482</v>
      </c>
      <c r="C15" s="979">
        <f ca="1">ROUND(C11*F15,0)</f>
        <v>84</v>
      </c>
      <c r="D15" s="974"/>
      <c r="E15" s="979"/>
      <c r="F15" s="980">
        <f>'数据-取费表'!B36</f>
        <v>1.4999999999999999E-2</v>
      </c>
      <c r="G15" s="139"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6230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63702.12999999999</v>
      </c>
      <c r="E17" s="24">
        <f>'数据-取费表'!B32</f>
        <v>0</v>
      </c>
      <c r="F17" s="974"/>
      <c r="G17" s="139" t="s">
        <v>2486</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2487</v>
      </c>
      <c r="C18" s="2957">
        <f ca="1">C19+C20-IF(C1="",'数据-取费表'!B29,IF(G18="已全部缴纳",C19+C20,H18))</f>
        <v>0</v>
      </c>
      <c r="D18" s="1029"/>
      <c r="E18" s="24"/>
      <c r="F18" s="972"/>
      <c r="G18" s="2549"/>
      <c r="H18" s="1571"/>
      <c r="I18" s="2550" t="s">
        <v>2488</v>
      </c>
      <c r="J18" s="975"/>
      <c r="K18" s="976"/>
      <c r="L18" s="971">
        <f ca="1">D6/'收益法（车库）'!F7</f>
        <v>4.521182266009852</v>
      </c>
    </row>
    <row r="19" spans="1:33" s="971" customFormat="1" ht="13.5" customHeight="1">
      <c r="A19" s="967" t="s">
        <v>805</v>
      </c>
      <c r="B19" s="968" t="s">
        <v>2489</v>
      </c>
      <c r="C19" s="2957">
        <f ca="1">ROUND(D19*E19/10000,0)</f>
        <v>300</v>
      </c>
      <c r="D19" s="1029">
        <f ca="1">IF(C1="",'数据-汇总表'!E5,IF(INDIRECT("'数据-取费表'!c"&amp;$K$1)="住宅",INDIRECT("'数据-取费表'!k"&amp;$K$1),0))</f>
        <v>19990.119999999995</v>
      </c>
      <c r="E19" s="24">
        <f>'数据-取费表'!B27</f>
        <v>150</v>
      </c>
      <c r="F19" s="972"/>
      <c r="G19" s="15"/>
      <c r="H19" s="1573"/>
      <c r="I19" s="977"/>
      <c r="J19" s="977"/>
      <c r="K19" s="978"/>
    </row>
    <row r="20" spans="1:33" s="971" customFormat="1" ht="13.5" customHeight="1">
      <c r="A20" s="967" t="s">
        <v>806</v>
      </c>
      <c r="B20" s="968" t="s">
        <v>2490</v>
      </c>
      <c r="C20" s="2957">
        <f ca="1">ROUND(D20*E20/10000,0)</f>
        <v>831</v>
      </c>
      <c r="D20" s="1029">
        <f ca="1">IF(C1="",'数据-汇总表'!E6,IF(INDIRECT("'数据-取费表'!c"&amp;$K$1)="住宅",INDIRECT("'数据-取费表'!s"&amp;$K$1),INDIRECT("'数据-取费表'!k"&amp;$K$1)+INDIRECT("'数据-取费表'!s"&amp;$K$1)))</f>
        <v>43712.009999999995</v>
      </c>
      <c r="E20" s="24">
        <f>'数据-取费表'!B28</f>
        <v>190</v>
      </c>
      <c r="F20" s="972"/>
      <c r="G20" s="15"/>
      <c r="H20" s="977"/>
      <c r="I20" s="977"/>
      <c r="J20" s="977"/>
      <c r="K20" s="978"/>
    </row>
    <row r="21" spans="1:33" s="971" customFormat="1" ht="13.5" customHeight="1">
      <c r="A21" s="957" t="s">
        <v>802</v>
      </c>
      <c r="B21" s="981" t="s">
        <v>2491</v>
      </c>
      <c r="C21" s="982">
        <f ca="1">C16+C17+C18</f>
        <v>6230</v>
      </c>
      <c r="D21" s="983"/>
      <c r="E21" s="324"/>
      <c r="F21" s="324"/>
      <c r="G21" s="139" t="s">
        <v>2492</v>
      </c>
      <c r="H21" s="975"/>
      <c r="I21" s="975"/>
      <c r="J21" s="975"/>
      <c r="K21" s="976"/>
    </row>
    <row r="22" spans="1:33" s="971" customFormat="1" ht="13.5" customHeight="1">
      <c r="A22" s="957" t="s">
        <v>2464</v>
      </c>
      <c r="B22" s="981" t="s">
        <v>2493</v>
      </c>
      <c r="C22" s="982">
        <f ca="1">ROUND(C21*F22,0)</f>
        <v>93</v>
      </c>
      <c r="D22" s="324"/>
      <c r="E22" s="324"/>
      <c r="F22" s="984">
        <f>'数据-取费表'!B37</f>
        <v>1.4999999999999999E-2</v>
      </c>
      <c r="G22" s="8" t="s">
        <v>2494</v>
      </c>
      <c r="H22" s="964"/>
      <c r="I22" s="964"/>
      <c r="J22" s="964"/>
      <c r="K22" s="965"/>
    </row>
    <row r="23" spans="1:33" s="971" customFormat="1" ht="13.5" customHeight="1">
      <c r="A23" s="957" t="s">
        <v>2466</v>
      </c>
      <c r="B23" s="981" t="s">
        <v>2495</v>
      </c>
      <c r="C23" s="982">
        <f ca="1">ROUND(C4*F23*F11,0)</f>
        <v>740</v>
      </c>
      <c r="D23" s="324"/>
      <c r="E23" s="324"/>
      <c r="F23" s="984">
        <f>'数据-取费表'!B38</f>
        <v>1.4999999999999999E-2</v>
      </c>
      <c r="G23" s="8" t="s">
        <v>2496</v>
      </c>
      <c r="H23" s="964"/>
      <c r="I23" s="964"/>
      <c r="J23" s="964"/>
      <c r="K23" s="965"/>
    </row>
    <row r="24" spans="1:33" s="971" customFormat="1" ht="13.5" customHeight="1">
      <c r="A24" s="957" t="s">
        <v>2497</v>
      </c>
      <c r="B24" s="981" t="s">
        <v>2498</v>
      </c>
      <c r="C24" s="323">
        <f>ROUND(F24/(1+'数据-取费表'!C42),4)</f>
        <v>2.9000000000000001E-2</v>
      </c>
      <c r="D24" s="324" t="s">
        <v>15</v>
      </c>
      <c r="E24" s="324"/>
      <c r="F24" s="984">
        <f>'数据-取费表'!B48+'数据-取费表'!B49</f>
        <v>3.0499999999999999E-2</v>
      </c>
      <c r="G24" s="8" t="s">
        <v>2499</v>
      </c>
      <c r="H24" s="986"/>
      <c r="I24" s="986"/>
      <c r="J24" s="986"/>
      <c r="K24" s="987"/>
    </row>
    <row r="25" spans="1:33" s="971" customFormat="1" ht="13.5" customHeight="1">
      <c r="A25" s="957" t="s">
        <v>2500</v>
      </c>
      <c r="B25" s="983" t="s">
        <v>2501</v>
      </c>
      <c r="C25" s="1352">
        <f ca="1">C27</f>
        <v>124</v>
      </c>
      <c r="D25" s="323">
        <f ca="1">C26</f>
        <v>3.6400000000000002E-2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3.6400000000000002E-2</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124</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2504</v>
      </c>
      <c r="B28" s="2552" t="s">
        <v>2505</v>
      </c>
      <c r="C28" s="330">
        <f ca="1">C30</f>
        <v>989</v>
      </c>
      <c r="D28" s="323">
        <f ca="1">C29</f>
        <v>3.5999999999999997E-2</v>
      </c>
      <c r="E28" s="325" t="s">
        <v>15</v>
      </c>
      <c r="F28" s="331">
        <f ca="1">IF(C1="",'数据-取费表'!Q16,INDIRECT("'数据-取费表'!q"&amp;$K$1))</f>
        <v>0.14000000000000001</v>
      </c>
      <c r="G28" s="985"/>
      <c r="H28" s="986"/>
      <c r="I28" s="986"/>
      <c r="J28" s="986"/>
      <c r="K28" s="987"/>
    </row>
    <row r="29" spans="1:33" s="334" customFormat="1" ht="13.5" customHeight="1">
      <c r="A29" s="967" t="s">
        <v>803</v>
      </c>
      <c r="B29" s="990" t="s">
        <v>2506</v>
      </c>
      <c r="C29" s="327">
        <f ca="1">ROUND((1+C24)*F28*'数据-取费表'!B24/'数据-取费表'!B20,4)</f>
        <v>3.5999999999999997E-2</v>
      </c>
      <c r="D29" s="327"/>
      <c r="E29" s="328"/>
      <c r="F29" s="333"/>
      <c r="G29" s="139" t="s">
        <v>2507</v>
      </c>
      <c r="H29" s="975"/>
      <c r="I29" s="975"/>
      <c r="J29" s="975"/>
      <c r="K29" s="976"/>
    </row>
    <row r="30" spans="1:33" s="334" customFormat="1" ht="13.5" customHeight="1">
      <c r="A30" s="967" t="s">
        <v>804</v>
      </c>
      <c r="B30" s="990" t="s">
        <v>2508</v>
      </c>
      <c r="C30" s="335">
        <f ca="1">ROUND((C21+C22+C23)*F28,0)</f>
        <v>989</v>
      </c>
      <c r="D30" s="327"/>
      <c r="E30" s="328"/>
      <c r="F30" s="333"/>
      <c r="G30" s="139"/>
      <c r="H30" s="975"/>
      <c r="I30" s="975"/>
      <c r="J30" s="975"/>
      <c r="K30" s="976"/>
    </row>
    <row r="31" spans="1:33" s="971" customFormat="1" ht="13.5" customHeight="1" thickBot="1">
      <c r="A31" s="2553" t="s">
        <v>2509</v>
      </c>
      <c r="B31" s="1001" t="s">
        <v>2510</v>
      </c>
      <c r="C31" s="1002">
        <f ca="1">ROUND(C4*F31/(1+'数据-取费表'!C42),0)</f>
        <v>10336</v>
      </c>
      <c r="D31" s="1003"/>
      <c r="E31" s="1004"/>
      <c r="F31" s="1005">
        <f>'数据-取费表'!B41</f>
        <v>5.5000000000000007E-2</v>
      </c>
      <c r="G31" s="1006" t="s">
        <v>2511</v>
      </c>
      <c r="H31" s="1007"/>
      <c r="I31" s="1007"/>
      <c r="J31" s="1007"/>
      <c r="K31" s="1008"/>
    </row>
    <row r="32" spans="1:33" s="966" customFormat="1" ht="13.5" customHeight="1" thickBot="1">
      <c r="A32" s="996" t="s">
        <v>2512</v>
      </c>
      <c r="B32" s="997"/>
      <c r="C32" s="998">
        <f ca="1">ROUND((C4-C21-C22-C23-C25-C28-C31)/(1+C24+D25+D28),0)</f>
        <v>162353</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K23" sqref="K2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1590</v>
      </c>
      <c r="B1" s="781"/>
      <c r="C1" s="1831" t="s">
        <v>3054</v>
      </c>
      <c r="D1" s="1814" t="s">
        <v>3155</v>
      </c>
      <c r="E1" s="1815" t="s">
        <v>1387</v>
      </c>
      <c r="F1" s="1279">
        <f ca="1">J53</f>
        <v>45.68</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1516</v>
      </c>
      <c r="B2" s="1838">
        <f ca="1">C40+J29+L46</f>
        <v>16305</v>
      </c>
      <c r="C2" s="1839" t="s">
        <v>1517</v>
      </c>
      <c r="D2" s="1839"/>
      <c r="E2" s="1840"/>
      <c r="F2" s="1841"/>
      <c r="G2" s="1842"/>
      <c r="H2" s="1834"/>
      <c r="I2" s="1834"/>
      <c r="J2" s="1834"/>
      <c r="K2" s="1835"/>
      <c r="L2" s="1834"/>
      <c r="M2" s="1834"/>
    </row>
    <row r="3" spans="1:37" ht="18" customHeight="1" thickBot="1">
      <c r="A3" s="1843" t="s">
        <v>1518</v>
      </c>
      <c r="B3" s="1844">
        <f ca="1">IF(ISERROR(B2*10000/F43),0,ROUND(B2*10000/F43,0))</f>
        <v>4589</v>
      </c>
      <c r="C3" s="1839" t="s">
        <v>1519</v>
      </c>
      <c r="D3" s="1839"/>
      <c r="E3" s="1840"/>
      <c r="F3" s="1841"/>
      <c r="G3" s="1842"/>
      <c r="H3" s="743" t="s">
        <v>1589</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8">
        <f ca="1">C6+C10+C12</f>
        <v>1157</v>
      </c>
      <c r="D5" s="1816" t="s">
        <v>1402</v>
      </c>
      <c r="E5" s="1289"/>
      <c r="F5" s="1290"/>
      <c r="G5" s="1845"/>
      <c r="H5" s="343">
        <v>1</v>
      </c>
      <c r="I5" s="344" t="s">
        <v>1401</v>
      </c>
      <c r="J5" s="1288">
        <f ca="1">J6+J10+J12</f>
        <v>0</v>
      </c>
      <c r="K5" s="1816" t="s">
        <v>1402</v>
      </c>
      <c r="L5" s="1289"/>
      <c r="M5" s="1290"/>
    </row>
    <row r="6" spans="1:37" ht="18" customHeight="1">
      <c r="A6" s="1287" t="s">
        <v>1035</v>
      </c>
      <c r="B6" s="3199" t="s">
        <v>1403</v>
      </c>
      <c r="C6" s="1292">
        <f ca="1">ROUND(F6*F8*F7*(1-F9)/10000,0)</f>
        <v>1157</v>
      </c>
      <c r="D6" s="163" t="s">
        <v>3030</v>
      </c>
      <c r="E6" s="346" t="s">
        <v>1405</v>
      </c>
      <c r="F6" s="347">
        <f ca="1">INDIRECT("'数据-取费表'!u"&amp;$G$1)</f>
        <v>1000</v>
      </c>
      <c r="G6" s="1845"/>
      <c r="H6" s="1287" t="s">
        <v>1035</v>
      </c>
      <c r="I6" s="3199" t="s">
        <v>1403</v>
      </c>
      <c r="J6" s="345">
        <f ca="1">ROUND(M6*M8*M7*(1-M9)/10000,0)</f>
        <v>0</v>
      </c>
      <c r="K6" s="163" t="s">
        <v>3029</v>
      </c>
      <c r="L6" s="346" t="s">
        <v>1405</v>
      </c>
      <c r="M6" s="347">
        <f ca="1">INDIRECT("'数据-取费表'!z"&amp;$G$1)</f>
        <v>0</v>
      </c>
    </row>
    <row r="7" spans="1:37" ht="18" customHeight="1">
      <c r="A7" s="1291"/>
      <c r="B7" s="3200"/>
      <c r="C7" s="1293"/>
      <c r="D7" s="351"/>
      <c r="E7" s="1294" t="s">
        <v>1406</v>
      </c>
      <c r="F7" s="347">
        <f ca="1">IF(INDIRECT("'数据-取费表'!ah"&amp;$G$1)="",INDIRECT("'数据-取费表'!k"&amp;$G$1),INDIRECT("'数据-取费表'!ah"&amp;$G$1))</f>
        <v>1015</v>
      </c>
      <c r="G7" s="1845"/>
      <c r="H7" s="348"/>
      <c r="I7" s="3200"/>
      <c r="J7" s="350"/>
      <c r="K7" s="351"/>
      <c r="L7" s="346" t="s">
        <v>1406</v>
      </c>
      <c r="M7" s="347">
        <f ca="1">F7</f>
        <v>1015</v>
      </c>
    </row>
    <row r="8" spans="1:37" ht="18" customHeight="1">
      <c r="A8" s="348"/>
      <c r="B8" s="3200"/>
      <c r="C8" s="350"/>
      <c r="D8" s="351"/>
      <c r="E8" s="346" t="s">
        <v>1407</v>
      </c>
      <c r="F8" s="347">
        <f ca="1">INDIRECT("'数据-取费表'!ai"&amp;$G$1)</f>
        <v>12</v>
      </c>
      <c r="G8" s="1845"/>
      <c r="H8" s="348"/>
      <c r="I8" s="3200"/>
      <c r="J8" s="350"/>
      <c r="K8" s="351"/>
      <c r="L8" s="346" t="s">
        <v>1407</v>
      </c>
      <c r="M8" s="347">
        <f ca="1">INDIRECT("'数据-取费表'!ai"&amp;$G$1)</f>
        <v>12</v>
      </c>
    </row>
    <row r="9" spans="1:37" ht="18" customHeight="1">
      <c r="A9" s="348"/>
      <c r="B9" s="3201"/>
      <c r="C9" s="350"/>
      <c r="D9" s="351"/>
      <c r="E9" s="346" t="s">
        <v>1408</v>
      </c>
      <c r="F9" s="356">
        <f ca="1">INDIRECT("'数据-取费表'!w"&amp;$G$1)</f>
        <v>0.05</v>
      </c>
      <c r="G9" s="1845"/>
      <c r="H9" s="348"/>
      <c r="I9" s="3201"/>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ROUND(IF(F10="押一",F6*F8*F7/12*F11,IF(F10="押二",F6*F8*F7/12*2*F11,IF(F10="押三",F6*F8*F7/12*3*F11,C11*F11)))/10000,0)</f>
        <v>0</v>
      </c>
      <c r="D10" s="1818" t="s">
        <v>3031</v>
      </c>
      <c r="E10" s="357" t="s">
        <v>1411</v>
      </c>
      <c r="F10" s="2955" t="s">
        <v>3197</v>
      </c>
      <c r="G10" s="1845"/>
      <c r="H10" s="1287" t="s">
        <v>1039</v>
      </c>
      <c r="I10" s="1817" t="s">
        <v>1409</v>
      </c>
      <c r="J10" s="345">
        <f ca="1">ROUND(IF(M10="押一",M6*M8*M7/12*M11,IF(M10="押二",M6*M8*M7/12*2*M11,IF(M10="押三",M6*M8*M7/12*3*M11,J11*M11)))/10000,0)</f>
        <v>0</v>
      </c>
      <c r="K10" s="1818" t="s">
        <v>3032</v>
      </c>
      <c r="L10" s="357" t="s">
        <v>1411</v>
      </c>
      <c r="M10" s="1362" t="s">
        <v>1412</v>
      </c>
    </row>
    <row r="11" spans="1:37" ht="18" customHeight="1">
      <c r="A11" s="352"/>
      <c r="B11" s="1819" t="s">
        <v>1388</v>
      </c>
      <c r="C11" s="1174"/>
      <c r="D11" s="1820"/>
      <c r="E11" s="357" t="s">
        <v>1413</v>
      </c>
      <c r="F11" s="358">
        <f ca="1">'数据-取费表'!B39</f>
        <v>1.4999999999999999E-2</v>
      </c>
      <c r="G11" s="1845"/>
      <c r="H11" s="1295"/>
      <c r="I11" s="1819" t="s">
        <v>1388</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16773</v>
      </c>
      <c r="D13" s="1327" t="s">
        <v>1416</v>
      </c>
      <c r="E13" s="1327" t="s">
        <v>1417</v>
      </c>
      <c r="F13" s="1328">
        <f ca="1">INDIRECT("'数据-取费表'!y"&amp;$G$1)</f>
        <v>1</v>
      </c>
      <c r="G13" s="1845"/>
      <c r="H13" s="1325">
        <v>2</v>
      </c>
      <c r="I13" s="1326" t="s">
        <v>1415</v>
      </c>
      <c r="J13" s="1286">
        <f ca="1">ROUND(J14*J15,0)</f>
        <v>0</v>
      </c>
      <c r="K13" s="1333" t="s">
        <v>1416</v>
      </c>
      <c r="L13" s="1846"/>
      <c r="M13" s="1847"/>
    </row>
    <row r="14" spans="1:37" ht="18" customHeight="1">
      <c r="A14" s="1197" t="s">
        <v>1034</v>
      </c>
      <c r="B14" s="346" t="s">
        <v>1418</v>
      </c>
      <c r="C14" s="362">
        <f ca="1">INDIRECT("'数据-取费表'!m"&amp;$G$1)+INDIRECT("'数据-取费表'!t"&amp;$G$1)</f>
        <v>12435</v>
      </c>
      <c r="D14" s="1794" t="s">
        <v>1419</v>
      </c>
      <c r="E14" s="1788"/>
      <c r="F14" s="363"/>
      <c r="G14" s="1845"/>
      <c r="H14" s="1197" t="s">
        <v>1035</v>
      </c>
      <c r="I14" s="346" t="s">
        <v>1420</v>
      </c>
      <c r="J14" s="24">
        <f ca="1">C29</f>
        <v>16773</v>
      </c>
      <c r="K14" s="15"/>
      <c r="L14" s="975"/>
      <c r="M14" s="976"/>
    </row>
    <row r="15" spans="1:37" s="1852" customFormat="1" ht="18" customHeight="1" thickBot="1">
      <c r="A15" s="1197" t="s">
        <v>1036</v>
      </c>
      <c r="B15" s="346" t="s">
        <v>1421</v>
      </c>
      <c r="C15" s="24">
        <f ca="1">ROUND(C14*F15,0)</f>
        <v>373</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ROUND(INDIRECT("'数据-取费表'!m"&amp;$G$1)*F16,0)</f>
        <v>0</v>
      </c>
      <c r="D16" s="346" t="s">
        <v>1422</v>
      </c>
      <c r="E16" s="346" t="s">
        <v>1423</v>
      </c>
      <c r="F16" s="366">
        <f ca="1">IF(INDIRECT("'数据-取费表'!c"&amp;$G$1)="住宅",'数据-取费表'!B34,0)</f>
        <v>0</v>
      </c>
      <c r="G16" s="1845"/>
      <c r="H16" s="1325" t="s">
        <v>1030</v>
      </c>
      <c r="I16" s="1326" t="s">
        <v>1425</v>
      </c>
      <c r="J16" s="354">
        <f ca="1">ROUND(J17+J22+J23+J24,0)</f>
        <v>394</v>
      </c>
      <c r="K16" s="1333" t="s">
        <v>1426</v>
      </c>
      <c r="L16" s="1334"/>
      <c r="M16" s="1290"/>
    </row>
    <row r="17" spans="1:37" s="1852" customFormat="1" ht="18" customHeight="1">
      <c r="A17" s="1197" t="s">
        <v>1390</v>
      </c>
      <c r="B17" s="346" t="s">
        <v>1427</v>
      </c>
      <c r="C17" s="24">
        <f ca="1">ROUND(F17*(F43+INDIRECT("'数据-取费表'!S"&amp;$G$1))/10000,0)</f>
        <v>711</v>
      </c>
      <c r="D17" s="346" t="s">
        <v>1428</v>
      </c>
      <c r="E17" s="346" t="s">
        <v>1429</v>
      </c>
      <c r="F17" s="26">
        <f>'数据-取费表'!B35</f>
        <v>200</v>
      </c>
      <c r="G17" s="1848"/>
      <c r="H17" s="1197" t="s">
        <v>1035</v>
      </c>
      <c r="I17" s="346" t="s">
        <v>1430</v>
      </c>
      <c r="J17" s="24">
        <f ca="1">ROUND(IF(项目基本情况!B11="自然人",J5*M17,J18+J19+J20),1)</f>
        <v>142.1</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187</v>
      </c>
      <c r="D18" s="346" t="s">
        <v>1422</v>
      </c>
      <c r="E18" s="346" t="s">
        <v>1423</v>
      </c>
      <c r="F18" s="366">
        <f>'数据-取费表'!B36</f>
        <v>1.4999999999999999E-2</v>
      </c>
      <c r="G18" s="1848"/>
      <c r="H18" s="1197" t="s">
        <v>1034</v>
      </c>
      <c r="I18" s="346" t="s">
        <v>1434</v>
      </c>
      <c r="J18" s="24">
        <f ca="1">ROUND(J5*M18/(1+'数据-取费表'!C42),2)</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13706</v>
      </c>
      <c r="D19" s="139" t="s">
        <v>1437</v>
      </c>
      <c r="E19" s="1812"/>
      <c r="F19" s="26"/>
      <c r="G19" s="1845"/>
      <c r="H19" s="1197" t="s">
        <v>1036</v>
      </c>
      <c r="I19" s="346" t="s">
        <v>1438</v>
      </c>
      <c r="J19" s="24">
        <f ca="1">IF(K19="按租金收入计税",ROUND(J5*M19,2),ROUND(C29*M19*0.7,2))</f>
        <v>140.88999999999999</v>
      </c>
      <c r="K19" s="1822" t="s">
        <v>1439</v>
      </c>
      <c r="L19" s="346" t="s">
        <v>1423</v>
      </c>
      <c r="M19" s="366">
        <f>IF(K19="按租金收入计税",'数据-取费表'!B51,'数据-取费表'!B50)</f>
        <v>1.2E-2</v>
      </c>
    </row>
    <row r="20" spans="1:37" s="1852" customFormat="1" ht="18" customHeight="1">
      <c r="A20" s="1197" t="s">
        <v>1039</v>
      </c>
      <c r="B20" s="346" t="s">
        <v>1440</v>
      </c>
      <c r="C20" s="24">
        <f ca="1">ROUND(C19*F20,0)</f>
        <v>206</v>
      </c>
      <c r="D20" s="368" t="s">
        <v>1441</v>
      </c>
      <c r="E20" s="346" t="s">
        <v>1423</v>
      </c>
      <c r="F20" s="366">
        <f>'数据-取费表'!B37</f>
        <v>1.4999999999999999E-2</v>
      </c>
      <c r="G20" s="1848"/>
      <c r="H20" s="1197" t="s">
        <v>1389</v>
      </c>
      <c r="I20" s="163" t="s">
        <v>1442</v>
      </c>
      <c r="J20" s="25">
        <f ca="1">ROUND(M20*M21/10000,2)</f>
        <v>1.19</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18</v>
      </c>
      <c r="D21" s="368" t="s">
        <v>1446</v>
      </c>
      <c r="E21" s="346" t="s">
        <v>1447</v>
      </c>
      <c r="F21" s="366">
        <f>'数据-取费表'!B38</f>
        <v>1.4999999999999999E-2</v>
      </c>
      <c r="G21" s="1848"/>
      <c r="H21" s="371"/>
      <c r="I21" s="355"/>
      <c r="J21" s="29"/>
      <c r="K21" s="372"/>
      <c r="L21" s="346" t="s">
        <v>1448</v>
      </c>
      <c r="M21" s="347">
        <f ca="1">INDIRECT("'数据-取费表'!r"&amp;$G$1)</f>
        <v>7934.75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ROUND(J14*M22,1)</f>
        <v>251.6</v>
      </c>
      <c r="K22" s="1792" t="s">
        <v>1451</v>
      </c>
      <c r="L22" s="346" t="s">
        <v>1423</v>
      </c>
      <c r="M22" s="373">
        <f ca="1">INDIRECT("'数据-取费表'!Ak"&amp;$G$1)</f>
        <v>1.4999999999999999E-2</v>
      </c>
    </row>
    <row r="23" spans="1:37" s="1852" customFormat="1" ht="18" customHeight="1">
      <c r="A23" s="1197" t="s">
        <v>1034</v>
      </c>
      <c r="B23" s="346" t="s">
        <v>1452</v>
      </c>
      <c r="C23" s="24">
        <f ca="1">IF('数据-取费表'!B22&lt;=1,ROUND(C19*F24*F23/2,0)+ROUND(C20*F24*F23/2,0),ROUND(C19*(POWER((1+F24),F23/2)-1),0)+ROUND(C20*(POWER((1+F24),F23/2)-1),0))</f>
        <v>1003</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ROUND(J13*M23,1)</f>
        <v>0</v>
      </c>
      <c r="K23" s="1792" t="s">
        <v>1455</v>
      </c>
      <c r="L23" s="346" t="s">
        <v>1456</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ROUND(J5*M24,1)</f>
        <v>0</v>
      </c>
      <c r="K24" s="1338" t="s">
        <v>1460</v>
      </c>
      <c r="L24" s="1336" t="s">
        <v>1456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1461</v>
      </c>
      <c r="B25" s="346" t="s">
        <v>1462</v>
      </c>
      <c r="C25" s="24"/>
      <c r="D25" s="139" t="s">
        <v>1463</v>
      </c>
      <c r="E25" s="1812"/>
      <c r="F25" s="26"/>
      <c r="G25" s="1845"/>
      <c r="H25" s="1325" t="s">
        <v>1031</v>
      </c>
      <c r="I25" s="1340" t="s">
        <v>1464</v>
      </c>
      <c r="J25" s="354">
        <f ca="1">J5-J16</f>
        <v>-394</v>
      </c>
      <c r="K25" s="1341" t="s">
        <v>1465</v>
      </c>
      <c r="L25" s="1342"/>
      <c r="M25" s="1343"/>
    </row>
    <row r="26" spans="1:37">
      <c r="A26" s="1197" t="s">
        <v>1034</v>
      </c>
      <c r="B26" s="346" t="s">
        <v>1466</v>
      </c>
      <c r="C26" s="24">
        <f ca="1">ROUND((C19+C20)*F26,0)</f>
        <v>696</v>
      </c>
      <c r="D26" s="368" t="s">
        <v>1467</v>
      </c>
      <c r="E26" s="357" t="s">
        <v>1468</v>
      </c>
      <c r="F26" s="356">
        <f ca="1">INDIRECT("'数据-取费表'!q"&amp;$G$1)</f>
        <v>0.05</v>
      </c>
      <c r="G26" s="1845"/>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4">
        <f ca="1">ROUND(F21*F26,4)</f>
        <v>8.0000000000000004E-4</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16773</v>
      </c>
      <c r="D29" s="1338"/>
      <c r="E29" s="1336"/>
      <c r="F29" s="1339"/>
      <c r="G29" s="1848"/>
      <c r="H29" s="379" t="s">
        <v>1033</v>
      </c>
      <c r="I29" s="380" t="s">
        <v>1480</v>
      </c>
      <c r="J29" s="381">
        <f ca="1">ROUND(J26/(1+F40)^F41,0)</f>
        <v>0</v>
      </c>
      <c r="K29" s="382" t="s">
        <v>1481</v>
      </c>
      <c r="L29" s="383"/>
      <c r="M29" s="384">
        <f ca="1">INDIRECT("'数据-取费表'!k"&amp;$G$1)</f>
        <v>35529.1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489</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ROUND(IF(项目基本情况!B11="自然人",C5*F31,C32+C33+C34),1)</f>
        <v>200.6</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IF(项目基本情况!B11="自然人","——",ROUND(C5*F32/(1+'数据-取费表'!C42),2))</f>
        <v>60.6</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IF(项目基本情况!B11="自然人","——",IF(D33="按租金收入计税",ROUND(C5*F33,2),IF(D33="按房产原值计税",ROUND(C29*F33*0.7,2),INDIRECT("'数据-取费表'!Aj"&amp;$G$1))))</f>
        <v>138.84</v>
      </c>
      <c r="D33" s="2956" t="s">
        <v>3236</v>
      </c>
      <c r="E33" s="346" t="s">
        <v>1423</v>
      </c>
      <c r="F33" s="366">
        <f>IF(D33="按票据","——",IF(D33="按租金收入计税",'数据-取费表'!B51,'数据-取费表'!B50))</f>
        <v>0.12</v>
      </c>
      <c r="G33" s="1845"/>
      <c r="H33" s="1853"/>
      <c r="I33" s="1854"/>
      <c r="J33" s="1855"/>
      <c r="K33" s="1856"/>
      <c r="L33" s="1853"/>
      <c r="M33" s="1853"/>
    </row>
    <row r="34" spans="1:18" ht="18" customHeight="1">
      <c r="A34" s="1287" t="s">
        <v>1389</v>
      </c>
      <c r="B34" s="163" t="s">
        <v>1442</v>
      </c>
      <c r="C34" s="25">
        <f ca="1">IF(项目基本情况!B11="自然人","——",ROUND(F34*F35/10000,2))</f>
        <v>1.19</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7934.75</v>
      </c>
      <c r="G35" s="1845"/>
      <c r="H35" s="744"/>
      <c r="I35" s="1854"/>
      <c r="J35" s="1855"/>
      <c r="K35" s="1856"/>
      <c r="L35" s="1853"/>
      <c r="M35" s="1853"/>
    </row>
    <row r="36" spans="1:18" ht="18" customHeight="1">
      <c r="A36" s="1348" t="s">
        <v>1039</v>
      </c>
      <c r="B36" s="346" t="s">
        <v>1450</v>
      </c>
      <c r="C36" s="24">
        <f ca="1">ROUND(C29*F36,1)</f>
        <v>251.6</v>
      </c>
      <c r="D36" s="1792" t="s">
        <v>1483</v>
      </c>
      <c r="E36" s="346" t="s">
        <v>1423</v>
      </c>
      <c r="F36" s="373">
        <f ca="1">INDIRECT("'数据-取费表'!Ak"&amp;$G$1)</f>
        <v>1.4999999999999999E-2</v>
      </c>
      <c r="G36" s="1845"/>
      <c r="H36" s="1853"/>
      <c r="I36" s="1854"/>
      <c r="J36" s="1855"/>
      <c r="K36" s="750"/>
      <c r="L36" s="1853"/>
      <c r="M36" s="1853"/>
    </row>
    <row r="37" spans="1:18" ht="18" customHeight="1">
      <c r="A37" s="1197" t="s">
        <v>1075</v>
      </c>
      <c r="B37" s="346" t="s">
        <v>1454</v>
      </c>
      <c r="C37" s="24">
        <f ca="1">ROUND(C13*F37,1)</f>
        <v>25.2</v>
      </c>
      <c r="D37" s="1792" t="s">
        <v>1455</v>
      </c>
      <c r="E37" s="346" t="s">
        <v>1456</v>
      </c>
      <c r="F37" s="375">
        <f ca="1">INDIRECT("'数据-取费表'!Al"&amp;$G$1)</f>
        <v>1.5E-3</v>
      </c>
      <c r="G37" s="1845"/>
      <c r="H37" s="1853"/>
      <c r="I37" s="1854"/>
      <c r="J37" s="1855"/>
      <c r="K37" s="750"/>
      <c r="L37" s="1853"/>
      <c r="M37" s="1853"/>
    </row>
    <row r="38" spans="1:18" ht="18" customHeight="1" thickBot="1">
      <c r="A38" s="1335" t="s">
        <v>1393</v>
      </c>
      <c r="B38" s="1336" t="s">
        <v>1440</v>
      </c>
      <c r="C38" s="1337">
        <f ca="1">ROUND(C5*F38,1)</f>
        <v>11.6</v>
      </c>
      <c r="D38" s="1338" t="s">
        <v>1460</v>
      </c>
      <c r="E38" s="1336" t="s">
        <v>1456</v>
      </c>
      <c r="F38" s="1332">
        <f ca="1">INDIRECT("'数据-取费表'!Am"&amp;$G$1)</f>
        <v>0.01</v>
      </c>
      <c r="G38" s="1845"/>
      <c r="H38" s="1853"/>
      <c r="I38" s="1854"/>
      <c r="J38" s="1855"/>
      <c r="K38" s="1859"/>
      <c r="L38" s="1853"/>
      <c r="M38" s="1853"/>
    </row>
    <row r="39" spans="1:18" ht="24.6" customHeight="1" thickTop="1">
      <c r="A39" s="1325" t="s">
        <v>1031</v>
      </c>
      <c r="B39" s="1340" t="s">
        <v>1484</v>
      </c>
      <c r="C39" s="354">
        <f ca="1">C5-C30</f>
        <v>668</v>
      </c>
      <c r="D39" s="1341" t="s">
        <v>1485</v>
      </c>
      <c r="E39" s="1342"/>
      <c r="F39" s="1343"/>
      <c r="G39" s="1845"/>
      <c r="H39" s="1853"/>
      <c r="I39" s="1854"/>
      <c r="J39" s="1855"/>
      <c r="K39" s="1859"/>
      <c r="L39" s="1853"/>
      <c r="M39" s="1853"/>
    </row>
    <row r="40" spans="1:18" ht="18" customHeight="1">
      <c r="A40" s="343" t="s">
        <v>1032</v>
      </c>
      <c r="B40" s="344" t="s">
        <v>1486</v>
      </c>
      <c r="C40" s="345">
        <f ca="1">ROUND(C39*(1-((1+F42)/(1+F40))^F41)/(F40-F42),0)</f>
        <v>16305</v>
      </c>
      <c r="D40" s="369" t="s">
        <v>1470</v>
      </c>
      <c r="E40" s="346" t="s">
        <v>1471</v>
      </c>
      <c r="F40" s="356">
        <f ca="1">INDIRECT("'数据-取费表'!I"&amp;$G$1)</f>
        <v>5.5E-2</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45.68</v>
      </c>
      <c r="G41" s="1845"/>
      <c r="H41" s="731"/>
      <c r="I41" s="1854"/>
      <c r="J41" s="1855"/>
      <c r="K41" s="750"/>
      <c r="L41" s="731"/>
      <c r="M41" s="731"/>
    </row>
    <row r="42" spans="1:18" ht="18" customHeight="1">
      <c r="A42" s="352"/>
      <c r="B42" s="353"/>
      <c r="C42" s="354"/>
      <c r="D42" s="372"/>
      <c r="E42" s="346" t="s">
        <v>1478</v>
      </c>
      <c r="F42" s="356">
        <f ca="1">INDIRECT("'数据-取费表'!v"&amp;$G$1)</f>
        <v>2.5000000000000001E-2</v>
      </c>
      <c r="G42" s="1845"/>
      <c r="H42" s="731"/>
      <c r="I42" s="1854"/>
      <c r="J42" s="1855"/>
      <c r="K42" s="750"/>
      <c r="L42" s="731"/>
      <c r="M42" s="731"/>
    </row>
    <row r="43" spans="1:18" ht="18" customHeight="1" thickBot="1">
      <c r="A43" s="379" t="s">
        <v>1033</v>
      </c>
      <c r="B43" s="380" t="s">
        <v>1488</v>
      </c>
      <c r="C43" s="381">
        <f ca="1">ROUND(C40*10000/F43,0)</f>
        <v>4589</v>
      </c>
      <c r="D43" s="382" t="s">
        <v>1489</v>
      </c>
      <c r="E43" s="383" t="s">
        <v>1490</v>
      </c>
      <c r="F43" s="384">
        <f ca="1">INDIRECT("'数据-取费表'!k"&amp;$G$1)</f>
        <v>35529.1</v>
      </c>
      <c r="G43" s="1845"/>
      <c r="H43" s="731"/>
      <c r="I43" s="731"/>
      <c r="J43" s="731"/>
      <c r="K43" s="750"/>
      <c r="L43" s="731"/>
      <c r="M43" s="731"/>
    </row>
    <row r="44" spans="1:18" s="1836" customFormat="1" ht="18" customHeight="1">
      <c r="A44" s="1860"/>
      <c r="B44" s="1860"/>
      <c r="C44" s="1861">
        <f ca="1">C40/F7</f>
        <v>16.064039408866996</v>
      </c>
      <c r="D44" s="1860"/>
      <c r="E44" s="1860"/>
      <c r="F44" s="1860"/>
      <c r="K44" s="1862"/>
    </row>
    <row r="45" spans="1:18" s="1836" customFormat="1" ht="18" customHeight="1" thickBot="1">
      <c r="A45" s="1860"/>
      <c r="B45" s="1860"/>
      <c r="C45" s="1861"/>
      <c r="D45" s="1860"/>
      <c r="E45" s="1860"/>
      <c r="F45" s="1860"/>
      <c r="J45" s="795"/>
      <c r="O45" s="1863" t="s">
        <v>1520</v>
      </c>
      <c r="P45" s="1833"/>
      <c r="Q45" s="1833"/>
      <c r="R45" s="1833"/>
    </row>
    <row r="46" spans="1:18" s="1836" customFormat="1" ht="13.5" thickBot="1">
      <c r="A46" s="1864" t="s">
        <v>1521</v>
      </c>
      <c r="C46" s="1865">
        <f ca="1">C68-C40</f>
        <v>-44320</v>
      </c>
      <c r="D46" s="1866" t="str">
        <f>C2</f>
        <v>万元</v>
      </c>
      <c r="E46" s="1860"/>
      <c r="F46" s="1860"/>
      <c r="I46" s="1867" t="s">
        <v>1522</v>
      </c>
      <c r="J46" s="1868"/>
      <c r="K46" s="1869"/>
      <c r="L46" s="1870" t="str">
        <f ca="1">IF(M47="住宅",0,IF(L48&gt;J51,L60,J60))</f>
        <v>0</v>
      </c>
      <c r="O46" s="1871" t="s">
        <v>1523</v>
      </c>
      <c r="P46" s="1872" t="s">
        <v>1524</v>
      </c>
      <c r="Q46" s="1873" t="s">
        <v>1525</v>
      </c>
      <c r="R46" s="1873" t="s">
        <v>1526</v>
      </c>
    </row>
    <row r="47" spans="1:18" s="1836" customFormat="1" ht="13.5" thickBot="1">
      <c r="A47" s="1161" t="s">
        <v>1396</v>
      </c>
      <c r="B47" s="1193" t="s">
        <v>1397</v>
      </c>
      <c r="C47" s="1363" t="s">
        <v>1398</v>
      </c>
      <c r="D47" s="1193" t="s">
        <v>1399</v>
      </c>
      <c r="E47" s="1275" t="s">
        <v>1400</v>
      </c>
      <c r="F47" s="1276"/>
      <c r="G47" s="791"/>
      <c r="I47" s="1874" t="s">
        <v>1527</v>
      </c>
      <c r="J47" s="1875" t="s">
        <v>3156</v>
      </c>
      <c r="K47" s="1876" t="s">
        <v>1528</v>
      </c>
      <c r="L47" s="1877">
        <f ca="1">INDIRECT("'数据-取费表'!d"&amp;$G$1)</f>
        <v>50</v>
      </c>
      <c r="M47" s="1832" t="str">
        <f>IF(ISNUMBER(FIND("住宅",C1)),"住宅","非住宅")</f>
        <v>非住宅</v>
      </c>
      <c r="O47" s="1878" t="s">
        <v>1040</v>
      </c>
      <c r="P47" s="1879" t="s">
        <v>1529</v>
      </c>
      <c r="Q47" s="1880">
        <f ca="1">C40+J29</f>
        <v>16305</v>
      </c>
      <c r="R47" s="1880" t="s">
        <v>1530</v>
      </c>
    </row>
    <row r="48" spans="1:18" s="1836" customFormat="1" ht="28.5" thickBot="1">
      <c r="A48" s="1356" t="s">
        <v>1135</v>
      </c>
      <c r="B48" s="344" t="s">
        <v>1401</v>
      </c>
      <c r="C48" s="1811">
        <f ca="1">C49+C53+C55</f>
        <v>0</v>
      </c>
      <c r="D48" s="1358"/>
      <c r="E48" s="1359"/>
      <c r="F48" s="1177"/>
      <c r="G48" s="791"/>
      <c r="H48" s="792"/>
      <c r="I48" s="1881" t="s">
        <v>1531</v>
      </c>
      <c r="J48" s="1882" t="s">
        <v>3157</v>
      </c>
      <c r="K48" s="1883" t="s">
        <v>1532</v>
      </c>
      <c r="L48" s="1884">
        <f ca="1">INDIRECT("'数据-取费表'!f"&amp;$G$1)</f>
        <v>46.43</v>
      </c>
      <c r="O48" s="1878" t="s">
        <v>1041</v>
      </c>
      <c r="P48" s="1879" t="s">
        <v>1533</v>
      </c>
      <c r="Q48" s="1880" t="str">
        <f ca="1">J60</f>
        <v>0</v>
      </c>
      <c r="R48" s="1880" t="s">
        <v>1534</v>
      </c>
    </row>
    <row r="49" spans="1:18" s="1836" customFormat="1" ht="13.5" thickBot="1">
      <c r="A49" s="1190" t="s">
        <v>1136</v>
      </c>
      <c r="B49" s="1823" t="s">
        <v>1491</v>
      </c>
      <c r="C49" s="1360">
        <f ca="1">ROUND(F49*F51*F50*(1-F52)/10000,0)</f>
        <v>0</v>
      </c>
      <c r="D49" s="1272" t="s">
        <v>3033</v>
      </c>
      <c r="E49" s="1824" t="s">
        <v>1492</v>
      </c>
      <c r="F49" s="1277"/>
      <c r="G49" s="1885"/>
      <c r="H49" s="792"/>
      <c r="I49" s="1881" t="s">
        <v>1535</v>
      </c>
      <c r="J49" s="1886"/>
      <c r="K49" s="1883" t="s">
        <v>1536</v>
      </c>
      <c r="L49" s="1887"/>
      <c r="O49" s="1888" t="s">
        <v>1042</v>
      </c>
      <c r="P49" s="1879" t="s">
        <v>1537</v>
      </c>
      <c r="Q49" s="1880">
        <f ca="1">C29</f>
        <v>16773</v>
      </c>
      <c r="R49" s="1880" t="s">
        <v>1530</v>
      </c>
    </row>
    <row r="50" spans="1:18" s="1836" customFormat="1" ht="13.5" thickBot="1">
      <c r="A50" s="1191"/>
      <c r="B50" s="1194"/>
      <c r="C50" s="1364"/>
      <c r="D50" s="1168"/>
      <c r="E50" s="1273" t="s">
        <v>1406</v>
      </c>
      <c r="F50" s="1274">
        <f ca="1">F7</f>
        <v>1015</v>
      </c>
      <c r="H50" s="792"/>
      <c r="I50" s="1881" t="s">
        <v>1538</v>
      </c>
      <c r="J50" s="1889">
        <f>SUMPRODUCT((I63:I65=J47)*(J62:L62=J48)*(J63:L65))</f>
        <v>60</v>
      </c>
      <c r="K50" s="1883" t="s">
        <v>1539</v>
      </c>
      <c r="L50" s="1887"/>
      <c r="M50" s="1890"/>
      <c r="O50" s="1888" t="s">
        <v>1043</v>
      </c>
      <c r="P50" s="1879" t="s">
        <v>1540</v>
      </c>
      <c r="Q50" s="1891" t="e">
        <f ca="1">J58</f>
        <v>#VALUE!</v>
      </c>
      <c r="R50" s="1880"/>
    </row>
    <row r="51" spans="1:18" s="1836" customFormat="1" ht="13.5" thickBot="1">
      <c r="A51" s="1192"/>
      <c r="B51" s="1194"/>
      <c r="C51" s="1195"/>
      <c r="D51" s="1168"/>
      <c r="E51" s="1196" t="s">
        <v>1407</v>
      </c>
      <c r="F51" s="347">
        <f ca="1">F8</f>
        <v>12</v>
      </c>
      <c r="I51" s="1892" t="s">
        <v>1541</v>
      </c>
      <c r="J51" s="1893">
        <f>IF(J49="",J50,J49+J50-YEAR('数据-取费表'!B2))</f>
        <v>60</v>
      </c>
      <c r="K51" s="1894" t="s">
        <v>1542</v>
      </c>
      <c r="L51" s="1895">
        <f ca="1">ROUND(-PV(INDIRECT("'数据-取费表'!h"&amp;$G$1),L48,(C39-C13*C76),0),0)</f>
        <v>-13581</v>
      </c>
      <c r="M51" s="1896"/>
      <c r="O51" s="1888" t="s">
        <v>1044</v>
      </c>
      <c r="P51" s="1879" t="s">
        <v>1543</v>
      </c>
      <c r="Q51" s="1891">
        <f>J52</f>
        <v>0</v>
      </c>
      <c r="R51" s="1880"/>
    </row>
    <row r="52" spans="1:18" s="1836" customFormat="1" ht="13.5" thickBot="1">
      <c r="A52" s="1192"/>
      <c r="B52" s="1194"/>
      <c r="C52" s="1195"/>
      <c r="D52" s="1168"/>
      <c r="E52" s="1196" t="s">
        <v>1408</v>
      </c>
      <c r="F52" s="1271"/>
      <c r="I52" s="1897" t="s">
        <v>1544</v>
      </c>
      <c r="J52" s="1898"/>
      <c r="K52" s="1897" t="s">
        <v>1545</v>
      </c>
      <c r="L52" s="1898"/>
      <c r="O52" s="1888" t="s">
        <v>1045</v>
      </c>
      <c r="P52" s="1879" t="s">
        <v>1546</v>
      </c>
      <c r="Q52" s="1880">
        <f ca="1">J53</f>
        <v>45.68</v>
      </c>
      <c r="R52" s="1880" t="s">
        <v>1547</v>
      </c>
    </row>
    <row r="53" spans="1:18" s="1836" customFormat="1" ht="24.75" thickBot="1">
      <c r="A53" s="1400" t="s">
        <v>1137</v>
      </c>
      <c r="B53" s="1825" t="s">
        <v>1409</v>
      </c>
      <c r="C53" s="360">
        <f ca="1">ROUND(IF(F53="押一",F49*F51*F50/12*F11,IF(F53="押二",F49*F51*F50/12*2*F11,IF(F53="押三",F49*F51*F50/12*3*F11,C54*F11)))/10000,0)</f>
        <v>0</v>
      </c>
      <c r="D53" s="1818" t="s">
        <v>3031</v>
      </c>
      <c r="E53" s="357" t="s">
        <v>1411</v>
      </c>
      <c r="F53" s="1362"/>
      <c r="I53" s="1899" t="s">
        <v>1548</v>
      </c>
      <c r="J53" s="1900">
        <f ca="1">IF(M47="住宅",J51,IF(D1="——",MIN(J51,L48),IF(D1="在建（套用方法）",MIN(J51,L48-'数据-取费表'!B24),IF(D1="土地（套用方法）",MIN(J51,L48-'数据-取费表'!B20)))))</f>
        <v>45.68</v>
      </c>
      <c r="K53" s="3197" t="s">
        <v>1549</v>
      </c>
      <c r="L53" s="3198"/>
      <c r="O53" s="1878" t="s">
        <v>1046</v>
      </c>
      <c r="P53" s="1879" t="s">
        <v>1550</v>
      </c>
      <c r="Q53" s="1880">
        <f ca="1">Q47+Q48</f>
        <v>16305</v>
      </c>
      <c r="R53" s="1880" t="s">
        <v>1047</v>
      </c>
    </row>
    <row r="54" spans="1:18" s="1836" customFormat="1" ht="13.5" thickBot="1">
      <c r="A54" s="1401"/>
      <c r="B54" s="1819" t="s">
        <v>1388</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1551</v>
      </c>
      <c r="P54" s="1833"/>
      <c r="Q54" s="1833"/>
      <c r="R54" s="1833"/>
    </row>
    <row r="55" spans="1:18" s="1836" customFormat="1" ht="13.5" thickBot="1">
      <c r="A55" s="1329" t="s">
        <v>1075</v>
      </c>
      <c r="B55" s="1821" t="s">
        <v>1414</v>
      </c>
      <c r="C55" s="1330"/>
      <c r="D55" s="1818"/>
      <c r="E55" s="1826"/>
      <c r="F55" s="1901"/>
      <c r="I55" s="1904" t="s">
        <v>1552</v>
      </c>
      <c r="J55" s="1905" t="e">
        <f ca="1">ROUND(IF(J47="钢混",J57/J50,1-(1-2%)*(J50-J57)/J50),3)</f>
        <v>#VALUE!</v>
      </c>
      <c r="K55" s="1906" t="s">
        <v>1553</v>
      </c>
      <c r="L55" s="1907" t="s">
        <v>1554</v>
      </c>
      <c r="O55" s="1871" t="s">
        <v>1523</v>
      </c>
      <c r="P55" s="1872" t="s">
        <v>1524</v>
      </c>
      <c r="Q55" s="1873" t="s">
        <v>1525</v>
      </c>
      <c r="R55" s="1873" t="s">
        <v>1526</v>
      </c>
    </row>
    <row r="56" spans="1:18" s="1836" customFormat="1" ht="25.5" thickTop="1" thickBot="1">
      <c r="A56" s="1172">
        <v>2</v>
      </c>
      <c r="B56" s="1173" t="s">
        <v>1415</v>
      </c>
      <c r="C56" s="275">
        <f ca="1">C13</f>
        <v>16773</v>
      </c>
      <c r="D56" s="1908"/>
      <c r="E56" s="1909"/>
      <c r="F56" s="1901"/>
      <c r="I56" s="1910" t="s">
        <v>1555</v>
      </c>
      <c r="J56" s="1911" t="s">
        <v>3041</v>
      </c>
      <c r="K56" s="1881" t="s">
        <v>1556</v>
      </c>
      <c r="L56" s="1884" t="str">
        <f ca="1">IF(L48&lt;J51,"——",L48-J53)</f>
        <v>——</v>
      </c>
      <c r="O56" s="1878" t="s">
        <v>1040</v>
      </c>
      <c r="P56" s="1879" t="s">
        <v>1529</v>
      </c>
      <c r="Q56" s="1880">
        <f ca="1">C40+J29</f>
        <v>16305</v>
      </c>
      <c r="R56" s="1880" t="s">
        <v>1530</v>
      </c>
    </row>
    <row r="57" spans="1:18" s="1836" customFormat="1" ht="24.75" thickBot="1">
      <c r="A57" s="1912"/>
      <c r="B57" s="1165" t="s">
        <v>1479</v>
      </c>
      <c r="C57" s="281">
        <f ca="1">C29</f>
        <v>16773</v>
      </c>
      <c r="D57" s="1913"/>
      <c r="E57" s="1914"/>
      <c r="F57" s="1915"/>
      <c r="I57" s="1916" t="s">
        <v>1557</v>
      </c>
      <c r="J57" s="1917" t="str">
        <f ca="1">IF(OR(M47="住宅",J51&lt;L48,J56="是"),"——",J51-L48)</f>
        <v>——</v>
      </c>
      <c r="K57" s="1881" t="s">
        <v>1558</v>
      </c>
      <c r="L57" s="1884" t="str">
        <f ca="1">IF(L48&lt;J51,"——",IF(L55="比较法",L49,IF(L55="基准地价",L50,L51)))</f>
        <v>——</v>
      </c>
      <c r="O57" s="1878" t="s">
        <v>1041</v>
      </c>
      <c r="P57" s="1879" t="s">
        <v>1559</v>
      </c>
      <c r="Q57" s="1880">
        <f ca="1">L60</f>
        <v>0</v>
      </c>
      <c r="R57" s="1880" t="s">
        <v>1560</v>
      </c>
    </row>
    <row r="58" spans="1:18" s="1836" customFormat="1" ht="24.75" thickBot="1">
      <c r="A58" s="359" t="s">
        <v>1030</v>
      </c>
      <c r="B58" s="1173" t="s">
        <v>1425</v>
      </c>
      <c r="C58" s="360">
        <f ca="1">ROUND(C59+C64+C65+C66,0)</f>
        <v>1687</v>
      </c>
      <c r="D58" s="1175" t="s">
        <v>1426</v>
      </c>
      <c r="E58" s="1176"/>
      <c r="F58" s="1177"/>
      <c r="I58" s="1916" t="s">
        <v>1561</v>
      </c>
      <c r="J58" s="1918" t="e">
        <f ca="1">IF(J55&lt;0.4,0.4,J55)</f>
        <v>#VALUE!</v>
      </c>
      <c r="K58" s="1894" t="s">
        <v>1562</v>
      </c>
      <c r="L58" s="1884" t="e">
        <f ca="1">ROUND(POWER(1+L52,L47-L48)*(POWER(1+L52,L48)-1)/(POWER(1+L52,L47)-1),4)</f>
        <v>#DIV/0!</v>
      </c>
      <c r="O58" s="1888" t="s">
        <v>1042</v>
      </c>
      <c r="P58" s="1879" t="s">
        <v>1563</v>
      </c>
      <c r="Q58" s="1880">
        <f>IF(L55="比较法",L49,IF(L55="基准地价",L50,0))</f>
        <v>0</v>
      </c>
      <c r="R58" s="1880" t="s">
        <v>1530</v>
      </c>
    </row>
    <row r="59" spans="1:18" s="1836" customFormat="1" ht="24.75" thickBot="1">
      <c r="A59" s="1197" t="s">
        <v>1035</v>
      </c>
      <c r="B59" s="1165" t="s">
        <v>1430</v>
      </c>
      <c r="C59" s="24">
        <f ca="1">ROUND(IF(项目基本情况!B11="自然人",C48*F59,C60+C61+C62),1)</f>
        <v>1410.1</v>
      </c>
      <c r="D59" s="1178" t="s">
        <v>1431</v>
      </c>
      <c r="E59" s="1179" t="s">
        <v>1432</v>
      </c>
      <c r="F59" s="367" t="str">
        <f ca="1">IF(项目基本情况!B11="企业","",IF(INDIRECT("'数据-取费表'!c"&amp;$G$1)="住宅",5%,IF(F49*F50*F51/12/(1+'数据-取费表'!C42)&gt;20000,12%,7%)))</f>
        <v/>
      </c>
      <c r="I59" s="1916" t="s">
        <v>1564</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1565</v>
      </c>
      <c r="Q59" s="1891">
        <f>L52</f>
        <v>0</v>
      </c>
      <c r="R59" s="1880"/>
    </row>
    <row r="60" spans="1:18" s="1836" customFormat="1" ht="16.5" thickBot="1">
      <c r="A60" s="1197" t="s">
        <v>1034</v>
      </c>
      <c r="B60" s="1165" t="s">
        <v>1434</v>
      </c>
      <c r="C60" s="24">
        <f ca="1">IF(项目基本情况!B11="自然人","——",ROUND(C48*F60/(1+'数据-取费表'!C42),2))</f>
        <v>0</v>
      </c>
      <c r="D60" s="1179" t="s">
        <v>1435</v>
      </c>
      <c r="E60" s="1165" t="s">
        <v>1423</v>
      </c>
      <c r="F60" s="376">
        <f t="shared" ref="F60:F66" si="0">F32</f>
        <v>5.5000000000000007E-2</v>
      </c>
      <c r="I60" s="1919" t="s">
        <v>1566</v>
      </c>
      <c r="J60" s="1920" t="str">
        <f ca="1">IF(OR(M47="住宅",J51&lt;L48,J56="是"),"0",ROUND(J59/(1+J52)^J53,0))</f>
        <v>0</v>
      </c>
      <c r="K60" s="1921" t="s">
        <v>1567</v>
      </c>
      <c r="L60" s="1920">
        <f ca="1">IF(OR(M47="住宅",L48&lt;J51),0,ROUND(L57*(L58/L59-1),0))</f>
        <v>0</v>
      </c>
      <c r="O60" s="1888" t="s">
        <v>1044</v>
      </c>
      <c r="P60" s="1879" t="s">
        <v>1568</v>
      </c>
      <c r="Q60" s="1880" t="e">
        <f ca="1">L58</f>
        <v>#DIV/0!</v>
      </c>
      <c r="R60" s="1880" t="s">
        <v>1569</v>
      </c>
    </row>
    <row r="61" spans="1:18" s="1836" customFormat="1" ht="13.5" thickBot="1">
      <c r="A61" s="1197" t="s">
        <v>1493</v>
      </c>
      <c r="B61" s="1165" t="s">
        <v>1494</v>
      </c>
      <c r="C61" s="24">
        <f ca="1">IF(项目基本情况!B11="自然人","——",IF(D61="按租金收入计税",ROUND(C48*F61,2),IF(D61="按房产原值计税",ROUND(C57*F61*0.7,2),INDIRECT("'数据-取费表'!Aj"&amp;$G$1))))</f>
        <v>1408.93</v>
      </c>
      <c r="D61" s="1822" t="s">
        <v>1439</v>
      </c>
      <c r="E61" s="1165" t="s">
        <v>1495</v>
      </c>
      <c r="F61" s="366">
        <f t="shared" si="0"/>
        <v>0.12</v>
      </c>
      <c r="I61" s="1922"/>
      <c r="J61" s="1922"/>
      <c r="K61" s="1922"/>
      <c r="L61" s="1922"/>
      <c r="O61" s="1888" t="s">
        <v>1045</v>
      </c>
      <c r="P61" s="1879" t="str">
        <f>K59</f>
        <v>续建工期及建筑物耐用年限下的土地年期修正系数Kn</v>
      </c>
      <c r="Q61" s="1880" t="e">
        <f ca="1">L59</f>
        <v>#DIV/0!</v>
      </c>
      <c r="R61" s="1880" t="s">
        <v>1570</v>
      </c>
    </row>
    <row r="62" spans="1:18" s="1836" customFormat="1" ht="13.5" thickBot="1">
      <c r="A62" s="1197" t="s">
        <v>1496</v>
      </c>
      <c r="B62" s="1164" t="s">
        <v>1497</v>
      </c>
      <c r="C62" s="25">
        <f ca="1">IF(项目基本情况!B11="自然人","——",ROUND(F62*F63/10000,2))</f>
        <v>1.19</v>
      </c>
      <c r="D62" s="1180" t="s">
        <v>1498</v>
      </c>
      <c r="E62" s="1165" t="s">
        <v>1499</v>
      </c>
      <c r="F62" s="370">
        <f t="shared" si="0"/>
        <v>1.5</v>
      </c>
      <c r="I62" s="1923" t="s">
        <v>1571</v>
      </c>
      <c r="J62" s="1924" t="s">
        <v>1572</v>
      </c>
      <c r="K62" s="1924" t="s">
        <v>1573</v>
      </c>
      <c r="L62" s="1924" t="s">
        <v>1574</v>
      </c>
      <c r="M62" s="1925" t="s">
        <v>1575</v>
      </c>
      <c r="O62" s="1878" t="s">
        <v>1046</v>
      </c>
      <c r="P62" s="1879" t="s">
        <v>1576</v>
      </c>
      <c r="Q62" s="1880">
        <f ca="1">Q56+Q57</f>
        <v>16305</v>
      </c>
      <c r="R62" s="1880" t="s">
        <v>1047</v>
      </c>
    </row>
    <row r="63" spans="1:18" s="1836" customFormat="1" ht="13.5" thickBot="1">
      <c r="A63" s="371"/>
      <c r="B63" s="1171"/>
      <c r="C63" s="29"/>
      <c r="D63" s="1181"/>
      <c r="E63" s="1165" t="s">
        <v>1500</v>
      </c>
      <c r="F63" s="347">
        <f t="shared" ca="1" si="0"/>
        <v>7934.75</v>
      </c>
      <c r="I63" s="1923" t="s">
        <v>1577</v>
      </c>
      <c r="J63" s="1924">
        <v>70</v>
      </c>
      <c r="K63" s="1924">
        <v>50</v>
      </c>
      <c r="L63" s="1924">
        <v>80</v>
      </c>
      <c r="M63" s="1926">
        <v>0.02</v>
      </c>
      <c r="O63" s="1863" t="s">
        <v>1578</v>
      </c>
      <c r="P63" s="1833"/>
      <c r="Q63" s="1833"/>
      <c r="R63" s="1833"/>
    </row>
    <row r="64" spans="1:18" s="1836" customFormat="1" ht="13.5" thickBot="1">
      <c r="A64" s="1197" t="s">
        <v>1501</v>
      </c>
      <c r="B64" s="1165" t="s">
        <v>1502</v>
      </c>
      <c r="C64" s="24">
        <f ca="1">ROUND(C57*F64,1)</f>
        <v>251.6</v>
      </c>
      <c r="D64" s="1179" t="s">
        <v>1503</v>
      </c>
      <c r="E64" s="1165" t="s">
        <v>1495</v>
      </c>
      <c r="F64" s="373">
        <f t="shared" ca="1" si="0"/>
        <v>1.4999999999999999E-2</v>
      </c>
      <c r="I64" s="1923" t="s">
        <v>1579</v>
      </c>
      <c r="J64" s="1924">
        <v>50</v>
      </c>
      <c r="K64" s="1924">
        <v>35</v>
      </c>
      <c r="L64" s="1924">
        <v>60</v>
      </c>
      <c r="M64" s="1925">
        <v>0</v>
      </c>
      <c r="O64" s="1871" t="s">
        <v>1523</v>
      </c>
      <c r="P64" s="1872" t="s">
        <v>1524</v>
      </c>
      <c r="Q64" s="1873" t="s">
        <v>1525</v>
      </c>
      <c r="R64" s="1873" t="s">
        <v>1526</v>
      </c>
    </row>
    <row r="65" spans="1:18" s="1836" customFormat="1" ht="13.5" thickBot="1">
      <c r="A65" s="1197" t="s">
        <v>1504</v>
      </c>
      <c r="B65" s="1165" t="s">
        <v>1454</v>
      </c>
      <c r="C65" s="24">
        <f ca="1">ROUND(C56*F65,1)</f>
        <v>25.2</v>
      </c>
      <c r="D65" s="1179" t="s">
        <v>1455</v>
      </c>
      <c r="E65" s="1165" t="s">
        <v>1456</v>
      </c>
      <c r="F65" s="375">
        <f t="shared" ca="1" si="0"/>
        <v>1.5E-3</v>
      </c>
      <c r="I65" s="1923" t="s">
        <v>1580</v>
      </c>
      <c r="J65" s="1924">
        <v>40</v>
      </c>
      <c r="K65" s="1924">
        <v>30</v>
      </c>
      <c r="L65" s="1924">
        <v>50</v>
      </c>
      <c r="M65" s="1926">
        <v>0.02</v>
      </c>
      <c r="O65" s="1878" t="s">
        <v>1040</v>
      </c>
      <c r="P65" s="1879" t="s">
        <v>1581</v>
      </c>
      <c r="Q65" s="1880">
        <f ca="1">C40+J29</f>
        <v>16305</v>
      </c>
      <c r="R65" s="1880" t="s">
        <v>1530</v>
      </c>
    </row>
    <row r="66" spans="1:18" s="1836" customFormat="1" ht="16.5" thickBot="1">
      <c r="A66" s="1197" t="s">
        <v>1505</v>
      </c>
      <c r="B66" s="1165" t="s">
        <v>1440</v>
      </c>
      <c r="C66" s="24">
        <f ca="1">ROUND(C48*F66,1)</f>
        <v>0</v>
      </c>
      <c r="D66" s="1179" t="s">
        <v>1506</v>
      </c>
      <c r="E66" s="1165" t="s">
        <v>1423</v>
      </c>
      <c r="F66" s="356">
        <f t="shared" ca="1" si="0"/>
        <v>0.01</v>
      </c>
      <c r="O66" s="1878" t="s">
        <v>1041</v>
      </c>
      <c r="P66" s="1879" t="s">
        <v>1559</v>
      </c>
      <c r="Q66" s="1880">
        <f ca="1">L60</f>
        <v>0</v>
      </c>
      <c r="R66" s="1880" t="s">
        <v>1582</v>
      </c>
    </row>
    <row r="67" spans="1:18" s="1836" customFormat="1" ht="16.5" thickBot="1">
      <c r="A67" s="1172" t="s">
        <v>1031</v>
      </c>
      <c r="B67" s="1182" t="s">
        <v>1464</v>
      </c>
      <c r="C67" s="360">
        <f ca="1">C48-C58</f>
        <v>-1687</v>
      </c>
      <c r="D67" s="1178" t="s">
        <v>1465</v>
      </c>
      <c r="E67" s="1183"/>
      <c r="F67" s="1184"/>
      <c r="O67" s="1888" t="s">
        <v>1042</v>
      </c>
      <c r="P67" s="1879" t="s">
        <v>1563</v>
      </c>
      <c r="Q67" s="1927">
        <f ca="1">L51</f>
        <v>-13581</v>
      </c>
      <c r="R67" s="1880" t="s">
        <v>1583</v>
      </c>
    </row>
    <row r="68" spans="1:18" s="1836" customFormat="1" ht="16.5" thickBot="1">
      <c r="A68" s="1162" t="s">
        <v>1032</v>
      </c>
      <c r="B68" s="1163" t="s">
        <v>1486</v>
      </c>
      <c r="C68" s="345">
        <f ca="1">ROUND(C67*(1-((1+F70)/(1+F68))^F69)/(F68-F70),0)</f>
        <v>-28015</v>
      </c>
      <c r="D68" s="1180" t="s">
        <v>1470</v>
      </c>
      <c r="E68" s="1165" t="s">
        <v>1471</v>
      </c>
      <c r="F68" s="356">
        <f ca="1">F40</f>
        <v>5.5E-2</v>
      </c>
      <c r="O68" s="1888" t="s">
        <v>1043</v>
      </c>
      <c r="P68" s="1928" t="s">
        <v>1584</v>
      </c>
      <c r="Q68" s="1880">
        <f ca="1">ROUND(Q69-Q70*Q71,0)</f>
        <v>-758</v>
      </c>
      <c r="R68" s="1880" t="s">
        <v>1051</v>
      </c>
    </row>
    <row r="69" spans="1:18" s="1836" customFormat="1" ht="13.5" thickBot="1">
      <c r="A69" s="1166"/>
      <c r="B69" s="1167"/>
      <c r="C69" s="350"/>
      <c r="D69" s="1185" t="s">
        <v>1474</v>
      </c>
      <c r="E69" s="1165" t="s">
        <v>1475</v>
      </c>
      <c r="F69" s="378">
        <f ca="1">F41</f>
        <v>45.68</v>
      </c>
      <c r="O69" s="1888" t="s">
        <v>1048</v>
      </c>
      <c r="P69" s="1928" t="s">
        <v>1585</v>
      </c>
      <c r="Q69" s="1880">
        <f ca="1">C39</f>
        <v>668</v>
      </c>
      <c r="R69" s="1880" t="s">
        <v>1530</v>
      </c>
    </row>
    <row r="70" spans="1:18" s="1836" customFormat="1" ht="13.5" thickBot="1">
      <c r="A70" s="1169"/>
      <c r="B70" s="1170"/>
      <c r="C70" s="354"/>
      <c r="D70" s="1181"/>
      <c r="E70" s="1165" t="s">
        <v>1478</v>
      </c>
      <c r="F70" s="1271"/>
      <c r="O70" s="1888" t="s">
        <v>1049</v>
      </c>
      <c r="P70" s="1928" t="s">
        <v>1586</v>
      </c>
      <c r="Q70" s="1880">
        <f ca="1">C13</f>
        <v>16773</v>
      </c>
      <c r="R70" s="1880" t="s">
        <v>1530</v>
      </c>
    </row>
    <row r="71" spans="1:18" s="1836" customFormat="1" ht="13.5" thickBot="1">
      <c r="A71" s="1186" t="s">
        <v>1033</v>
      </c>
      <c r="B71" s="1187" t="s">
        <v>1488</v>
      </c>
      <c r="C71" s="381">
        <f ca="1">ROUND(C68*10000/F71,0)</f>
        <v>-7885</v>
      </c>
      <c r="D71" s="1188" t="s">
        <v>1489</v>
      </c>
      <c r="E71" s="1189" t="s">
        <v>1490</v>
      </c>
      <c r="F71" s="384">
        <f ca="1">F43</f>
        <v>35529.1</v>
      </c>
      <c r="O71" s="1888" t="s">
        <v>1050</v>
      </c>
      <c r="P71" s="1928" t="s">
        <v>1587</v>
      </c>
      <c r="Q71" s="1891">
        <f ca="1">C76</f>
        <v>8.5000000000000006E-2</v>
      </c>
      <c r="R71" s="1880"/>
    </row>
    <row r="72" spans="1:18" s="1836" customFormat="1" ht="13.5" thickBot="1">
      <c r="B72" s="795"/>
      <c r="C72" s="795"/>
      <c r="O72" s="1888" t="s">
        <v>1044</v>
      </c>
      <c r="P72" s="1879" t="s">
        <v>1565</v>
      </c>
      <c r="Q72" s="1891">
        <f>L52</f>
        <v>0</v>
      </c>
      <c r="R72" s="1880"/>
    </row>
    <row r="73" spans="1:18" ht="16.5" thickBot="1">
      <c r="A73" s="1836"/>
      <c r="B73" s="795"/>
      <c r="C73" s="795"/>
      <c r="D73" s="1836"/>
      <c r="E73" s="1836"/>
      <c r="F73" s="1836"/>
      <c r="O73" s="1888" t="s">
        <v>1045</v>
      </c>
      <c r="P73" s="1879" t="s">
        <v>1568</v>
      </c>
      <c r="Q73" s="1880" t="e">
        <f ca="1">L58</f>
        <v>#DIV/0!</v>
      </c>
      <c r="R73" s="1880" t="s">
        <v>1569</v>
      </c>
    </row>
    <row r="74" spans="1:18" ht="13.5" thickBot="1">
      <c r="A74" s="1836"/>
      <c r="B74" s="316" t="s">
        <v>1588</v>
      </c>
      <c r="C74" s="1930"/>
      <c r="D74" s="1836"/>
      <c r="E74" s="1836"/>
      <c r="F74" s="1836"/>
      <c r="O74" s="1888" t="s">
        <v>1052</v>
      </c>
      <c r="P74" s="1879" t="str">
        <f>K59</f>
        <v>续建工期及建筑物耐用年限下的土地年期修正系数Kn</v>
      </c>
      <c r="Q74" s="1880" t="e">
        <f ca="1">L59</f>
        <v>#DIV/0!</v>
      </c>
      <c r="R74" s="1880" t="s">
        <v>1570</v>
      </c>
    </row>
    <row r="75" spans="1:18" ht="13.5" thickBot="1">
      <c r="A75" s="1836"/>
      <c r="B75" s="385" t="s">
        <v>1507</v>
      </c>
      <c r="C75" s="386">
        <f ca="1">ROUND(C13*C76,0)</f>
        <v>1426</v>
      </c>
      <c r="D75" s="1836"/>
      <c r="E75" s="1836"/>
      <c r="F75" s="1836"/>
      <c r="K75" s="1862"/>
      <c r="L75" s="1836"/>
      <c r="O75" s="1878" t="s">
        <v>1046</v>
      </c>
      <c r="P75" s="1879" t="s">
        <v>1550</v>
      </c>
      <c r="Q75" s="1880">
        <f ca="1">Q65+Q66</f>
        <v>16305</v>
      </c>
      <c r="R75" s="1880" t="s">
        <v>1047</v>
      </c>
    </row>
    <row r="76" spans="1:18">
      <c r="B76" s="387" t="s">
        <v>1508</v>
      </c>
      <c r="C76" s="388">
        <f ca="1">INDIRECT("'数据-取费表'!j"&amp;$G$1)</f>
        <v>8.5000000000000006E-2</v>
      </c>
      <c r="I76" s="1836"/>
      <c r="J76" s="1836"/>
      <c r="K76" s="1862"/>
      <c r="L76" s="1836"/>
    </row>
    <row r="77" spans="1:18">
      <c r="B77" s="389" t="s">
        <v>1509</v>
      </c>
      <c r="C77" s="390"/>
      <c r="I77" s="1836"/>
      <c r="J77" s="1836"/>
      <c r="K77" s="1862"/>
      <c r="L77" s="1836"/>
    </row>
    <row r="78" spans="1:18">
      <c r="B78" s="313" t="s">
        <v>1510</v>
      </c>
      <c r="C78" s="391"/>
    </row>
    <row r="79" spans="1:18">
      <c r="B79" s="385" t="s">
        <v>1511</v>
      </c>
      <c r="C79" s="317">
        <f ca="1">1-C80</f>
        <v>-1.1349999999999998</v>
      </c>
    </row>
    <row r="80" spans="1:18">
      <c r="B80" s="385" t="s">
        <v>1512</v>
      </c>
      <c r="C80" s="317">
        <f ca="1">ROUND(C75/C39,3)</f>
        <v>2.1349999999999998</v>
      </c>
    </row>
    <row r="81" spans="2:3">
      <c r="B81" s="313" t="s">
        <v>1513</v>
      </c>
      <c r="C81" s="281"/>
    </row>
    <row r="82" spans="2:3">
      <c r="B82" s="316" t="s">
        <v>1514</v>
      </c>
      <c r="C82" s="318">
        <f ca="1">1-C83</f>
        <v>-2.8999999999999915E-2</v>
      </c>
    </row>
    <row r="83" spans="2:3">
      <c r="B83" s="316" t="s">
        <v>1515</v>
      </c>
      <c r="C83" s="317">
        <f ca="1">ROUND(C13/C40,3)</f>
        <v>1.0289999999999999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1590</v>
      </c>
      <c r="B1" s="781"/>
      <c r="C1" s="1831"/>
      <c r="D1" s="1814"/>
      <c r="E1" s="1815" t="s">
        <v>1387</v>
      </c>
      <c r="F1" s="1279" t="b">
        <f>J53</f>
        <v>0</v>
      </c>
      <c r="G1" s="1830">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1591</v>
      </c>
      <c r="B2" s="1838" t="e">
        <f ca="1">ROUND(D2/10000,0)</f>
        <v>#DIV/0!</v>
      </c>
      <c r="C2" s="1839" t="s">
        <v>1592</v>
      </c>
      <c r="D2" s="1932" t="e">
        <f ca="1">C40+J29+L46</f>
        <v>#DIV/0!</v>
      </c>
      <c r="E2" s="1840" t="s">
        <v>1593</v>
      </c>
      <c r="F2" s="1841"/>
      <c r="G2" s="1842"/>
      <c r="H2" s="1834"/>
      <c r="I2" s="1834"/>
      <c r="J2" s="1834"/>
      <c r="K2" s="1835"/>
      <c r="L2" s="1834"/>
      <c r="M2" s="1834"/>
    </row>
    <row r="3" spans="1:37" ht="18" customHeight="1" thickBot="1">
      <c r="A3" s="1843" t="s">
        <v>1594</v>
      </c>
      <c r="B3" s="1844">
        <f ca="1">IF(ISERROR(D2/F43),0,ROUND(D2/F43,0))</f>
        <v>0</v>
      </c>
      <c r="C3" s="1839" t="s">
        <v>1595</v>
      </c>
      <c r="D3" s="1839"/>
      <c r="E3" s="1840"/>
      <c r="F3" s="1841"/>
      <c r="G3" s="1842"/>
      <c r="H3" s="743" t="s">
        <v>1589</v>
      </c>
      <c r="I3" s="1834"/>
      <c r="J3" s="1834"/>
      <c r="K3" s="1835"/>
      <c r="L3" s="1834"/>
      <c r="M3" s="1834"/>
    </row>
    <row r="4" spans="1:37" ht="18" customHeight="1">
      <c r="A4" s="339" t="s">
        <v>1596</v>
      </c>
      <c r="B4" s="340" t="s">
        <v>1597</v>
      </c>
      <c r="C4" s="340" t="s">
        <v>1598</v>
      </c>
      <c r="D4" s="340" t="s">
        <v>1599</v>
      </c>
      <c r="E4" s="341" t="s">
        <v>1600</v>
      </c>
      <c r="F4" s="342"/>
      <c r="G4" s="1845"/>
      <c r="H4" s="339" t="s">
        <v>1596</v>
      </c>
      <c r="I4" s="340" t="s">
        <v>1597</v>
      </c>
      <c r="J4" s="340" t="s">
        <v>1598</v>
      </c>
      <c r="K4" s="340" t="s">
        <v>1599</v>
      </c>
      <c r="L4" s="341" t="s">
        <v>1600</v>
      </c>
      <c r="M4" s="342"/>
    </row>
    <row r="5" spans="1:37" ht="18" customHeight="1">
      <c r="A5" s="343">
        <v>1</v>
      </c>
      <c r="B5" s="344" t="s">
        <v>1601</v>
      </c>
      <c r="C5" s="1288">
        <f ca="1">C6+C10+C12</f>
        <v>0</v>
      </c>
      <c r="D5" s="1816" t="s">
        <v>1602</v>
      </c>
      <c r="E5" s="1289"/>
      <c r="F5" s="1290"/>
      <c r="G5" s="1845"/>
      <c r="H5" s="343">
        <v>1</v>
      </c>
      <c r="I5" s="344" t="s">
        <v>1601</v>
      </c>
      <c r="J5" s="1288">
        <f ca="1">J6+J10+J12</f>
        <v>0</v>
      </c>
      <c r="K5" s="1816" t="s">
        <v>1602</v>
      </c>
      <c r="L5" s="1289"/>
      <c r="M5" s="1290"/>
    </row>
    <row r="6" spans="1:37" ht="18" customHeight="1">
      <c r="A6" s="1287" t="s">
        <v>1035</v>
      </c>
      <c r="B6" s="3199" t="s">
        <v>1403</v>
      </c>
      <c r="C6" s="1292">
        <f ca="1">ROUND(F6*F8*F7*(1-F9),0)</f>
        <v>0</v>
      </c>
      <c r="D6" s="163" t="s">
        <v>3025</v>
      </c>
      <c r="E6" s="346" t="s">
        <v>1405</v>
      </c>
      <c r="F6" s="347">
        <f ca="1">INDIRECT("'数据-取费表'!u"&amp;$G$1)</f>
        <v>0</v>
      </c>
      <c r="G6" s="1845"/>
      <c r="H6" s="1287" t="s">
        <v>1035</v>
      </c>
      <c r="I6" s="3199" t="s">
        <v>1403</v>
      </c>
      <c r="J6" s="345">
        <f ca="1">ROUND(M6*M8*M7*(1-M9),0)</f>
        <v>0</v>
      </c>
      <c r="K6" s="1828" t="s">
        <v>3028</v>
      </c>
      <c r="L6" s="346" t="s">
        <v>1405</v>
      </c>
      <c r="M6" s="347">
        <f ca="1">INDIRECT("'数据-取费表'!z"&amp;$G$1)</f>
        <v>0</v>
      </c>
    </row>
    <row r="7" spans="1:37" ht="18" customHeight="1">
      <c r="A7" s="1291"/>
      <c r="B7" s="3200"/>
      <c r="C7" s="1293"/>
      <c r="D7" s="351"/>
      <c r="E7" s="1294" t="s">
        <v>1406</v>
      </c>
      <c r="F7" s="347">
        <f ca="1">IF(INDIRECT("'数据-取费表'!ah"&amp;$G$1)="",INDIRECT("'数据-取费表'!k"&amp;$G$1),INDIRECT("'数据-取费表'!ah"&amp;$G$1))</f>
        <v>0</v>
      </c>
      <c r="G7" s="1845"/>
      <c r="H7" s="348"/>
      <c r="I7" s="3200"/>
      <c r="J7" s="350"/>
      <c r="K7" s="351"/>
      <c r="L7" s="346" t="s">
        <v>1406</v>
      </c>
      <c r="M7" s="347">
        <f ca="1">F7</f>
        <v>0</v>
      </c>
    </row>
    <row r="8" spans="1:37" ht="18" customHeight="1">
      <c r="A8" s="348"/>
      <c r="B8" s="3200"/>
      <c r="C8" s="350"/>
      <c r="D8" s="351"/>
      <c r="E8" s="346" t="s">
        <v>1407</v>
      </c>
      <c r="F8" s="347">
        <f ca="1">INDIRECT("'数据-取费表'!ai"&amp;$G$1)</f>
        <v>0</v>
      </c>
      <c r="G8" s="1845"/>
      <c r="H8" s="348"/>
      <c r="I8" s="3200"/>
      <c r="J8" s="350"/>
      <c r="K8" s="351"/>
      <c r="L8" s="346" t="s">
        <v>1407</v>
      </c>
      <c r="M8" s="347">
        <f ca="1">INDIRECT("'数据-取费表'!ai"&amp;$G$1)</f>
        <v>0</v>
      </c>
    </row>
    <row r="9" spans="1:37" ht="18" customHeight="1">
      <c r="A9" s="348"/>
      <c r="B9" s="3201"/>
      <c r="C9" s="350"/>
      <c r="D9" s="351"/>
      <c r="E9" s="346" t="s">
        <v>1408</v>
      </c>
      <c r="F9" s="356">
        <f ca="1">INDIRECT("'数据-取费表'!w"&amp;$G$1)</f>
        <v>0</v>
      </c>
      <c r="G9" s="1845"/>
      <c r="H9" s="348"/>
      <c r="I9" s="3201"/>
      <c r="J9" s="350"/>
      <c r="K9" s="351"/>
      <c r="L9" s="357" t="s">
        <v>1408</v>
      </c>
      <c r="M9" s="358">
        <f ca="1">INDIRECT("'数据-取费表'!ab"&amp;$G$1)</f>
        <v>0</v>
      </c>
    </row>
    <row r="10" spans="1:37" ht="18" customHeight="1">
      <c r="A10" s="1287" t="s">
        <v>1039</v>
      </c>
      <c r="B10" s="1817" t="s">
        <v>1409</v>
      </c>
      <c r="C10" s="360">
        <f ca="1">ROUND(IF(F10="押一",F6*F8*F7/12*F11,IF(F10="押二",F6*F8*F7/12*2*F11,IF(F10="押三",F6*F8*F7/12*3*F11,C11*F11))),0)</f>
        <v>0</v>
      </c>
      <c r="D10" s="1818" t="s">
        <v>3026</v>
      </c>
      <c r="E10" s="357" t="s">
        <v>1411</v>
      </c>
      <c r="F10" s="1362"/>
      <c r="G10" s="1845"/>
      <c r="H10" s="1287" t="s">
        <v>1039</v>
      </c>
      <c r="I10" s="1817" t="s">
        <v>1409</v>
      </c>
      <c r="J10" s="345">
        <f ca="1">ROUND(IF(M10="押一",M6*M8*M7/12*M11,IF(M10="押二",M6*M8*M7/12*2*M11,IF(M10="押三",M6*M8*M7/12*3*M11,J11*M11))),0)</f>
        <v>0</v>
      </c>
      <c r="K10" s="1829" t="s">
        <v>3027</v>
      </c>
      <c r="L10" s="357" t="s">
        <v>1411</v>
      </c>
      <c r="M10" s="1362"/>
    </row>
    <row r="11" spans="1:37" ht="18" customHeight="1">
      <c r="A11" s="352"/>
      <c r="B11" s="1819" t="s">
        <v>1603</v>
      </c>
      <c r="C11" s="1174"/>
      <c r="D11" s="351"/>
      <c r="E11" s="357" t="s">
        <v>1413</v>
      </c>
      <c r="F11" s="358">
        <f ca="1">'数据-取费表'!B39</f>
        <v>1.4999999999999999E-2</v>
      </c>
      <c r="G11" s="1845"/>
      <c r="H11" s="1295"/>
      <c r="I11" s="1819" t="s">
        <v>1604</v>
      </c>
      <c r="J11" s="1174"/>
      <c r="K11" s="747"/>
      <c r="L11" s="357" t="s">
        <v>1413</v>
      </c>
      <c r="M11" s="1052">
        <f ca="1">'数据-取费表'!B39</f>
        <v>1.4999999999999999E-2</v>
      </c>
    </row>
    <row r="12" spans="1:37" ht="18" customHeight="1" thickBot="1">
      <c r="A12" s="1329" t="s">
        <v>1075</v>
      </c>
      <c r="B12" s="1821" t="s">
        <v>1414</v>
      </c>
      <c r="C12" s="1330"/>
      <c r="D12" s="1331"/>
      <c r="E12" s="1336"/>
      <c r="F12" s="1332"/>
      <c r="G12" s="1845"/>
      <c r="H12" s="1329" t="s">
        <v>1075</v>
      </c>
      <c r="I12" s="1821"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5"/>
      <c r="H13" s="1325">
        <v>2</v>
      </c>
      <c r="I13" s="1326" t="s">
        <v>1415</v>
      </c>
      <c r="J13" s="1286">
        <f ca="1">ROUND(J14*J15,0)</f>
        <v>0</v>
      </c>
      <c r="K13" s="1333" t="s">
        <v>1416</v>
      </c>
      <c r="L13" s="1846"/>
      <c r="M13" s="1847"/>
    </row>
    <row r="14" spans="1:37" ht="18" customHeight="1">
      <c r="A14" s="1197" t="s">
        <v>1034</v>
      </c>
      <c r="B14" s="346" t="s">
        <v>1418</v>
      </c>
      <c r="C14" s="362">
        <f ca="1">ROUND(INDIRECT("'数据-取费表'!l"&amp;$G$1)*F43+'数据-取费表'!L14*INDIRECT("'数据-取费表'!S"&amp;$G$1),0)</f>
        <v>0</v>
      </c>
      <c r="D14" s="1794" t="s">
        <v>1419</v>
      </c>
      <c r="E14" s="1788"/>
      <c r="F14" s="363"/>
      <c r="G14" s="1845"/>
      <c r="H14" s="1197" t="s">
        <v>1035</v>
      </c>
      <c r="I14" s="346" t="s">
        <v>1420</v>
      </c>
      <c r="J14" s="24">
        <f ca="1">C29</f>
        <v>0</v>
      </c>
      <c r="K14" s="15"/>
      <c r="L14" s="975"/>
      <c r="M14" s="976"/>
    </row>
    <row r="15" spans="1:37" s="1852" customFormat="1" ht="18" customHeight="1" thickBot="1">
      <c r="A15" s="1197" t="s">
        <v>1036</v>
      </c>
      <c r="B15" s="346" t="s">
        <v>1421</v>
      </c>
      <c r="C15" s="24">
        <f ca="1">ROUND(C14*F15,0)</f>
        <v>0</v>
      </c>
      <c r="D15" s="364" t="s">
        <v>1422</v>
      </c>
      <c r="E15" s="364" t="s">
        <v>1423</v>
      </c>
      <c r="F15" s="365">
        <f>'数据-取费表'!B33</f>
        <v>0.03</v>
      </c>
      <c r="G15" s="1848"/>
      <c r="H15" s="1335" t="s">
        <v>1039</v>
      </c>
      <c r="I15" s="1336" t="s">
        <v>1417</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1389</v>
      </c>
      <c r="B16" s="346" t="s">
        <v>1424</v>
      </c>
      <c r="C16" s="24">
        <f ca="1">ROUND(INDIRECT("'数据-取费表'!l"&amp;$G$1)*F43*F16,0)</f>
        <v>0</v>
      </c>
      <c r="D16" s="346" t="s">
        <v>1422</v>
      </c>
      <c r="E16" s="346" t="s">
        <v>1423</v>
      </c>
      <c r="F16" s="366">
        <f ca="1">IF(INDIRECT("'数据-取费表'!c"&amp;$G$1)="住宅",'数据-取费表'!B34,0)</f>
        <v>0</v>
      </c>
      <c r="G16" s="1845"/>
      <c r="H16" s="1325" t="s">
        <v>1030</v>
      </c>
      <c r="I16" s="1326" t="s">
        <v>1425</v>
      </c>
      <c r="J16" s="354">
        <f ca="1">ROUND(J17+J22+J23+J24,0)</f>
        <v>0</v>
      </c>
      <c r="K16" s="1333" t="s">
        <v>1426</v>
      </c>
      <c r="L16" s="1334"/>
      <c r="M16" s="1290"/>
    </row>
    <row r="17" spans="1:37" s="1852" customFormat="1" ht="18" customHeight="1">
      <c r="A17" s="1197" t="s">
        <v>1390</v>
      </c>
      <c r="B17" s="346" t="s">
        <v>1427</v>
      </c>
      <c r="C17" s="24">
        <f ca="1">ROUND(F17*(F43+INDIRECT("'数据-取费表'!S"&amp;$G$1)),0)</f>
        <v>0</v>
      </c>
      <c r="D17" s="346" t="s">
        <v>1428</v>
      </c>
      <c r="E17" s="346" t="s">
        <v>1429</v>
      </c>
      <c r="F17" s="26">
        <f>'数据-取费表'!B35</f>
        <v>200</v>
      </c>
      <c r="G17" s="1848"/>
      <c r="H17" s="1197" t="s">
        <v>1035</v>
      </c>
      <c r="I17" s="346" t="s">
        <v>1430</v>
      </c>
      <c r="J17" s="24">
        <f ca="1">ROUND(IF(项目基本情况!B11="自然人",J5*M17,J18+J19+J20),0)</f>
        <v>0</v>
      </c>
      <c r="K17" s="1794" t="s">
        <v>1431</v>
      </c>
      <c r="L17" s="1792" t="s">
        <v>1432</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1391</v>
      </c>
      <c r="B18" s="346" t="s">
        <v>1433</v>
      </c>
      <c r="C18" s="24">
        <f ca="1">ROUND(C14*F18,0)</f>
        <v>0</v>
      </c>
      <c r="D18" s="346" t="s">
        <v>1422</v>
      </c>
      <c r="E18" s="346" t="s">
        <v>1423</v>
      </c>
      <c r="F18" s="366">
        <f>'数据-取费表'!B36</f>
        <v>1.4999999999999999E-2</v>
      </c>
      <c r="G18" s="1848"/>
      <c r="H18" s="1197" t="s">
        <v>1034</v>
      </c>
      <c r="I18" s="346" t="s">
        <v>1434</v>
      </c>
      <c r="J18" s="24">
        <f ca="1">ROUND(J5*M18/(1+'数据-取费表'!C42),0)</f>
        <v>0</v>
      </c>
      <c r="K18" s="1792" t="s">
        <v>1435</v>
      </c>
      <c r="L18" s="346" t="s">
        <v>1423</v>
      </c>
      <c r="M18" s="366">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1035</v>
      </c>
      <c r="B19" s="346" t="s">
        <v>1436</v>
      </c>
      <c r="C19" s="24">
        <f ca="1">SUM(C14:C18)</f>
        <v>0</v>
      </c>
      <c r="D19" s="139" t="s">
        <v>1437</v>
      </c>
      <c r="E19" s="1812"/>
      <c r="F19" s="26"/>
      <c r="G19" s="1845"/>
      <c r="H19" s="1197" t="s">
        <v>1036</v>
      </c>
      <c r="I19" s="346" t="s">
        <v>1438</v>
      </c>
      <c r="J19" s="24">
        <f ca="1">IF(K19="按租金收入计税",ROUND(J5*M19,0),ROUND(C29*M19*0.7,0))</f>
        <v>0</v>
      </c>
      <c r="K19" s="1822" t="s">
        <v>1439</v>
      </c>
      <c r="L19" s="346" t="s">
        <v>1423</v>
      </c>
      <c r="M19" s="366">
        <f>IF(K19="按租金收入计税",'数据-取费表'!B51,'数据-取费表'!B50)</f>
        <v>1.2E-2</v>
      </c>
    </row>
    <row r="20" spans="1:37" s="1852" customFormat="1" ht="18" customHeight="1">
      <c r="A20" s="1197" t="s">
        <v>1039</v>
      </c>
      <c r="B20" s="346" t="s">
        <v>1440</v>
      </c>
      <c r="C20" s="24">
        <f ca="1">ROUND(C19*F20,0)</f>
        <v>0</v>
      </c>
      <c r="D20" s="368" t="s">
        <v>1441</v>
      </c>
      <c r="E20" s="346" t="s">
        <v>1423</v>
      </c>
      <c r="F20" s="366">
        <f>'数据-取费表'!B37</f>
        <v>1.4999999999999999E-2</v>
      </c>
      <c r="G20" s="1848"/>
      <c r="H20" s="1197" t="s">
        <v>1389</v>
      </c>
      <c r="I20" s="163" t="s">
        <v>1442</v>
      </c>
      <c r="J20" s="25">
        <f ca="1">ROUND(M20*M21,0)</f>
        <v>0</v>
      </c>
      <c r="K20" s="369" t="s">
        <v>1443</v>
      </c>
      <c r="L20" s="346" t="s">
        <v>1444</v>
      </c>
      <c r="M20" s="370">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1075</v>
      </c>
      <c r="B21" s="346" t="s">
        <v>1445</v>
      </c>
      <c r="C21" s="24" t="s">
        <v>1</v>
      </c>
      <c r="D21" s="368" t="s">
        <v>1446</v>
      </c>
      <c r="E21" s="346" t="s">
        <v>1447</v>
      </c>
      <c r="F21" s="366">
        <f>'数据-取费表'!B38</f>
        <v>1.4999999999999999E-2</v>
      </c>
      <c r="G21" s="1848"/>
      <c r="H21" s="371"/>
      <c r="I21" s="355"/>
      <c r="J21" s="29"/>
      <c r="K21" s="372"/>
      <c r="L21" s="346" t="s">
        <v>1448</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1392</v>
      </c>
      <c r="B22" s="346" t="s">
        <v>1449</v>
      </c>
      <c r="C22" s="24"/>
      <c r="D22" s="139" t="str">
        <f>IF(F23&lt;=1,"单利计息。","复利计息。")&amp;"建造成本、管理费用、销售费用产生的利息。"</f>
        <v>复利计息。建造成本、管理费用、销售费用产生的利息。</v>
      </c>
      <c r="E22" s="1812"/>
      <c r="F22" s="26"/>
      <c r="G22" s="1845"/>
      <c r="H22" s="1197" t="s">
        <v>1039</v>
      </c>
      <c r="I22" s="346" t="s">
        <v>1450</v>
      </c>
      <c r="J22" s="24">
        <f ca="1">ROUND(J14*M22,0)</f>
        <v>0</v>
      </c>
      <c r="K22" s="1792" t="s">
        <v>1451</v>
      </c>
      <c r="L22" s="346" t="s">
        <v>1423</v>
      </c>
      <c r="M22" s="373">
        <f ca="1">INDIRECT("'数据-取费表'!Ak"&amp;$G$1)</f>
        <v>0</v>
      </c>
    </row>
    <row r="23" spans="1:37" s="1852" customFormat="1" ht="18" customHeight="1">
      <c r="A23" s="1197"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48"/>
      <c r="H23" s="1197" t="s">
        <v>1075</v>
      </c>
      <c r="I23" s="346" t="s">
        <v>1454</v>
      </c>
      <c r="J23" s="24">
        <f ca="1">ROUND(J13*M23,0)</f>
        <v>0</v>
      </c>
      <c r="K23" s="1792" t="s">
        <v>1455</v>
      </c>
      <c r="L23" s="346" t="s">
        <v>1456</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1457</v>
      </c>
      <c r="B24" s="346" t="s">
        <v>1458</v>
      </c>
      <c r="C24" s="24">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48"/>
      <c r="H24" s="1335" t="s">
        <v>1393</v>
      </c>
      <c r="I24" s="1336" t="s">
        <v>1440</v>
      </c>
      <c r="J24" s="1337">
        <f ca="1">ROUND(J5*M24,0)</f>
        <v>0</v>
      </c>
      <c r="K24" s="1338" t="s">
        <v>1460</v>
      </c>
      <c r="L24" s="1336" t="s">
        <v>1456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1461</v>
      </c>
      <c r="B25" s="346" t="s">
        <v>1462</v>
      </c>
      <c r="C25" s="24"/>
      <c r="D25" s="139" t="s">
        <v>1463</v>
      </c>
      <c r="E25" s="1812"/>
      <c r="F25" s="26"/>
      <c r="G25" s="1845"/>
      <c r="H25" s="1325" t="s">
        <v>1031</v>
      </c>
      <c r="I25" s="1340" t="s">
        <v>1464</v>
      </c>
      <c r="J25" s="354">
        <f ca="1">J5-J16</f>
        <v>0</v>
      </c>
      <c r="K25" s="1341" t="s">
        <v>1465</v>
      </c>
      <c r="L25" s="1342"/>
      <c r="M25" s="1343"/>
    </row>
    <row r="26" spans="1:37" ht="18" customHeight="1">
      <c r="A26" s="1197" t="s">
        <v>1034</v>
      </c>
      <c r="B26" s="346" t="s">
        <v>1466</v>
      </c>
      <c r="C26" s="24">
        <f ca="1">ROUND((C19+C20)*F26,0)</f>
        <v>0</v>
      </c>
      <c r="D26" s="368" t="s">
        <v>1467</v>
      </c>
      <c r="E26" s="357" t="s">
        <v>1468</v>
      </c>
      <c r="F26" s="356">
        <f ca="1">INDIRECT("'数据-取费表'!q"&amp;$G$1)</f>
        <v>0</v>
      </c>
      <c r="G26" s="1845"/>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4">
        <f ca="1">ROUND(F21*F26,4)</f>
        <v>0</v>
      </c>
      <c r="D27" s="368" t="s">
        <v>1473</v>
      </c>
      <c r="E27" s="364"/>
      <c r="F27" s="365"/>
      <c r="G27" s="1845"/>
      <c r="H27" s="348"/>
      <c r="I27" s="349"/>
      <c r="J27" s="350"/>
      <c r="K27" s="377" t="s">
        <v>1474</v>
      </c>
      <c r="L27" s="346" t="s">
        <v>1475</v>
      </c>
      <c r="M27" s="378">
        <f ca="1">INDIRECT("'数据-取费表'!ag"&amp;$G$1)</f>
        <v>0</v>
      </c>
    </row>
    <row r="28" spans="1:37" s="1852" customFormat="1" ht="18" customHeight="1">
      <c r="A28" s="1197" t="s">
        <v>1037</v>
      </c>
      <c r="B28" s="346" t="s">
        <v>1476</v>
      </c>
      <c r="C28" s="24">
        <f>ROUND(F28/(1+'数据-取费表'!C42),4)</f>
        <v>5.2400000000000002E-2</v>
      </c>
      <c r="D28" s="368" t="s">
        <v>1477</v>
      </c>
      <c r="E28" s="346" t="s">
        <v>1423</v>
      </c>
      <c r="F28" s="366">
        <f>'数据-取费表'!B41</f>
        <v>5.5000000000000007E-2</v>
      </c>
      <c r="G28" s="1848"/>
      <c r="H28" s="352"/>
      <c r="I28" s="353"/>
      <c r="J28" s="354"/>
      <c r="K28" s="372"/>
      <c r="L28" s="346" t="s">
        <v>1478</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1038</v>
      </c>
      <c r="B29" s="1336" t="s">
        <v>1479</v>
      </c>
      <c r="C29" s="1337">
        <f ca="1">ROUND((C19+C20+C23+C26)/(1-F21-C24-C27-C28),0)</f>
        <v>0</v>
      </c>
      <c r="D29" s="1338"/>
      <c r="E29" s="1336"/>
      <c r="F29" s="1339"/>
      <c r="G29" s="1848"/>
      <c r="H29" s="379" t="s">
        <v>1033</v>
      </c>
      <c r="I29" s="380" t="s">
        <v>1480</v>
      </c>
      <c r="J29" s="381">
        <f ca="1">ROUND(J26/(1+F40)^F41,0)</f>
        <v>0</v>
      </c>
      <c r="K29" s="382" t="s">
        <v>1481</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1030</v>
      </c>
      <c r="B30" s="1326" t="s">
        <v>1425</v>
      </c>
      <c r="C30" s="354">
        <f ca="1">ROUND(C31+C36+C37+C38,0)</f>
        <v>0</v>
      </c>
      <c r="D30" s="1333" t="s">
        <v>1426</v>
      </c>
      <c r="E30" s="1334"/>
      <c r="F30" s="1290"/>
      <c r="G30" s="1845"/>
      <c r="H30" s="744"/>
      <c r="I30" s="745"/>
      <c r="J30" s="746"/>
      <c r="K30" s="747"/>
      <c r="L30" s="748"/>
      <c r="M30" s="749"/>
    </row>
    <row r="31" spans="1:37" ht="18" customHeight="1">
      <c r="A31" s="1197" t="s">
        <v>1035</v>
      </c>
      <c r="B31" s="346" t="s">
        <v>1430</v>
      </c>
      <c r="C31" s="24">
        <f ca="1">ROUND(IF(项目基本情况!B11="自然人",C5*F31,C32+C33+C34),0)</f>
        <v>0</v>
      </c>
      <c r="D31" s="1794" t="s">
        <v>1431</v>
      </c>
      <c r="E31" s="1792" t="s">
        <v>1482</v>
      </c>
      <c r="F31" s="367" t="str">
        <f ca="1">IF(项目基本情况!B11="企业","",IF(INDIRECT("'数据-取费表'!c"&amp;$G$1)="住宅",5%,IF(F6*F7*F8/12/(1+'数据-取费表'!C42)&gt;20000,12%,7%)))</f>
        <v/>
      </c>
      <c r="G31" s="1845"/>
      <c r="H31" s="744"/>
      <c r="I31" s="745"/>
      <c r="J31" s="746"/>
      <c r="K31" s="747"/>
      <c r="L31" s="748"/>
      <c r="M31" s="749"/>
    </row>
    <row r="32" spans="1:37" ht="18" customHeight="1">
      <c r="A32" s="1197" t="s">
        <v>1034</v>
      </c>
      <c r="B32" s="346" t="s">
        <v>1434</v>
      </c>
      <c r="C32" s="24">
        <f ca="1">IF(项目基本情况!B11="自然人","——",ROUND(C5*F32/(1+'数据-取费表'!C42),0))</f>
        <v>0</v>
      </c>
      <c r="D32" s="1792" t="s">
        <v>1435</v>
      </c>
      <c r="E32" s="346" t="s">
        <v>1423</v>
      </c>
      <c r="F32" s="376">
        <f>'数据-取费表'!B41</f>
        <v>5.5000000000000007E-2</v>
      </c>
      <c r="G32" s="1845"/>
      <c r="H32" s="744"/>
      <c r="I32" s="745"/>
      <c r="J32" s="746"/>
      <c r="K32" s="747"/>
      <c r="L32" s="748"/>
      <c r="M32" s="749"/>
    </row>
    <row r="33" spans="1:18" ht="18" customHeight="1">
      <c r="A33" s="1197" t="s">
        <v>1036</v>
      </c>
      <c r="B33" s="346" t="s">
        <v>1438</v>
      </c>
      <c r="C33" s="24">
        <f ca="1">IF(项目基本情况!B11="自然人","——",IF(D33="按租金收入计税",ROUND(C5*F33,0),IF(D33="按房产原值计税",ROUND(C29*F33*0.7,0),INDIRECT("'数据-取费表'!Aj"&amp;$G$1))))</f>
        <v>0</v>
      </c>
      <c r="D33" s="1822" t="s">
        <v>1439</v>
      </c>
      <c r="E33" s="346" t="s">
        <v>1423</v>
      </c>
      <c r="F33" s="366">
        <f>IF(D33="按票据","——",IF(D33="按租金收入计税",'数据-取费表'!B51,'数据-取费表'!B50))</f>
        <v>1.2E-2</v>
      </c>
      <c r="G33" s="1845"/>
      <c r="H33" s="1853"/>
      <c r="I33" s="1854"/>
      <c r="J33" s="1855"/>
      <c r="K33" s="1856"/>
      <c r="L33" s="1853"/>
      <c r="M33" s="1853"/>
    </row>
    <row r="34" spans="1:18" ht="18" customHeight="1">
      <c r="A34" s="1287" t="s">
        <v>1389</v>
      </c>
      <c r="B34" s="163" t="s">
        <v>1442</v>
      </c>
      <c r="C34" s="25">
        <f ca="1">IF(项目基本情况!B11="自然人","——",ROUND(F34*F35,))</f>
        <v>0</v>
      </c>
      <c r="D34" s="369" t="s">
        <v>1443</v>
      </c>
      <c r="E34" s="346" t="s">
        <v>1444</v>
      </c>
      <c r="F34" s="370">
        <f>'数据-取费表'!B52</f>
        <v>1.5</v>
      </c>
      <c r="G34" s="1845"/>
      <c r="H34" s="744"/>
      <c r="I34" s="1854"/>
      <c r="J34" s="1855"/>
      <c r="K34" s="1857"/>
      <c r="L34" s="1858"/>
      <c r="M34" s="1858"/>
    </row>
    <row r="35" spans="1:18" ht="18" customHeight="1">
      <c r="A35" s="1349"/>
      <c r="B35" s="1347"/>
      <c r="C35" s="29"/>
      <c r="D35" s="372"/>
      <c r="E35" s="346" t="s">
        <v>1448</v>
      </c>
      <c r="F35" s="347">
        <f ca="1">INDIRECT("'数据-取费表'!r"&amp;$G$1)</f>
        <v>0</v>
      </c>
      <c r="G35" s="1845"/>
      <c r="H35" s="744"/>
      <c r="I35" s="1854"/>
      <c r="J35" s="1855"/>
      <c r="K35" s="1856"/>
      <c r="L35" s="1853"/>
      <c r="M35" s="1853"/>
    </row>
    <row r="36" spans="1:18" ht="18" customHeight="1">
      <c r="A36" s="1348" t="s">
        <v>1039</v>
      </c>
      <c r="B36" s="346" t="s">
        <v>1450</v>
      </c>
      <c r="C36" s="24">
        <f ca="1">ROUND(C29*F36,0)</f>
        <v>0</v>
      </c>
      <c r="D36" s="1792" t="s">
        <v>1483</v>
      </c>
      <c r="E36" s="346" t="s">
        <v>1423</v>
      </c>
      <c r="F36" s="373">
        <f ca="1">INDIRECT("'数据-取费表'!Ak"&amp;$G$1)</f>
        <v>0</v>
      </c>
      <c r="G36" s="1845"/>
      <c r="H36" s="1853"/>
      <c r="I36" s="1854"/>
      <c r="J36" s="1855"/>
      <c r="K36" s="750"/>
      <c r="L36" s="1853"/>
      <c r="M36" s="1853"/>
    </row>
    <row r="37" spans="1:18" ht="18" customHeight="1">
      <c r="A37" s="1197" t="s">
        <v>1075</v>
      </c>
      <c r="B37" s="346" t="s">
        <v>1454</v>
      </c>
      <c r="C37" s="24">
        <f ca="1">ROUND(C13*F37,0)</f>
        <v>0</v>
      </c>
      <c r="D37" s="1792" t="s">
        <v>1455</v>
      </c>
      <c r="E37" s="346" t="s">
        <v>1456</v>
      </c>
      <c r="F37" s="375">
        <f ca="1">INDIRECT("'数据-取费表'!Al"&amp;$G$1)</f>
        <v>0</v>
      </c>
      <c r="G37" s="1845"/>
      <c r="H37" s="1853"/>
      <c r="I37" s="1854"/>
      <c r="J37" s="1855"/>
      <c r="K37" s="750"/>
      <c r="L37" s="1853"/>
      <c r="M37" s="1853"/>
    </row>
    <row r="38" spans="1:18" ht="18" customHeight="1" thickBot="1">
      <c r="A38" s="1335" t="s">
        <v>1393</v>
      </c>
      <c r="B38" s="1336" t="s">
        <v>1440</v>
      </c>
      <c r="C38" s="1337">
        <f ca="1">ROUND(C5*F38,1)</f>
        <v>0</v>
      </c>
      <c r="D38" s="1338" t="s">
        <v>1460</v>
      </c>
      <c r="E38" s="1336" t="s">
        <v>1456</v>
      </c>
      <c r="F38" s="1332">
        <f ca="1">INDIRECT("'数据-取费表'!Am"&amp;$G$1)</f>
        <v>0</v>
      </c>
      <c r="G38" s="1845"/>
      <c r="H38" s="1853"/>
      <c r="I38" s="1854"/>
      <c r="J38" s="1855"/>
      <c r="K38" s="1859"/>
      <c r="L38" s="1853"/>
      <c r="M38" s="1853"/>
    </row>
    <row r="39" spans="1:18" ht="24.6" customHeight="1" thickTop="1">
      <c r="A39" s="1325" t="s">
        <v>1031</v>
      </c>
      <c r="B39" s="1340" t="s">
        <v>1484</v>
      </c>
      <c r="C39" s="354">
        <f ca="1">C5-C30</f>
        <v>0</v>
      </c>
      <c r="D39" s="1341" t="s">
        <v>1485</v>
      </c>
      <c r="E39" s="1342"/>
      <c r="F39" s="1343"/>
      <c r="G39" s="1845"/>
      <c r="H39" s="1853"/>
      <c r="I39" s="1854"/>
      <c r="J39" s="1855"/>
      <c r="K39" s="1859"/>
      <c r="L39" s="1853"/>
      <c r="M39" s="1853"/>
    </row>
    <row r="40" spans="1:18" ht="18" customHeight="1">
      <c r="A40" s="343" t="s">
        <v>1032</v>
      </c>
      <c r="B40" s="344" t="s">
        <v>1486</v>
      </c>
      <c r="C40" s="345" t="e">
        <f ca="1">ROUND(C39*(1-((1+F42)/(1+F40))^F41)/(F40-F42),0)</f>
        <v>#DIV/0!</v>
      </c>
      <c r="D40" s="369" t="s">
        <v>1470</v>
      </c>
      <c r="E40" s="346" t="s">
        <v>1471</v>
      </c>
      <c r="F40" s="356">
        <f ca="1">INDIRECT("'数据-取费表'!I"&amp;$G$1)</f>
        <v>0</v>
      </c>
      <c r="G40" s="1845"/>
      <c r="H40" s="1833"/>
      <c r="I40" s="1854"/>
      <c r="J40" s="1855"/>
      <c r="K40" s="1859"/>
      <c r="L40" s="1833"/>
      <c r="M40" s="1833"/>
    </row>
    <row r="41" spans="1:18" ht="18" customHeight="1">
      <c r="A41" s="348"/>
      <c r="B41" s="349"/>
      <c r="C41" s="350"/>
      <c r="D41" s="377" t="s">
        <v>1487</v>
      </c>
      <c r="E41" s="346" t="s">
        <v>1475</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1478</v>
      </c>
      <c r="F42" s="356">
        <f ca="1">INDIRECT("'数据-取费表'!v"&amp;$G$1)</f>
        <v>0</v>
      </c>
      <c r="G42" s="1845"/>
      <c r="H42" s="731"/>
      <c r="I42" s="1854"/>
      <c r="J42" s="1855"/>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1605</v>
      </c>
      <c r="E45" s="1860"/>
      <c r="F45" s="1860"/>
      <c r="O45" s="1863" t="s">
        <v>1520</v>
      </c>
      <c r="P45" s="1833"/>
      <c r="Q45" s="1833"/>
      <c r="R45" s="1833"/>
    </row>
    <row r="46" spans="1:18" s="1836" customFormat="1" ht="13.5" thickBot="1">
      <c r="A46" s="1864" t="s">
        <v>1521</v>
      </c>
      <c r="C46" s="1865" t="e">
        <f ca="1">ROUND(C45/10000,0)</f>
        <v>#DIV/0!</v>
      </c>
      <c r="D46" s="1866" t="str">
        <f>C2</f>
        <v>万元</v>
      </c>
      <c r="I46" s="1867" t="s">
        <v>1522</v>
      </c>
      <c r="J46" s="1868"/>
      <c r="K46" s="1869"/>
      <c r="L46" s="1870" t="e">
        <f ca="1">IF(M47="住宅",0,IF(L48&gt;J51,L60,J60))</f>
        <v>#DIV/0!</v>
      </c>
      <c r="O46" s="1871" t="s">
        <v>1523</v>
      </c>
      <c r="P46" s="1872" t="s">
        <v>1524</v>
      </c>
      <c r="Q46" s="1873" t="s">
        <v>1525</v>
      </c>
      <c r="R46" s="1873" t="s">
        <v>1526</v>
      </c>
    </row>
    <row r="47" spans="1:18" s="1836" customFormat="1" ht="13.5" thickBot="1">
      <c r="A47" s="1161" t="s">
        <v>1396</v>
      </c>
      <c r="B47" s="1193" t="s">
        <v>1397</v>
      </c>
      <c r="C47" s="1193" t="s">
        <v>1398</v>
      </c>
      <c r="D47" s="1193" t="s">
        <v>1399</v>
      </c>
      <c r="E47" s="1275" t="s">
        <v>1400</v>
      </c>
      <c r="F47" s="1276"/>
      <c r="G47" s="791"/>
      <c r="I47" s="1874" t="s">
        <v>1527</v>
      </c>
      <c r="J47" s="1875"/>
      <c r="K47" s="1876" t="s">
        <v>1528</v>
      </c>
      <c r="L47" s="1877">
        <f ca="1">INDIRECT("'数据-取费表'!d"&amp;$G$1)</f>
        <v>0</v>
      </c>
      <c r="M47" s="1832" t="str">
        <f>IF(ISNUMBER(FIND("住宅",C1)),"住宅","非住宅")</f>
        <v>非住宅</v>
      </c>
      <c r="O47" s="1878" t="s">
        <v>1040</v>
      </c>
      <c r="P47" s="1879" t="s">
        <v>1529</v>
      </c>
      <c r="Q47" s="1880" t="e">
        <f ca="1">C40+J29</f>
        <v>#DIV/0!</v>
      </c>
      <c r="R47" s="1880" t="s">
        <v>1530</v>
      </c>
    </row>
    <row r="48" spans="1:18" s="1836" customFormat="1" ht="28.5" thickBot="1">
      <c r="A48" s="1356" t="s">
        <v>1135</v>
      </c>
      <c r="B48" s="344" t="s">
        <v>1401</v>
      </c>
      <c r="C48" s="1811">
        <f ca="1">C49+C53+C55</f>
        <v>0</v>
      </c>
      <c r="D48" s="1358"/>
      <c r="E48" s="1359"/>
      <c r="F48" s="1177"/>
      <c r="G48" s="791"/>
      <c r="H48" s="792"/>
      <c r="I48" s="1881" t="s">
        <v>1531</v>
      </c>
      <c r="J48" s="1882"/>
      <c r="K48" s="1883" t="s">
        <v>1532</v>
      </c>
      <c r="L48" s="1884">
        <f ca="1">INDIRECT("'数据-取费表'!f"&amp;$G$1)</f>
        <v>0</v>
      </c>
      <c r="O48" s="1878" t="s">
        <v>1041</v>
      </c>
      <c r="P48" s="1879" t="s">
        <v>1533</v>
      </c>
      <c r="Q48" s="1880" t="e">
        <f ca="1">J60</f>
        <v>#DIV/0!</v>
      </c>
      <c r="R48" s="1880" t="s">
        <v>1534</v>
      </c>
    </row>
    <row r="49" spans="1:18" s="1836" customFormat="1" ht="13.5" thickBot="1">
      <c r="A49" s="1190" t="s">
        <v>1136</v>
      </c>
      <c r="B49" s="1823" t="s">
        <v>1491</v>
      </c>
      <c r="C49" s="1360">
        <f ca="1">ROUND(F49*F51*F50*(1-F52),0)</f>
        <v>0</v>
      </c>
      <c r="D49" s="1272" t="s">
        <v>1404</v>
      </c>
      <c r="E49" s="1824" t="s">
        <v>1492</v>
      </c>
      <c r="F49" s="1277"/>
      <c r="G49" s="1885"/>
      <c r="H49" s="792"/>
      <c r="I49" s="1881" t="s">
        <v>1535</v>
      </c>
      <c r="J49" s="1886"/>
      <c r="K49" s="1883" t="s">
        <v>1536</v>
      </c>
      <c r="L49" s="1887"/>
      <c r="O49" s="1888" t="s">
        <v>1042</v>
      </c>
      <c r="P49" s="1879" t="s">
        <v>1537</v>
      </c>
      <c r="Q49" s="1880">
        <f ca="1">C29</f>
        <v>0</v>
      </c>
      <c r="R49" s="1880" t="s">
        <v>1530</v>
      </c>
    </row>
    <row r="50" spans="1:18" s="1836" customFormat="1" ht="13.5" thickBot="1">
      <c r="A50" s="1191"/>
      <c r="B50" s="1194"/>
      <c r="C50" s="1195"/>
      <c r="D50" s="1168"/>
      <c r="E50" s="1273" t="s">
        <v>1406</v>
      </c>
      <c r="F50" s="1274">
        <f ca="1">F7</f>
        <v>0</v>
      </c>
      <c r="H50" s="792"/>
      <c r="I50" s="1881" t="s">
        <v>1538</v>
      </c>
      <c r="J50" s="1889">
        <f>SUMPRODUCT((I63:I65=J47)*(J62:L62=J48)*(J63:L65))</f>
        <v>0</v>
      </c>
      <c r="K50" s="1883" t="s">
        <v>1539</v>
      </c>
      <c r="L50" s="1887"/>
      <c r="M50" s="1890"/>
      <c r="O50" s="1888" t="s">
        <v>1043</v>
      </c>
      <c r="P50" s="1879" t="s">
        <v>1540</v>
      </c>
      <c r="Q50" s="1891" t="e">
        <f ca="1">J58</f>
        <v>#DIV/0!</v>
      </c>
      <c r="R50" s="1880"/>
    </row>
    <row r="51" spans="1:18" s="1836" customFormat="1" ht="13.5" thickBot="1">
      <c r="A51" s="1192"/>
      <c r="B51" s="1194"/>
      <c r="C51" s="1195"/>
      <c r="D51" s="1168"/>
      <c r="E51" s="1196" t="s">
        <v>1407</v>
      </c>
      <c r="F51" s="347">
        <f ca="1">F8</f>
        <v>0</v>
      </c>
      <c r="I51" s="1892" t="s">
        <v>1541</v>
      </c>
      <c r="J51" s="1893">
        <f>IF(J49="",J50,J49+J50-YEAR('数据-取费表'!B2))</f>
        <v>0</v>
      </c>
      <c r="K51" s="1894" t="s">
        <v>1542</v>
      </c>
      <c r="L51" s="1895">
        <f ca="1">ROUND(-PV(INDIRECT("'数据-取费表'!h"&amp;$G$1),L48,(C39-C13*C76),0),0)</f>
        <v>0</v>
      </c>
      <c r="M51" s="1896"/>
      <c r="O51" s="1888" t="s">
        <v>1044</v>
      </c>
      <c r="P51" s="1879" t="s">
        <v>1543</v>
      </c>
      <c r="Q51" s="1891">
        <f>J52</f>
        <v>0</v>
      </c>
      <c r="R51" s="1880"/>
    </row>
    <row r="52" spans="1:18" s="1836" customFormat="1" ht="13.5" thickBot="1">
      <c r="A52" s="1192"/>
      <c r="B52" s="1194"/>
      <c r="C52" s="1195"/>
      <c r="D52" s="1168"/>
      <c r="E52" s="1196" t="s">
        <v>1408</v>
      </c>
      <c r="F52" s="1271"/>
      <c r="I52" s="1897" t="s">
        <v>1544</v>
      </c>
      <c r="J52" s="1898"/>
      <c r="K52" s="1897" t="s">
        <v>1545</v>
      </c>
      <c r="L52" s="1898"/>
      <c r="O52" s="1888" t="s">
        <v>1045</v>
      </c>
      <c r="P52" s="1879" t="s">
        <v>1546</v>
      </c>
      <c r="Q52" s="1880" t="b">
        <f>J53</f>
        <v>0</v>
      </c>
      <c r="R52" s="1880" t="s">
        <v>1547</v>
      </c>
    </row>
    <row r="53" spans="1:18" s="1836" customFormat="1" ht="30.75" customHeight="1" thickBot="1">
      <c r="A53" s="1357" t="s">
        <v>1137</v>
      </c>
      <c r="B53" s="368" t="s">
        <v>1409</v>
      </c>
      <c r="C53" s="360">
        <f ca="1">ROUND(IF(F53="押一",F49*F51*F50/12*F11,IF(F53="押二",F49*F51*F50/12*2*F11,IF(F53="押三",F49*F51*F50/12*3*F11,C54*F11))),0)</f>
        <v>0</v>
      </c>
      <c r="D53" s="1818" t="s">
        <v>1410</v>
      </c>
      <c r="E53" s="357" t="s">
        <v>1411</v>
      </c>
      <c r="F53" s="1362"/>
      <c r="I53" s="1899" t="s">
        <v>1548</v>
      </c>
      <c r="J53" s="1900" t="b">
        <f>IF(M47="住宅",J51,IF(D1="——",MIN(J51,L48),IF(D1="在建（套用方法）",MIN(J51,L48-'数据-取费表'!B24),IF(D1="土地（套用方法）",MIN(J51,L48-'数据-取费表'!B20)))))</f>
        <v>0</v>
      </c>
      <c r="K53" s="3197" t="s">
        <v>1549</v>
      </c>
      <c r="L53" s="3198"/>
      <c r="O53" s="1878" t="s">
        <v>1046</v>
      </c>
      <c r="P53" s="1879" t="s">
        <v>1550</v>
      </c>
      <c r="Q53" s="1880" t="e">
        <f ca="1">Q47+Q48</f>
        <v>#DIV/0!</v>
      </c>
      <c r="R53" s="1880" t="s">
        <v>1047</v>
      </c>
    </row>
    <row r="54" spans="1:18" s="1836" customFormat="1" ht="13.5" thickBot="1">
      <c r="A54" s="1190"/>
      <c r="B54" s="1935" t="s">
        <v>1604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1551</v>
      </c>
      <c r="P54" s="1833"/>
      <c r="Q54" s="1833"/>
      <c r="R54" s="1833"/>
    </row>
    <row r="55" spans="1:18" s="1836" customFormat="1" ht="13.5" thickBot="1">
      <c r="A55" s="1329" t="s">
        <v>1075</v>
      </c>
      <c r="B55" s="1821" t="s">
        <v>1414</v>
      </c>
      <c r="C55" s="1330"/>
      <c r="D55" s="1818"/>
      <c r="E55" s="1826"/>
      <c r="F55" s="1901"/>
      <c r="I55" s="1904" t="s">
        <v>1552</v>
      </c>
      <c r="J55" s="1905" t="e">
        <f ca="1">ROUND(IF(J47="钢混",J57/J50,1-(1-2%)*(J50-J57)/J50),3)</f>
        <v>#DIV/0!</v>
      </c>
      <c r="K55" s="1906" t="s">
        <v>1553</v>
      </c>
      <c r="L55" s="1907"/>
      <c r="O55" s="1871" t="s">
        <v>1523</v>
      </c>
      <c r="P55" s="1872" t="s">
        <v>1524</v>
      </c>
      <c r="Q55" s="1873" t="s">
        <v>1525</v>
      </c>
      <c r="R55" s="1873" t="s">
        <v>1526</v>
      </c>
    </row>
    <row r="56" spans="1:18" s="1836" customFormat="1" ht="36" customHeight="1" thickTop="1" thickBot="1">
      <c r="A56" s="1172">
        <v>2</v>
      </c>
      <c r="B56" s="1173" t="s">
        <v>1415</v>
      </c>
      <c r="C56" s="275">
        <f ca="1">C13</f>
        <v>0</v>
      </c>
      <c r="D56" s="1908"/>
      <c r="E56" s="1909"/>
      <c r="F56" s="1901"/>
      <c r="I56" s="1910" t="s">
        <v>1555</v>
      </c>
      <c r="J56" s="1911"/>
      <c r="K56" s="1881" t="s">
        <v>1556</v>
      </c>
      <c r="L56" s="1884">
        <f ca="1">IF(L48&lt;J51,"——",L48-J51)</f>
        <v>0</v>
      </c>
      <c r="O56" s="1878" t="s">
        <v>1040</v>
      </c>
      <c r="P56" s="1879" t="s">
        <v>1529</v>
      </c>
      <c r="Q56" s="1880" t="e">
        <f ca="1">C40+J29</f>
        <v>#DIV/0!</v>
      </c>
      <c r="R56" s="1880" t="s">
        <v>1530</v>
      </c>
    </row>
    <row r="57" spans="1:18" s="1836" customFormat="1" ht="24.75" thickBot="1">
      <c r="A57" s="1912"/>
      <c r="B57" s="1165" t="s">
        <v>1479</v>
      </c>
      <c r="C57" s="281">
        <f ca="1">C29</f>
        <v>0</v>
      </c>
      <c r="D57" s="1913"/>
      <c r="E57" s="1914"/>
      <c r="F57" s="1915"/>
      <c r="I57" s="1916" t="s">
        <v>1557</v>
      </c>
      <c r="J57" s="1917">
        <f ca="1">IF(OR(M47="住宅",J51&lt;L48,J56="是"),"——",J51-L48)</f>
        <v>0</v>
      </c>
      <c r="K57" s="1881" t="s">
        <v>1606</v>
      </c>
      <c r="L57" s="1884">
        <f ca="1">IF(L48&lt;J51,"——",IF(L55="比较法",L49,IF(L55="基准地价",L50,L51)))</f>
        <v>0</v>
      </c>
      <c r="O57" s="1878" t="s">
        <v>1041</v>
      </c>
      <c r="P57" s="1879" t="s">
        <v>1607</v>
      </c>
      <c r="Q57" s="1880" t="e">
        <f ca="1">L60</f>
        <v>#DIV/0!</v>
      </c>
      <c r="R57" s="1880" t="s">
        <v>1608</v>
      </c>
    </row>
    <row r="58" spans="1:18" s="1836" customFormat="1" ht="24.75" thickBot="1">
      <c r="A58" s="359" t="s">
        <v>1030</v>
      </c>
      <c r="B58" s="1173" t="s">
        <v>1425</v>
      </c>
      <c r="C58" s="360">
        <f ca="1">ROUND(C59+C64+C65+C66,0)</f>
        <v>0</v>
      </c>
      <c r="D58" s="1175" t="s">
        <v>1426</v>
      </c>
      <c r="E58" s="1176"/>
      <c r="F58" s="1177"/>
      <c r="I58" s="1916" t="s">
        <v>1561</v>
      </c>
      <c r="J58" s="1918" t="e">
        <f ca="1">IF(J55&lt;0.4,0.4,J55)</f>
        <v>#DIV/0!</v>
      </c>
      <c r="K58" s="1894" t="s">
        <v>1609</v>
      </c>
      <c r="L58" s="1884" t="e">
        <f ca="1">ROUND(POWER(1+L52,L47-L48)*(POWER(1+L52,L48)-1)/(POWER(1+L52,L47)-1),4)</f>
        <v>#DIV/0!</v>
      </c>
      <c r="O58" s="1888" t="s">
        <v>1042</v>
      </c>
      <c r="P58" s="1879" t="s">
        <v>1563</v>
      </c>
      <c r="Q58" s="1880">
        <f>IF(L55="比较法",L49,IF(L55="基准地价",L50,0))</f>
        <v>0</v>
      </c>
      <c r="R58" s="1880" t="s">
        <v>1530</v>
      </c>
    </row>
    <row r="59" spans="1:18" s="1836" customFormat="1" ht="24.75" thickBot="1">
      <c r="A59" s="1197" t="s">
        <v>1035</v>
      </c>
      <c r="B59" s="1165" t="s">
        <v>1430</v>
      </c>
      <c r="C59" s="24">
        <f ca="1">ROUND(IF(项目基本情况!B11="自然人",C48*F59,C60+C61+C62),0)</f>
        <v>0</v>
      </c>
      <c r="D59" s="1178" t="s">
        <v>1431</v>
      </c>
      <c r="E59" s="1179" t="s">
        <v>1432</v>
      </c>
      <c r="F59" s="367" t="str">
        <f ca="1">IF(项目基本情况!B11="企业","",IF(INDIRECT("'数据-取费表'!c"&amp;$G$1)="住宅",5%,IF(F49*F50*F51/12/(1+'数据-取费表'!C42)&gt;20000,12%,7%)))</f>
        <v/>
      </c>
      <c r="I59" s="1916" t="s">
        <v>1564</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1565</v>
      </c>
      <c r="Q59" s="1891">
        <f>L52</f>
        <v>0</v>
      </c>
      <c r="R59" s="1880"/>
    </row>
    <row r="60" spans="1:18" s="1836" customFormat="1" ht="16.5" thickBot="1">
      <c r="A60" s="1197" t="s">
        <v>1034</v>
      </c>
      <c r="B60" s="1165" t="s">
        <v>1434</v>
      </c>
      <c r="C60" s="24">
        <f ca="1">IF(项目基本情况!B11="自然人","——",ROUND(C48*F60/(1+'数据-取费表'!C42),0))</f>
        <v>0</v>
      </c>
      <c r="D60" s="1179" t="s">
        <v>1435</v>
      </c>
      <c r="E60" s="1165" t="s">
        <v>1423</v>
      </c>
      <c r="F60" s="376">
        <f t="shared" ref="F60:F66" si="0">F32</f>
        <v>5.5000000000000007E-2</v>
      </c>
      <c r="I60" s="1919" t="s">
        <v>1566</v>
      </c>
      <c r="J60" s="1920" t="e">
        <f ca="1">IF(OR(M47="住宅",J51&lt;L48,J56="是"),"0",ROUND(J59/(1+J52)^J53,0))</f>
        <v>#DIV/0!</v>
      </c>
      <c r="K60" s="1921" t="s">
        <v>1567</v>
      </c>
      <c r="L60" s="1920" t="e">
        <f ca="1">IF(OR(M47="住宅",L48&lt;J51),0,ROUND(L57*(L58/L59-1),0))</f>
        <v>#DIV/0!</v>
      </c>
      <c r="O60" s="1888" t="s">
        <v>1044</v>
      </c>
      <c r="P60" s="1879" t="s">
        <v>1568</v>
      </c>
      <c r="Q60" s="1880" t="e">
        <f ca="1">L58</f>
        <v>#DIV/0!</v>
      </c>
      <c r="R60" s="1880" t="s">
        <v>1569</v>
      </c>
    </row>
    <row r="61" spans="1:18" s="1836" customFormat="1" ht="13.5" thickBot="1">
      <c r="A61" s="1197" t="s">
        <v>1493</v>
      </c>
      <c r="B61" s="1165" t="s">
        <v>1494</v>
      </c>
      <c r="C61" s="24">
        <f ca="1">IF(项目基本情况!B11="自然人","——",IF(D61="按租金收入计税",ROUND(C48*F61,0),IF(D61="按房产原值计税",ROUND(C57*F61*0.7,0),INDIRECT("'数据-取费表'!Aj"&amp;$G$1))))</f>
        <v>0</v>
      </c>
      <c r="D61" s="1822" t="s">
        <v>1439</v>
      </c>
      <c r="E61" s="1165" t="s">
        <v>1495</v>
      </c>
      <c r="F61" s="366">
        <f t="shared" si="0"/>
        <v>1.2E-2</v>
      </c>
      <c r="I61" s="1922"/>
      <c r="J61" s="1922"/>
      <c r="K61" s="1922"/>
      <c r="L61" s="1922"/>
      <c r="O61" s="1888" t="s">
        <v>1045</v>
      </c>
      <c r="P61" s="1879" t="str">
        <f>K59</f>
        <v>建设期及建筑物耐用年限下的土地年期修正系数Kn</v>
      </c>
      <c r="Q61" s="1880" t="e">
        <f ca="1">L59</f>
        <v>#DIV/0!</v>
      </c>
      <c r="R61" s="1880" t="s">
        <v>1570</v>
      </c>
    </row>
    <row r="62" spans="1:18" s="1836" customFormat="1" ht="13.5" thickBot="1">
      <c r="A62" s="1197" t="s">
        <v>1496</v>
      </c>
      <c r="B62" s="1164" t="s">
        <v>1497</v>
      </c>
      <c r="C62" s="25">
        <f ca="1">IF(项目基本情况!B11="自然人","——",ROUND(F62*F63,0))</f>
        <v>0</v>
      </c>
      <c r="D62" s="1180" t="s">
        <v>1498</v>
      </c>
      <c r="E62" s="1165" t="s">
        <v>1499</v>
      </c>
      <c r="F62" s="370">
        <f t="shared" si="0"/>
        <v>1.5</v>
      </c>
      <c r="I62" s="1923" t="s">
        <v>1571</v>
      </c>
      <c r="J62" s="1924" t="s">
        <v>1572</v>
      </c>
      <c r="K62" s="1924" t="s">
        <v>1573</v>
      </c>
      <c r="L62" s="1924" t="s">
        <v>1574</v>
      </c>
      <c r="M62" s="1925" t="s">
        <v>1575</v>
      </c>
      <c r="O62" s="1878" t="s">
        <v>1046</v>
      </c>
      <c r="P62" s="1879" t="s">
        <v>1576</v>
      </c>
      <c r="Q62" s="1880" t="e">
        <f ca="1">Q56+Q57</f>
        <v>#DIV/0!</v>
      </c>
      <c r="R62" s="1880" t="s">
        <v>1047</v>
      </c>
    </row>
    <row r="63" spans="1:18" s="1836" customFormat="1" ht="13.5" thickBot="1">
      <c r="A63" s="371"/>
      <c r="B63" s="1171"/>
      <c r="C63" s="29"/>
      <c r="D63" s="1181"/>
      <c r="E63" s="1165" t="s">
        <v>1500</v>
      </c>
      <c r="F63" s="347">
        <f t="shared" ca="1" si="0"/>
        <v>0</v>
      </c>
      <c r="I63" s="1923" t="s">
        <v>1577</v>
      </c>
      <c r="J63" s="1924">
        <v>70</v>
      </c>
      <c r="K63" s="1924">
        <v>50</v>
      </c>
      <c r="L63" s="1924">
        <v>80</v>
      </c>
      <c r="M63" s="1926">
        <v>0.02</v>
      </c>
      <c r="O63" s="1863" t="s">
        <v>1578</v>
      </c>
      <c r="P63" s="1833"/>
      <c r="Q63" s="1833"/>
      <c r="R63" s="1833"/>
    </row>
    <row r="64" spans="1:18" s="1836" customFormat="1" ht="13.5" thickBot="1">
      <c r="A64" s="1197" t="s">
        <v>1501</v>
      </c>
      <c r="B64" s="1165" t="s">
        <v>1502</v>
      </c>
      <c r="C64" s="24">
        <f ca="1">ROUND(C57*F64,0)</f>
        <v>0</v>
      </c>
      <c r="D64" s="1179" t="s">
        <v>1503</v>
      </c>
      <c r="E64" s="1165" t="s">
        <v>1495</v>
      </c>
      <c r="F64" s="373">
        <f t="shared" ca="1" si="0"/>
        <v>0</v>
      </c>
      <c r="I64" s="1923" t="s">
        <v>1579</v>
      </c>
      <c r="J64" s="1924">
        <v>50</v>
      </c>
      <c r="K64" s="1924">
        <v>35</v>
      </c>
      <c r="L64" s="1924">
        <v>60</v>
      </c>
      <c r="M64" s="1925">
        <v>0</v>
      </c>
      <c r="O64" s="1871" t="s">
        <v>1523</v>
      </c>
      <c r="P64" s="1872" t="s">
        <v>1524</v>
      </c>
      <c r="Q64" s="1873" t="s">
        <v>1525</v>
      </c>
      <c r="R64" s="1873" t="s">
        <v>1526</v>
      </c>
    </row>
    <row r="65" spans="1:18" s="1836" customFormat="1" ht="13.5" thickBot="1">
      <c r="A65" s="1197" t="s">
        <v>1504</v>
      </c>
      <c r="B65" s="1165" t="s">
        <v>1454</v>
      </c>
      <c r="C65" s="24">
        <f ca="1">ROUND(C56*F65,0)</f>
        <v>0</v>
      </c>
      <c r="D65" s="1179" t="s">
        <v>1455</v>
      </c>
      <c r="E65" s="1165" t="s">
        <v>1456</v>
      </c>
      <c r="F65" s="375">
        <f t="shared" ca="1" si="0"/>
        <v>0</v>
      </c>
      <c r="I65" s="1923" t="s">
        <v>1580</v>
      </c>
      <c r="J65" s="1924">
        <v>40</v>
      </c>
      <c r="K65" s="1924">
        <v>30</v>
      </c>
      <c r="L65" s="1924">
        <v>50</v>
      </c>
      <c r="M65" s="1926">
        <v>0.02</v>
      </c>
      <c r="O65" s="1878" t="s">
        <v>1040</v>
      </c>
      <c r="P65" s="1879" t="s">
        <v>1581</v>
      </c>
      <c r="Q65" s="1880" t="e">
        <f ca="1">C40+J29</f>
        <v>#DIV/0!</v>
      </c>
      <c r="R65" s="1880" t="s">
        <v>1530</v>
      </c>
    </row>
    <row r="66" spans="1:18" s="1836" customFormat="1" ht="16.5" thickBot="1">
      <c r="A66" s="1197" t="s">
        <v>1505</v>
      </c>
      <c r="B66" s="1165" t="s">
        <v>1440</v>
      </c>
      <c r="C66" s="24">
        <f ca="1">ROUND(C48*F66,0)</f>
        <v>0</v>
      </c>
      <c r="D66" s="1179" t="s">
        <v>1506</v>
      </c>
      <c r="E66" s="1165" t="s">
        <v>1423</v>
      </c>
      <c r="F66" s="356">
        <f t="shared" ca="1" si="0"/>
        <v>0</v>
      </c>
      <c r="O66" s="1878" t="s">
        <v>1041</v>
      </c>
      <c r="P66" s="1879" t="s">
        <v>1559</v>
      </c>
      <c r="Q66" s="1880" t="e">
        <f ca="1">L60</f>
        <v>#DIV/0!</v>
      </c>
      <c r="R66" s="1880" t="s">
        <v>1582</v>
      </c>
    </row>
    <row r="67" spans="1:18" s="1836" customFormat="1" ht="16.5" thickBot="1">
      <c r="A67" s="1172" t="s">
        <v>1031</v>
      </c>
      <c r="B67" s="1182" t="s">
        <v>1464</v>
      </c>
      <c r="C67" s="360">
        <f ca="1">C48-C58</f>
        <v>0</v>
      </c>
      <c r="D67" s="1178" t="s">
        <v>1465</v>
      </c>
      <c r="E67" s="1183"/>
      <c r="F67" s="1184"/>
      <c r="O67" s="1888" t="s">
        <v>1042</v>
      </c>
      <c r="P67" s="1879" t="s">
        <v>1563</v>
      </c>
      <c r="Q67" s="1927">
        <f ca="1">L51</f>
        <v>0</v>
      </c>
      <c r="R67" s="1880" t="s">
        <v>1583</v>
      </c>
    </row>
    <row r="68" spans="1:18" s="1836" customFormat="1" ht="16.5" thickBot="1">
      <c r="A68" s="1162" t="s">
        <v>1032</v>
      </c>
      <c r="B68" s="1163" t="s">
        <v>1486</v>
      </c>
      <c r="C68" s="345" t="e">
        <f ca="1">ROUND(C67*(1-((1+F70)/(1+F68))^F69)/(F68-F70),0)</f>
        <v>#DIV/0!</v>
      </c>
      <c r="D68" s="1180" t="s">
        <v>1470</v>
      </c>
      <c r="E68" s="1165" t="s">
        <v>1471</v>
      </c>
      <c r="F68" s="356">
        <f ca="1">F40</f>
        <v>0</v>
      </c>
      <c r="O68" s="1888" t="s">
        <v>1043</v>
      </c>
      <c r="P68" s="1928" t="s">
        <v>1584</v>
      </c>
      <c r="Q68" s="1880">
        <f ca="1">ROUND(Q69-Q70*Q71,0)</f>
        <v>0</v>
      </c>
      <c r="R68" s="1880" t="s">
        <v>1051</v>
      </c>
    </row>
    <row r="69" spans="1:18" s="1836" customFormat="1" ht="13.5" thickBot="1">
      <c r="A69" s="1166"/>
      <c r="B69" s="1167"/>
      <c r="C69" s="350"/>
      <c r="D69" s="1185" t="s">
        <v>1474</v>
      </c>
      <c r="E69" s="1165" t="s">
        <v>1475</v>
      </c>
      <c r="F69" s="378">
        <f ca="1">F41</f>
        <v>0</v>
      </c>
      <c r="O69" s="1888" t="s">
        <v>1048</v>
      </c>
      <c r="P69" s="1928" t="s">
        <v>1585</v>
      </c>
      <c r="Q69" s="1880">
        <f ca="1">C39</f>
        <v>0</v>
      </c>
      <c r="R69" s="1880" t="s">
        <v>1530</v>
      </c>
    </row>
    <row r="70" spans="1:18" s="1836" customFormat="1" ht="13.5" thickBot="1">
      <c r="A70" s="1169"/>
      <c r="B70" s="1170"/>
      <c r="C70" s="354"/>
      <c r="D70" s="1181"/>
      <c r="E70" s="1165" t="s">
        <v>1478</v>
      </c>
      <c r="F70" s="1271">
        <f ca="1">F42</f>
        <v>0</v>
      </c>
      <c r="O70" s="1888" t="s">
        <v>1049</v>
      </c>
      <c r="P70" s="1928" t="s">
        <v>1586</v>
      </c>
      <c r="Q70" s="1880">
        <f ca="1">C13</f>
        <v>0</v>
      </c>
      <c r="R70" s="1880" t="s">
        <v>1530</v>
      </c>
    </row>
    <row r="71" spans="1:18" s="1836" customFormat="1" ht="13.5" thickBot="1">
      <c r="A71" s="1186" t="s">
        <v>1033</v>
      </c>
      <c r="B71" s="1187" t="s">
        <v>1488</v>
      </c>
      <c r="C71" s="381" t="e">
        <f ca="1">ROUND(C68/F71,0)</f>
        <v>#DIV/0!</v>
      </c>
      <c r="D71" s="1188" t="s">
        <v>1489</v>
      </c>
      <c r="E71" s="1189" t="s">
        <v>1490</v>
      </c>
      <c r="F71" s="384">
        <f ca="1">F43</f>
        <v>0</v>
      </c>
      <c r="O71" s="1888" t="s">
        <v>1050</v>
      </c>
      <c r="P71" s="1928" t="s">
        <v>1587</v>
      </c>
      <c r="Q71" s="1891">
        <f ca="1">C76</f>
        <v>0</v>
      </c>
      <c r="R71" s="1880"/>
    </row>
    <row r="72" spans="1:18" s="1836" customFormat="1" ht="13.5" thickBot="1">
      <c r="B72" s="795"/>
      <c r="C72" s="795"/>
      <c r="O72" s="1888" t="s">
        <v>1044</v>
      </c>
      <c r="P72" s="1879" t="s">
        <v>1565</v>
      </c>
      <c r="Q72" s="1891">
        <f>L52</f>
        <v>0</v>
      </c>
      <c r="R72" s="1880"/>
    </row>
    <row r="73" spans="1:18" ht="16.5" thickBot="1">
      <c r="A73" s="1836"/>
      <c r="B73" s="795"/>
      <c r="C73" s="795"/>
      <c r="D73" s="1836"/>
      <c r="E73" s="1836"/>
      <c r="F73" s="1836"/>
      <c r="O73" s="1888" t="s">
        <v>1045</v>
      </c>
      <c r="P73" s="1879" t="s">
        <v>1568</v>
      </c>
      <c r="Q73" s="1880" t="e">
        <f ca="1">L58</f>
        <v>#DIV/0!</v>
      </c>
      <c r="R73" s="1880" t="s">
        <v>1569</v>
      </c>
    </row>
    <row r="74" spans="1:18" ht="13.5" thickBot="1">
      <c r="A74" s="1836"/>
      <c r="B74" s="316" t="s">
        <v>1588</v>
      </c>
      <c r="C74" s="1930"/>
      <c r="D74" s="1836"/>
      <c r="E74" s="1836"/>
      <c r="F74" s="1836"/>
      <c r="O74" s="1888" t="s">
        <v>1052</v>
      </c>
      <c r="P74" s="1879" t="str">
        <f>K59</f>
        <v>建设期及建筑物耐用年限下的土地年期修正系数Kn</v>
      </c>
      <c r="Q74" s="1880" t="e">
        <f ca="1">L59</f>
        <v>#DIV/0!</v>
      </c>
      <c r="R74" s="1880" t="s">
        <v>1570</v>
      </c>
    </row>
    <row r="75" spans="1:18" ht="13.5" thickBot="1">
      <c r="A75" s="1836"/>
      <c r="B75" s="385" t="s">
        <v>1507</v>
      </c>
      <c r="C75" s="386">
        <f ca="1">ROUND(C13*C76,0)</f>
        <v>0</v>
      </c>
      <c r="D75" s="1836"/>
      <c r="E75" s="1836"/>
      <c r="F75" s="1836"/>
      <c r="K75" s="1862"/>
      <c r="L75" s="1836"/>
      <c r="O75" s="1878" t="s">
        <v>1046</v>
      </c>
      <c r="P75" s="1879" t="s">
        <v>1550</v>
      </c>
      <c r="Q75" s="1880" t="e">
        <f ca="1">Q65+Q66</f>
        <v>#DIV/0!</v>
      </c>
      <c r="R75" s="1880" t="s">
        <v>1047</v>
      </c>
    </row>
    <row r="76" spans="1:18">
      <c r="B76" s="387" t="s">
        <v>1508</v>
      </c>
      <c r="C76" s="388">
        <f ca="1">INDIRECT("'数据-取费表'!j"&amp;$G$1)</f>
        <v>0</v>
      </c>
      <c r="I76" s="1836"/>
      <c r="J76" s="1836"/>
      <c r="K76" s="1862"/>
      <c r="L76" s="1836"/>
    </row>
    <row r="77" spans="1:18">
      <c r="B77" s="389" t="s">
        <v>1509</v>
      </c>
      <c r="C77" s="390"/>
      <c r="I77" s="1836"/>
      <c r="J77" s="1836"/>
      <c r="K77" s="1862"/>
      <c r="L77" s="1836"/>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4" t="s">
        <v>2521</v>
      </c>
      <c r="B1" s="2555"/>
      <c r="C1" s="2555"/>
      <c r="D1" s="2555"/>
      <c r="E1" s="2556"/>
    </row>
    <row r="2" spans="1:6" ht="15.75">
      <c r="A2" s="2557" t="s">
        <v>2325</v>
      </c>
      <c r="B2" s="2558">
        <f ca="1">SUMIF(B6:B13,"&lt;&gt;#ref!",B6:B13)</f>
        <v>16305</v>
      </c>
      <c r="C2" s="2559" t="s">
        <v>2514</v>
      </c>
      <c r="D2" s="2560" t="s">
        <v>2515</v>
      </c>
      <c r="E2" s="2561">
        <f>SUM(E6:E13)</f>
        <v>35529.1</v>
      </c>
    </row>
    <row r="3" spans="1:6" ht="15.75">
      <c r="A3" s="2557" t="s">
        <v>1395</v>
      </c>
      <c r="B3" s="2558">
        <f ca="1">ROUND(B2*10000/E2,0)</f>
        <v>4589</v>
      </c>
      <c r="C3" s="2559" t="s">
        <v>2522</v>
      </c>
      <c r="D3" s="2562"/>
      <c r="E3" s="2563"/>
    </row>
    <row r="4" spans="1:6" ht="15.75">
      <c r="A4" s="2564"/>
      <c r="B4" s="2562"/>
      <c r="C4" s="2562"/>
      <c r="D4" s="2562"/>
      <c r="E4" s="2563"/>
    </row>
    <row r="5" spans="1:6" ht="15">
      <c r="A5" s="2565" t="s">
        <v>2516</v>
      </c>
      <c r="B5" s="3202" t="s">
        <v>2517</v>
      </c>
      <c r="C5" s="3202"/>
      <c r="D5" s="2566"/>
      <c r="E5" s="2567" t="s">
        <v>2518</v>
      </c>
      <c r="F5" s="2568" t="s">
        <v>2519</v>
      </c>
    </row>
    <row r="6" spans="1:6">
      <c r="A6" s="2569">
        <f>'数据-取费表'!AN6</f>
        <v>0</v>
      </c>
      <c r="B6" s="2568" t="e">
        <f ca="1">IF(F6="是",'数据-取费表'!AO6,0)</f>
        <v>#REF!</v>
      </c>
      <c r="C6" s="2559" t="s">
        <v>2514</v>
      </c>
      <c r="D6" s="2562"/>
      <c r="E6" s="2570">
        <f>IF(OR(A6=0,F6="否"),0,'数据-取费表'!K6+'数据-取费表'!S6)</f>
        <v>0</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t="str">
        <f>'数据-取费表'!AN8</f>
        <v>收益法（车库）</v>
      </c>
      <c r="B8" s="2568">
        <f ca="1">IF(F8="是",'数据-取费表'!AO8,0)</f>
        <v>16305</v>
      </c>
      <c r="C8" s="2559" t="s">
        <v>2514</v>
      </c>
      <c r="D8" s="2562"/>
      <c r="E8" s="2570">
        <f>IF(OR(A8=0,F8="否"),0,'数据-取费表'!K8+'数据-取费表'!S8)</f>
        <v>35529.1</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09" t="s">
        <v>1077</v>
      </c>
      <c r="B2" s="3210" t="s">
        <v>1078</v>
      </c>
      <c r="C2" s="3210"/>
      <c r="D2" s="1297" t="s">
        <v>1079</v>
      </c>
      <c r="E2" s="1297" t="s">
        <v>1080</v>
      </c>
      <c r="F2" s="1297" t="s">
        <v>1081</v>
      </c>
      <c r="G2" s="1297" t="s">
        <v>1082</v>
      </c>
      <c r="H2" s="1297" t="s">
        <v>1083</v>
      </c>
      <c r="I2" s="1298" t="s">
        <v>1084</v>
      </c>
    </row>
    <row r="3" spans="1:9">
      <c r="A3" s="3209"/>
      <c r="B3" s="3210" t="s">
        <v>1085</v>
      </c>
      <c r="C3" s="3210"/>
      <c r="D3" s="1299"/>
      <c r="E3" s="1297"/>
      <c r="F3" s="1300"/>
      <c r="G3" s="1300"/>
      <c r="H3" s="1301"/>
      <c r="I3" s="1302">
        <f>ROUND(D3*E3*F3*G3*H3/10000,0)</f>
        <v>0</v>
      </c>
    </row>
    <row r="4" spans="1:9">
      <c r="A4" s="3209"/>
      <c r="B4" s="3210" t="s">
        <v>1086</v>
      </c>
      <c r="C4" s="3210"/>
      <c r="D4" s="1299"/>
      <c r="E4" s="1297"/>
      <c r="F4" s="1300"/>
      <c r="G4" s="1300"/>
      <c r="H4" s="1301"/>
      <c r="I4" s="1302">
        <f t="shared" ref="I4:I9" si="0">ROUND(D4*E4*F4*G4*H4/10000,0)</f>
        <v>0</v>
      </c>
    </row>
    <row r="5" spans="1:9">
      <c r="A5" s="3209"/>
      <c r="B5" s="3210" t="s">
        <v>1087</v>
      </c>
      <c r="C5" s="3210"/>
      <c r="D5" s="1299"/>
      <c r="E5" s="1297"/>
      <c r="F5" s="1300"/>
      <c r="G5" s="1300"/>
      <c r="H5" s="1301"/>
      <c r="I5" s="1302">
        <f t="shared" si="0"/>
        <v>0</v>
      </c>
    </row>
    <row r="6" spans="1:9">
      <c r="A6" s="3209"/>
      <c r="B6" s="3210" t="s">
        <v>1088</v>
      </c>
      <c r="C6" s="3210"/>
      <c r="D6" s="1299"/>
      <c r="E6" s="1297"/>
      <c r="F6" s="1300"/>
      <c r="G6" s="1300"/>
      <c r="H6" s="1301"/>
      <c r="I6" s="1302">
        <f t="shared" si="0"/>
        <v>0</v>
      </c>
    </row>
    <row r="7" spans="1:9">
      <c r="A7" s="3209"/>
      <c r="B7" s="3210" t="s">
        <v>1089</v>
      </c>
      <c r="C7" s="3210"/>
      <c r="D7" s="1299"/>
      <c r="E7" s="1297"/>
      <c r="F7" s="1300"/>
      <c r="G7" s="1300"/>
      <c r="H7" s="1301"/>
      <c r="I7" s="1302">
        <f t="shared" si="0"/>
        <v>0</v>
      </c>
    </row>
    <row r="8" spans="1:9">
      <c r="A8" s="3209"/>
      <c r="B8" s="3210" t="s">
        <v>1090</v>
      </c>
      <c r="C8" s="3210"/>
      <c r="D8" s="1299"/>
      <c r="E8" s="1297"/>
      <c r="F8" s="1300"/>
      <c r="G8" s="1300"/>
      <c r="H8" s="1301"/>
      <c r="I8" s="1302">
        <f t="shared" si="0"/>
        <v>0</v>
      </c>
    </row>
    <row r="9" spans="1:9">
      <c r="A9" s="3209"/>
      <c r="B9" s="3210" t="s">
        <v>1091</v>
      </c>
      <c r="C9" s="3210"/>
      <c r="D9" s="1299"/>
      <c r="E9" s="1297"/>
      <c r="F9" s="1300"/>
      <c r="G9" s="1300"/>
      <c r="H9" s="1301"/>
      <c r="I9" s="1302">
        <f t="shared" si="0"/>
        <v>0</v>
      </c>
    </row>
    <row r="10" spans="1:9">
      <c r="A10" s="3209"/>
      <c r="B10" s="3211" t="s">
        <v>1092</v>
      </c>
      <c r="C10" s="3211"/>
      <c r="D10" s="1303"/>
      <c r="E10" s="1303" t="e">
        <f>ROUND(D1*10000/D10/H9,0)</f>
        <v>#DIV/0!</v>
      </c>
      <c r="F10" s="1304"/>
      <c r="G10" s="1304"/>
      <c r="H10" s="1305"/>
      <c r="I10" s="1306">
        <f>SUM(I3:I9)</f>
        <v>0</v>
      </c>
    </row>
    <row r="11" spans="1:9" ht="14.25">
      <c r="A11" s="3209" t="s">
        <v>1093</v>
      </c>
      <c r="B11" s="3210" t="s">
        <v>1094</v>
      </c>
      <c r="C11" s="3210"/>
      <c r="D11" s="1299" t="s">
        <v>1095</v>
      </c>
      <c r="E11" s="1299" t="s">
        <v>1096</v>
      </c>
      <c r="F11" s="1300" t="s">
        <v>1097</v>
      </c>
      <c r="G11" s="1300" t="s">
        <v>1083</v>
      </c>
      <c r="H11" s="1307" t="s">
        <v>1098</v>
      </c>
      <c r="I11" s="1298" t="s">
        <v>1084</v>
      </c>
    </row>
    <row r="12" spans="1:9">
      <c r="A12" s="3209"/>
      <c r="B12" s="3210" t="s">
        <v>1099</v>
      </c>
      <c r="C12" s="3210"/>
      <c r="D12" s="1299"/>
      <c r="E12" s="1299"/>
      <c r="F12" s="1300"/>
      <c r="G12" s="1301"/>
      <c r="H12" s="1308"/>
      <c r="I12" s="1298">
        <f>ROUND(D12*E12*F12*G12/10000,0)</f>
        <v>0</v>
      </c>
    </row>
    <row r="13" spans="1:9">
      <c r="A13" s="3209"/>
      <c r="B13" s="3210" t="s">
        <v>1100</v>
      </c>
      <c r="C13" s="3210"/>
      <c r="D13" s="1299"/>
      <c r="E13" s="1299"/>
      <c r="F13" s="1300"/>
      <c r="G13" s="1301"/>
      <c r="H13" s="1308"/>
      <c r="I13" s="1298">
        <f>ROUND(D13*E13*F13*G13/10000,0)</f>
        <v>0</v>
      </c>
    </row>
    <row r="14" spans="1:9">
      <c r="A14" s="3209"/>
      <c r="B14" s="3210" t="s">
        <v>1101</v>
      </c>
      <c r="C14" s="3210"/>
      <c r="D14" s="1299"/>
      <c r="E14" s="1299"/>
      <c r="F14" s="1300"/>
      <c r="G14" s="1301"/>
      <c r="H14" s="1308"/>
      <c r="I14" s="1298">
        <f>ROUND(D14*E14*F14*G14/10000,0)</f>
        <v>0</v>
      </c>
    </row>
    <row r="15" spans="1:9">
      <c r="A15" s="3209"/>
      <c r="B15" s="3211" t="s">
        <v>1092</v>
      </c>
      <c r="C15" s="3211"/>
      <c r="D15" s="1303"/>
      <c r="E15" s="1303">
        <f>SUM(E12:E14)</f>
        <v>0</v>
      </c>
      <c r="F15" s="1304"/>
      <c r="G15" s="1301"/>
      <c r="H15" s="1308"/>
      <c r="I15" s="1309">
        <f>SUM(I12:I14)</f>
        <v>0</v>
      </c>
    </row>
    <row r="16" spans="1:9" ht="24">
      <c r="A16" s="3209" t="s">
        <v>1102</v>
      </c>
      <c r="B16" s="3210" t="s">
        <v>1103</v>
      </c>
      <c r="C16" s="3210"/>
      <c r="D16" s="1299" t="s">
        <v>1079</v>
      </c>
      <c r="E16" s="1310" t="s">
        <v>1104</v>
      </c>
      <c r="F16" s="1300" t="s">
        <v>1105</v>
      </c>
      <c r="G16" s="1301" t="s">
        <v>1083</v>
      </c>
      <c r="H16" s="1307" t="s">
        <v>1098</v>
      </c>
      <c r="I16" s="1298" t="s">
        <v>1084</v>
      </c>
    </row>
    <row r="17" spans="1:9" ht="14.25">
      <c r="A17" s="3209"/>
      <c r="B17" s="3210" t="s">
        <v>1106</v>
      </c>
      <c r="C17" s="3210"/>
      <c r="D17" s="1299"/>
      <c r="E17" s="1299"/>
      <c r="F17" s="1300"/>
      <c r="G17" s="1301"/>
      <c r="H17" s="1311"/>
      <c r="I17" s="1312">
        <f>ROUND(D17*E17*F17*G17/10000,0)</f>
        <v>0</v>
      </c>
    </row>
    <row r="18" spans="1:9" ht="14.25">
      <c r="A18" s="3209"/>
      <c r="B18" s="3210" t="s">
        <v>1107</v>
      </c>
      <c r="C18" s="3210"/>
      <c r="D18" s="1299"/>
      <c r="E18" s="1299"/>
      <c r="F18" s="1300"/>
      <c r="G18" s="1301"/>
      <c r="H18" s="1311"/>
      <c r="I18" s="1312">
        <f>ROUND(D18*E18*F18*G18/10000,0)</f>
        <v>0</v>
      </c>
    </row>
    <row r="19" spans="1:9" ht="14.25">
      <c r="A19" s="3209"/>
      <c r="B19" s="3210" t="s">
        <v>1108</v>
      </c>
      <c r="C19" s="3210"/>
      <c r="D19" s="1299"/>
      <c r="E19" s="1299"/>
      <c r="F19" s="1300"/>
      <c r="G19" s="1301"/>
      <c r="H19" s="1311"/>
      <c r="I19" s="1312">
        <f>ROUND(D19*E19*F19*G19/10000,0)</f>
        <v>0</v>
      </c>
    </row>
    <row r="20" spans="1:9">
      <c r="A20" s="3209"/>
      <c r="B20" s="3211" t="s">
        <v>1092</v>
      </c>
      <c r="C20" s="3211"/>
      <c r="D20" s="1303">
        <f>SUM(D17:D19)</f>
        <v>0</v>
      </c>
      <c r="E20" s="1303"/>
      <c r="F20" s="1304"/>
      <c r="G20" s="1301"/>
      <c r="H20" s="1308"/>
      <c r="I20" s="1309">
        <f>SUM(I17:I19)</f>
        <v>0</v>
      </c>
    </row>
    <row r="21" spans="1:9">
      <c r="A21" s="3209" t="s">
        <v>1109</v>
      </c>
      <c r="B21" s="3212"/>
      <c r="C21" s="3212"/>
      <c r="D21" s="3212"/>
      <c r="E21" s="3212"/>
      <c r="F21" s="3212"/>
      <c r="G21" s="3212"/>
      <c r="H21" s="1759">
        <v>0.1</v>
      </c>
      <c r="I21" s="1306">
        <f>ROUND(I10*H21,0)</f>
        <v>0</v>
      </c>
    </row>
    <row r="22" spans="1:9" ht="14.25">
      <c r="A22" s="3213" t="s">
        <v>1110</v>
      </c>
      <c r="B22" s="3214"/>
      <c r="C22" s="3215"/>
      <c r="D22" s="1313" t="s">
        <v>1111</v>
      </c>
      <c r="E22" s="1313" t="s">
        <v>1112</v>
      </c>
      <c r="F22" s="1314" t="s">
        <v>1113</v>
      </c>
      <c r="G22" s="1314" t="s">
        <v>1114</v>
      </c>
      <c r="H22" s="1307" t="s">
        <v>1115</v>
      </c>
      <c r="I22" s="1298" t="s">
        <v>1116</v>
      </c>
    </row>
    <row r="23" spans="1:9" ht="14.25" thickBot="1">
      <c r="A23" s="3216"/>
      <c r="B23" s="3217"/>
      <c r="C23" s="3218"/>
      <c r="D23" s="1315"/>
      <c r="E23" s="1315"/>
      <c r="F23" s="1315"/>
      <c r="G23" s="1316"/>
      <c r="H23" s="1317"/>
      <c r="I23" s="1318">
        <f>ROUND(E23*D23*F23*(1-G23)/10000,0)</f>
        <v>0</v>
      </c>
    </row>
    <row r="26" spans="1:9">
      <c r="A26" s="1319" t="s">
        <v>1117</v>
      </c>
      <c r="B26" s="1319"/>
      <c r="C26" s="1319"/>
      <c r="D26" s="1319"/>
      <c r="E26" s="3206">
        <f>C27-C30-C31-C32</f>
        <v>0</v>
      </c>
      <c r="F26" s="3206"/>
      <c r="G26" s="3206"/>
      <c r="H26" s="1731" t="s">
        <v>1340</v>
      </c>
    </row>
    <row r="27" spans="1:9">
      <c r="A27" s="1320">
        <v>1</v>
      </c>
      <c r="B27" s="1321" t="s">
        <v>1118</v>
      </c>
      <c r="C27" s="1321">
        <f>C28+C29</f>
        <v>0</v>
      </c>
      <c r="D27" s="1321"/>
      <c r="E27" s="3207"/>
      <c r="F27" s="3207"/>
      <c r="G27" s="3207"/>
    </row>
    <row r="28" spans="1:9">
      <c r="A28" s="1322" t="s">
        <v>1119</v>
      </c>
      <c r="B28" s="1321" t="s">
        <v>1120</v>
      </c>
      <c r="C28" s="1321"/>
      <c r="D28" s="1321"/>
      <c r="E28" s="3207"/>
      <c r="F28" s="3207"/>
      <c r="G28" s="320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8"/>
      <c r="F32" s="3208"/>
      <c r="G32" s="3208"/>
    </row>
    <row r="33" spans="1:7" hidden="1">
      <c r="A33" s="3203" t="s">
        <v>1129</v>
      </c>
      <c r="B33" s="3204"/>
      <c r="C33" s="3204"/>
      <c r="D33" s="3205"/>
      <c r="E33" s="3206"/>
      <c r="F33" s="3206"/>
      <c r="G33" s="3206"/>
    </row>
    <row r="34" spans="1:7" hidden="1">
      <c r="A34" s="1324">
        <v>1</v>
      </c>
      <c r="B34" s="1321" t="s">
        <v>1130</v>
      </c>
      <c r="C34" s="1321"/>
      <c r="D34" s="1321"/>
      <c r="E34" s="3207"/>
      <c r="F34" s="3207"/>
      <c r="G34" s="3207"/>
    </row>
    <row r="35" spans="1:7" hidden="1">
      <c r="A35" s="1324">
        <v>2</v>
      </c>
      <c r="B35" s="1321" t="s">
        <v>1131</v>
      </c>
      <c r="C35" s="1321"/>
      <c r="D35" s="1321"/>
      <c r="E35" s="3207"/>
      <c r="F35" s="3207"/>
      <c r="G35" s="3207"/>
    </row>
    <row r="36" spans="1:7" hidden="1">
      <c r="A36" s="1324">
        <v>3</v>
      </c>
      <c r="B36" s="1321" t="s">
        <v>1132</v>
      </c>
      <c r="C36" s="1321"/>
      <c r="D36" s="1321"/>
      <c r="E36" s="3207"/>
      <c r="F36" s="3207"/>
      <c r="G36" s="3207"/>
    </row>
    <row r="37" spans="1:7" hidden="1">
      <c r="A37" s="1324">
        <v>4</v>
      </c>
      <c r="B37" s="1321" t="s">
        <v>1133</v>
      </c>
      <c r="C37" s="1321"/>
      <c r="D37" s="1321"/>
      <c r="E37" s="3207"/>
      <c r="F37" s="3207"/>
      <c r="G37" s="3207"/>
    </row>
    <row r="38" spans="1:7" hidden="1">
      <c r="A38" s="3203" t="s">
        <v>1134</v>
      </c>
      <c r="B38" s="3204"/>
      <c r="C38" s="3204"/>
      <c r="D38" s="3205"/>
      <c r="E38" s="3206"/>
      <c r="F38" s="3206"/>
      <c r="G38" s="32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48"/>
  <sheetViews>
    <sheetView topLeftCell="A4" zoomScale="70" zoomScaleNormal="70" workbookViewId="0">
      <selection activeCell="N17" sqref="N17"/>
    </sheetView>
  </sheetViews>
  <sheetFormatPr defaultColWidth="9" defaultRowHeight="14.25"/>
  <cols>
    <col min="1" max="1" width="10.5" style="402" customWidth="1"/>
    <col min="2" max="2" width="15.75" style="402" customWidth="1"/>
    <col min="3" max="3" width="17.625" style="402" customWidth="1"/>
    <col min="4" max="4" width="12.25" style="402" customWidth="1"/>
    <col min="5" max="5" width="16.75" style="402" customWidth="1"/>
    <col min="6" max="6" width="12.25" style="402" customWidth="1"/>
    <col min="7" max="7" width="16.875" style="402" customWidth="1"/>
    <col min="8" max="8" width="12.25" style="402" customWidth="1"/>
    <col min="9" max="9" width="16.87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2523</v>
      </c>
      <c r="B1" s="2575" t="s">
        <v>2524</v>
      </c>
      <c r="C1" s="1628" t="s">
        <v>2525</v>
      </c>
      <c r="D1" s="1615" t="s">
        <v>3232</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4363</v>
      </c>
      <c r="C2" s="2579" t="s">
        <v>70</v>
      </c>
      <c r="D2" s="1361" t="e">
        <f ca="1">SUMIF(INDIRECT("'"&amp;F2&amp;"'"&amp;"!A:A"),"承租人权益价值",INDIRECT("'"&amp;F2&amp;"'"&amp;"!c:c"))</f>
        <v>#REF!</v>
      </c>
      <c r="E2" s="2580" t="s">
        <v>2326</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50502</v>
      </c>
      <c r="C3" s="399" t="s">
        <v>2529</v>
      </c>
      <c r="D3" s="398">
        <f>IF(D1="",'数据-汇总表'!E3,SUMIF('数据-汇总表'!$C19:$C33,D1,'数据-汇总表'!$E19:$E33))</f>
        <v>863.98</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2530</v>
      </c>
      <c r="B4" s="401"/>
      <c r="C4" s="3227" t="s">
        <v>2531</v>
      </c>
      <c r="D4" s="3228"/>
      <c r="E4" s="3229" t="s">
        <v>2532</v>
      </c>
      <c r="F4" s="3230"/>
      <c r="G4" s="3227" t="s">
        <v>2533</v>
      </c>
      <c r="H4" s="3228"/>
      <c r="I4" s="3227" t="s">
        <v>2534</v>
      </c>
      <c r="J4" s="3228"/>
      <c r="K4" s="2589" t="s">
        <v>2535</v>
      </c>
      <c r="L4" s="1126"/>
      <c r="M4" s="1127"/>
      <c r="N4" s="1127"/>
      <c r="O4" s="1127"/>
      <c r="P4" s="3231" t="s">
        <v>2536</v>
      </c>
      <c r="Q4" s="3232"/>
      <c r="R4" s="3237" t="s">
        <v>2532</v>
      </c>
      <c r="S4" s="3238"/>
      <c r="T4" s="3237" t="s">
        <v>2533</v>
      </c>
      <c r="U4" s="3238"/>
      <c r="V4" s="3251" t="s">
        <v>2534</v>
      </c>
      <c r="W4" s="3251"/>
      <c r="X4" s="2966"/>
      <c r="Y4" s="3237" t="s">
        <v>2536</v>
      </c>
      <c r="Z4" s="3238"/>
      <c r="AA4" s="3224" t="s">
        <v>2532</v>
      </c>
      <c r="AB4" s="3224" t="s">
        <v>2533</v>
      </c>
      <c r="AC4" s="3224" t="s">
        <v>2534</v>
      </c>
    </row>
    <row r="5" spans="1:29" ht="15" customHeight="1">
      <c r="A5" s="403"/>
      <c r="B5" s="404"/>
      <c r="C5" s="3241" t="s">
        <v>3158</v>
      </c>
      <c r="D5" s="3242"/>
      <c r="E5" s="3243" t="s">
        <v>3237</v>
      </c>
      <c r="F5" s="3244"/>
      <c r="G5" s="3241" t="s">
        <v>3240</v>
      </c>
      <c r="H5" s="3242"/>
      <c r="I5" s="3241" t="s">
        <v>3241</v>
      </c>
      <c r="J5" s="3242"/>
      <c r="K5" s="2590"/>
      <c r="L5" s="1126"/>
      <c r="M5" s="1127"/>
      <c r="N5" s="1127"/>
      <c r="O5" s="1127"/>
      <c r="P5" s="3233"/>
      <c r="Q5" s="3234"/>
      <c r="R5" s="3239"/>
      <c r="S5" s="3240"/>
      <c r="T5" s="3239"/>
      <c r="U5" s="3240"/>
      <c r="V5" s="3251"/>
      <c r="W5" s="3251"/>
      <c r="X5" s="2966"/>
      <c r="Y5" s="3239"/>
      <c r="Z5" s="3240"/>
      <c r="AA5" s="3225"/>
      <c r="AB5" s="3225"/>
      <c r="AC5" s="3225"/>
    </row>
    <row r="6" spans="1:29" ht="44.25" customHeight="1" thickBot="1">
      <c r="A6" s="405"/>
      <c r="B6" s="406"/>
      <c r="C6" s="3245" t="s">
        <v>2541</v>
      </c>
      <c r="D6" s="3246"/>
      <c r="E6" s="3247" t="s">
        <v>3238</v>
      </c>
      <c r="F6" s="3248"/>
      <c r="G6" s="3247" t="s">
        <v>3242</v>
      </c>
      <c r="H6" s="3248"/>
      <c r="I6" s="3247" t="s">
        <v>3242</v>
      </c>
      <c r="J6" s="3248"/>
      <c r="K6" s="2590" t="s">
        <v>2542</v>
      </c>
      <c r="L6" s="1126"/>
      <c r="M6" s="1127"/>
      <c r="N6" s="1127"/>
      <c r="O6" s="1127"/>
      <c r="P6" s="3235"/>
      <c r="Q6" s="3236"/>
      <c r="R6" s="3239"/>
      <c r="S6" s="3240"/>
      <c r="T6" s="3249"/>
      <c r="U6" s="3250"/>
      <c r="V6" s="3251"/>
      <c r="W6" s="3251"/>
      <c r="X6" s="2966"/>
      <c r="Y6" s="3249"/>
      <c r="Z6" s="3250"/>
      <c r="AA6" s="3226"/>
      <c r="AB6" s="3226"/>
      <c r="AC6" s="3226"/>
    </row>
    <row r="7" spans="1:29" s="116" customFormat="1" ht="15.75" thickBot="1">
      <c r="A7" s="407" t="s">
        <v>2543</v>
      </c>
      <c r="B7" s="408"/>
      <c r="C7" s="409">
        <f>'数据-取费表'!B2</f>
        <v>43633</v>
      </c>
      <c r="D7" s="410">
        <v>100</v>
      </c>
      <c r="E7" s="411">
        <v>43617</v>
      </c>
      <c r="F7" s="412">
        <f>SUMIF(58:58,YEAR(E7)&amp;"-"&amp;MONTH(E7),59:59)</f>
        <v>100</v>
      </c>
      <c r="G7" s="411">
        <v>43617</v>
      </c>
      <c r="H7" s="410">
        <f>SUMIF(58:58,YEAR(G7)&amp;"-"&amp;MONTH(G7),59:59)</f>
        <v>100</v>
      </c>
      <c r="I7" s="411">
        <v>43617</v>
      </c>
      <c r="J7" s="410">
        <f>SUMIF(58:58,YEAR(I7)&amp;"-"&amp;MONTH(I7),59:59)</f>
        <v>100</v>
      </c>
      <c r="K7" s="2591"/>
      <c r="L7" s="1128"/>
      <c r="M7" s="1129"/>
      <c r="N7" s="1129"/>
      <c r="O7" s="1129"/>
      <c r="P7" s="3252" t="s">
        <v>2544</v>
      </c>
      <c r="Q7" s="3253"/>
      <c r="R7" s="769" t="s">
        <v>23</v>
      </c>
      <c r="S7" s="770">
        <f t="shared" ref="S7:S15" si="0">F7</f>
        <v>100</v>
      </c>
      <c r="T7" s="769" t="s">
        <v>23</v>
      </c>
      <c r="U7" s="770">
        <f t="shared" ref="U7:U15" si="1">H7</f>
        <v>100</v>
      </c>
      <c r="V7" s="769" t="s">
        <v>23</v>
      </c>
      <c r="W7" s="770">
        <f t="shared" ref="W7:W15" si="2">J7</f>
        <v>100</v>
      </c>
      <c r="X7" s="771"/>
      <c r="Y7" s="3252" t="s">
        <v>2544</v>
      </c>
      <c r="Z7" s="3254"/>
      <c r="AA7" s="772">
        <f>D7/F7</f>
        <v>1</v>
      </c>
      <c r="AB7" s="772">
        <f>D7/H7</f>
        <v>1</v>
      </c>
      <c r="AC7" s="772">
        <f>D7/J7</f>
        <v>1</v>
      </c>
    </row>
    <row r="8" spans="1:29" s="116" customFormat="1" ht="15.75" thickBot="1">
      <c r="A8" s="407" t="s">
        <v>2545</v>
      </c>
      <c r="B8" s="408"/>
      <c r="C8" s="413" t="s">
        <v>2546</v>
      </c>
      <c r="D8" s="410">
        <v>100</v>
      </c>
      <c r="E8" s="2592" t="s">
        <v>3159</v>
      </c>
      <c r="F8" s="412">
        <f>SUMIF(61:61,E8,62:62)-SUMIF(61:61,C8,62:62)+100</f>
        <v>100</v>
      </c>
      <c r="G8" s="2592" t="s">
        <v>3159</v>
      </c>
      <c r="H8" s="410">
        <f>SUMIF(61:61,G8,62:62)-SUMIF(61:61,C8,62:62)+100</f>
        <v>100</v>
      </c>
      <c r="I8" s="2592" t="s">
        <v>3159</v>
      </c>
      <c r="J8" s="410">
        <f>SUMIF(61:61,I8,62:62)-SUMIF(61:61,C8,62:62)+100</f>
        <v>100</v>
      </c>
      <c r="K8" s="2591"/>
      <c r="L8" s="1128"/>
      <c r="M8" s="1129"/>
      <c r="N8" s="1129"/>
      <c r="O8" s="1129"/>
      <c r="P8" s="3252" t="s">
        <v>2547</v>
      </c>
      <c r="Q8" s="3254"/>
      <c r="R8" s="769" t="s">
        <v>23</v>
      </c>
      <c r="S8" s="770">
        <f t="shared" si="0"/>
        <v>100</v>
      </c>
      <c r="T8" s="769" t="s">
        <v>23</v>
      </c>
      <c r="U8" s="770">
        <f t="shared" si="1"/>
        <v>100</v>
      </c>
      <c r="V8" s="769" t="s">
        <v>23</v>
      </c>
      <c r="W8" s="770">
        <f t="shared" si="2"/>
        <v>100</v>
      </c>
      <c r="X8" s="771"/>
      <c r="Y8" s="3252" t="s">
        <v>2547</v>
      </c>
      <c r="Z8" s="3254"/>
      <c r="AA8" s="772">
        <f t="shared" ref="AA8:AA19" si="3">D8/F8</f>
        <v>1</v>
      </c>
      <c r="AB8" s="772">
        <f t="shared" ref="AB8:AB19" si="4">D8/H8</f>
        <v>1</v>
      </c>
      <c r="AC8" s="772">
        <f t="shared" ref="AC8:AC19" si="5">D8/J8</f>
        <v>1</v>
      </c>
    </row>
    <row r="9" spans="1:29" s="116" customFormat="1">
      <c r="A9" s="414" t="s">
        <v>2548</v>
      </c>
      <c r="B9" s="71" t="s">
        <v>2549</v>
      </c>
      <c r="C9" s="2947" t="s">
        <v>3160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55" t="s">
        <v>2550</v>
      </c>
      <c r="Q9" s="2963" t="str">
        <f t="shared" ref="Q9:Q15" si="6">B9</f>
        <v>用途</v>
      </c>
      <c r="R9" s="769" t="s">
        <v>17</v>
      </c>
      <c r="S9" s="770">
        <f t="shared" si="0"/>
        <v>100</v>
      </c>
      <c r="T9" s="769" t="s">
        <v>17</v>
      </c>
      <c r="U9" s="770">
        <f t="shared" si="1"/>
        <v>100</v>
      </c>
      <c r="V9" s="769" t="s">
        <v>17</v>
      </c>
      <c r="W9" s="770">
        <f t="shared" si="2"/>
        <v>100</v>
      </c>
      <c r="X9" s="771"/>
      <c r="Y9" s="3039" t="s">
        <v>2551</v>
      </c>
      <c r="Z9" s="2964" t="str">
        <f t="shared" ref="Z9:Z15" si="7">Q9</f>
        <v>用途</v>
      </c>
      <c r="AA9" s="772">
        <f t="shared" si="3"/>
        <v>1</v>
      </c>
      <c r="AB9" s="772">
        <f t="shared" si="4"/>
        <v>1</v>
      </c>
      <c r="AC9" s="772">
        <f t="shared" si="5"/>
        <v>1</v>
      </c>
    </row>
    <row r="10" spans="1:29" s="426" customFormat="1" ht="27">
      <c r="A10" s="420"/>
      <c r="B10" s="2965" t="s">
        <v>2552</v>
      </c>
      <c r="C10" s="422" t="s">
        <v>3161</v>
      </c>
      <c r="D10" s="135">
        <v>100</v>
      </c>
      <c r="E10" s="423" t="s">
        <v>3161</v>
      </c>
      <c r="F10" s="424">
        <f>SUMIF(65:65,E10,66:66)-SUMIF(65:65,C10,66:66)+100</f>
        <v>100</v>
      </c>
      <c r="G10" s="423" t="s">
        <v>3161</v>
      </c>
      <c r="H10" s="135">
        <f>SUMIF(65:65,G10,66:66)-SUMIF(65:65,C10,66:66)+100</f>
        <v>100</v>
      </c>
      <c r="I10" s="423" t="s">
        <v>3161</v>
      </c>
      <c r="J10" s="135">
        <f>SUMIF(65:65,I10,66:66)-SUMIF(65:65,C10,66:66)+100</f>
        <v>100</v>
      </c>
      <c r="K10" s="425"/>
      <c r="L10" s="1131"/>
      <c r="M10" s="1132"/>
      <c r="N10" s="1132"/>
      <c r="O10" s="1132"/>
      <c r="P10" s="3255"/>
      <c r="Q10" s="2963" t="str">
        <f t="shared" si="6"/>
        <v>土地使用年限（年）</v>
      </c>
      <c r="R10" s="769" t="s">
        <v>17</v>
      </c>
      <c r="S10" s="770">
        <f t="shared" si="0"/>
        <v>100</v>
      </c>
      <c r="T10" s="769" t="s">
        <v>17</v>
      </c>
      <c r="U10" s="770">
        <f t="shared" si="1"/>
        <v>100</v>
      </c>
      <c r="V10" s="769" t="s">
        <v>17</v>
      </c>
      <c r="W10" s="770">
        <f t="shared" si="2"/>
        <v>100</v>
      </c>
      <c r="X10" s="771"/>
      <c r="Y10" s="3039"/>
      <c r="Z10" s="2964" t="str">
        <f t="shared" si="7"/>
        <v>土地使用年限（年）</v>
      </c>
      <c r="AA10" s="772">
        <f t="shared" si="3"/>
        <v>1</v>
      </c>
      <c r="AB10" s="772">
        <f t="shared" si="4"/>
        <v>1</v>
      </c>
      <c r="AC10" s="772">
        <f t="shared" si="5"/>
        <v>1</v>
      </c>
    </row>
    <row r="11" spans="1:29" ht="15">
      <c r="A11" s="427"/>
      <c r="B11" s="2965" t="s">
        <v>2553</v>
      </c>
      <c r="C11" s="2952">
        <v>2.5</v>
      </c>
      <c r="D11" s="135">
        <v>100</v>
      </c>
      <c r="E11" s="429">
        <v>3.5</v>
      </c>
      <c r="F11" s="424">
        <f>LOOKUP(E11,68:68,69:69)-LOOKUP(C11,68:68,69:69)+100</f>
        <v>99.5</v>
      </c>
      <c r="G11" s="428">
        <v>2.2000000000000002</v>
      </c>
      <c r="H11" s="135">
        <f>LOOKUP(G11,68:68,69:69)-LOOKUP(C11,68:68,69:69)+100</f>
        <v>100</v>
      </c>
      <c r="I11" s="428">
        <v>1.5</v>
      </c>
      <c r="J11" s="135">
        <f>LOOKUP(I11,68:68,69:69)-LOOKUP(C11,68:68,69:69)+100</f>
        <v>100.5</v>
      </c>
      <c r="K11" s="425">
        <v>0.5</v>
      </c>
      <c r="L11" s="1134"/>
      <c r="M11" s="1127"/>
      <c r="N11" s="1127"/>
      <c r="O11" s="1127"/>
      <c r="P11" s="3255"/>
      <c r="Q11" s="2963" t="str">
        <f t="shared" si="6"/>
        <v>容积率</v>
      </c>
      <c r="R11" s="769" t="s">
        <v>21</v>
      </c>
      <c r="S11" s="770">
        <f t="shared" si="0"/>
        <v>99.5</v>
      </c>
      <c r="T11" s="769" t="s">
        <v>21</v>
      </c>
      <c r="U11" s="770">
        <f t="shared" si="1"/>
        <v>100</v>
      </c>
      <c r="V11" s="769" t="s">
        <v>21</v>
      </c>
      <c r="W11" s="770">
        <f t="shared" si="2"/>
        <v>100.5</v>
      </c>
      <c r="X11" s="771"/>
      <c r="Y11" s="3039"/>
      <c r="Z11" s="2964" t="str">
        <f t="shared" si="7"/>
        <v>容积率</v>
      </c>
      <c r="AA11" s="772">
        <f t="shared" si="3"/>
        <v>1.0050251256281406</v>
      </c>
      <c r="AB11" s="772">
        <f t="shared" si="4"/>
        <v>1</v>
      </c>
      <c r="AC11" s="772">
        <f t="shared" si="5"/>
        <v>0.99502487562189057</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55"/>
      <c r="Q12" s="2963">
        <f t="shared" si="6"/>
        <v>111</v>
      </c>
      <c r="R12" s="769" t="s">
        <v>21</v>
      </c>
      <c r="S12" s="770">
        <f t="shared" si="0"/>
        <v>100</v>
      </c>
      <c r="T12" s="769" t="s">
        <v>21</v>
      </c>
      <c r="U12" s="770">
        <f t="shared" si="1"/>
        <v>100</v>
      </c>
      <c r="V12" s="769" t="s">
        <v>21</v>
      </c>
      <c r="W12" s="770">
        <f t="shared" si="2"/>
        <v>100</v>
      </c>
      <c r="X12" s="771"/>
      <c r="Y12" s="3039"/>
      <c r="Z12" s="296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55"/>
      <c r="Q13" s="2963">
        <f t="shared" si="6"/>
        <v>111</v>
      </c>
      <c r="R13" s="769" t="s">
        <v>21</v>
      </c>
      <c r="S13" s="770">
        <f t="shared" si="0"/>
        <v>100</v>
      </c>
      <c r="T13" s="769" t="s">
        <v>21</v>
      </c>
      <c r="U13" s="770">
        <f t="shared" si="1"/>
        <v>100</v>
      </c>
      <c r="V13" s="769" t="s">
        <v>21</v>
      </c>
      <c r="W13" s="770">
        <f t="shared" si="2"/>
        <v>100</v>
      </c>
      <c r="X13" s="771"/>
      <c r="Y13" s="3039"/>
      <c r="Z13" s="296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55"/>
      <c r="Q14" s="2963">
        <f t="shared" si="6"/>
        <v>111</v>
      </c>
      <c r="R14" s="769" t="s">
        <v>21</v>
      </c>
      <c r="S14" s="770">
        <f t="shared" si="0"/>
        <v>100</v>
      </c>
      <c r="T14" s="769" t="s">
        <v>21</v>
      </c>
      <c r="U14" s="770">
        <f t="shared" si="1"/>
        <v>100</v>
      </c>
      <c r="V14" s="769" t="s">
        <v>21</v>
      </c>
      <c r="W14" s="770">
        <f t="shared" si="2"/>
        <v>100</v>
      </c>
      <c r="X14" s="771"/>
      <c r="Y14" s="3039"/>
      <c r="Z14" s="2964">
        <f t="shared" si="7"/>
        <v>111</v>
      </c>
      <c r="AA14" s="772">
        <f t="shared" si="3"/>
        <v>1</v>
      </c>
      <c r="AB14" s="772">
        <f t="shared" si="4"/>
        <v>1</v>
      </c>
      <c r="AC14" s="772">
        <f t="shared" si="5"/>
        <v>1</v>
      </c>
    </row>
    <row r="15" spans="1:29" ht="71.25">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56" t="s">
        <v>2555</v>
      </c>
      <c r="Q15" s="2968" t="str">
        <f t="shared" si="6"/>
        <v>居住社区成熟度</v>
      </c>
      <c r="R15" s="773" t="s">
        <v>21</v>
      </c>
      <c r="S15" s="774">
        <f t="shared" si="0"/>
        <v>100</v>
      </c>
      <c r="T15" s="773" t="s">
        <v>21</v>
      </c>
      <c r="U15" s="774">
        <f t="shared" si="1"/>
        <v>100</v>
      </c>
      <c r="V15" s="773" t="s">
        <v>21</v>
      </c>
      <c r="W15" s="774">
        <f t="shared" si="2"/>
        <v>100</v>
      </c>
      <c r="X15" s="2966"/>
      <c r="Y15" s="3258" t="s">
        <v>2555</v>
      </c>
      <c r="Z15" s="2967" t="str">
        <f t="shared" si="7"/>
        <v>居住社区成熟度</v>
      </c>
      <c r="AA15" s="2969">
        <f t="shared" si="3"/>
        <v>1</v>
      </c>
      <c r="AB15" s="2969">
        <f t="shared" si="4"/>
        <v>1</v>
      </c>
      <c r="AC15" s="2969">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57"/>
      <c r="Q16" s="2968"/>
      <c r="R16" s="773"/>
      <c r="S16" s="774"/>
      <c r="T16" s="773"/>
      <c r="U16" s="774"/>
      <c r="V16" s="773"/>
      <c r="W16" s="774"/>
      <c r="X16" s="2966"/>
      <c r="Y16" s="3259"/>
      <c r="Z16" s="2967"/>
      <c r="AA16" s="2969">
        <v>1</v>
      </c>
      <c r="AB16" s="2969">
        <v>1</v>
      </c>
      <c r="AC16" s="2969">
        <v>1</v>
      </c>
    </row>
    <row r="17" spans="1:29" ht="71.25">
      <c r="A17" s="427"/>
      <c r="B17" s="450" t="s">
        <v>2096</v>
      </c>
      <c r="C17" s="2600" t="str">
        <f>估价对象房地状况!C6</f>
        <v>估价对象周边道路状况、公共交通通达情况、停车便捷程度，综合评价交通便捷度较好</v>
      </c>
      <c r="D17" s="449">
        <v>100</v>
      </c>
      <c r="E17" s="453"/>
      <c r="F17" s="449">
        <f>SUMIF(78:78,E18,79:79)-SUMIF(78:78,C18,79:79)+100</f>
        <v>98</v>
      </c>
      <c r="G17" s="451"/>
      <c r="H17" s="454">
        <f>SUMIF(78:78,G18,79:79)-SUMIF(78:78,C18,79:79)+100</f>
        <v>98</v>
      </c>
      <c r="I17" s="451"/>
      <c r="J17" s="454">
        <f>SUMIF(78:78,I18,79:79)-SUMIF(78:78,C18,79:79)+100</f>
        <v>100</v>
      </c>
      <c r="K17" s="444">
        <v>2</v>
      </c>
      <c r="L17" s="1136"/>
      <c r="M17" s="1127"/>
      <c r="N17" s="1127"/>
      <c r="O17" s="1127"/>
      <c r="P17" s="3257"/>
      <c r="Q17" s="2968" t="str">
        <f>B17</f>
        <v>交通便捷度</v>
      </c>
      <c r="R17" s="773" t="s">
        <v>21</v>
      </c>
      <c r="S17" s="774">
        <f>F17</f>
        <v>98</v>
      </c>
      <c r="T17" s="773" t="s">
        <v>21</v>
      </c>
      <c r="U17" s="774">
        <f>H17</f>
        <v>98</v>
      </c>
      <c r="V17" s="773" t="s">
        <v>21</v>
      </c>
      <c r="W17" s="774">
        <f>J17</f>
        <v>100</v>
      </c>
      <c r="X17" s="2966"/>
      <c r="Y17" s="3259"/>
      <c r="Z17" s="2967" t="str">
        <f>Q17</f>
        <v>交通便捷度</v>
      </c>
      <c r="AA17" s="2969">
        <f t="shared" si="3"/>
        <v>1.0204081632653061</v>
      </c>
      <c r="AB17" s="2969">
        <f t="shared" si="4"/>
        <v>1.0204081632653061</v>
      </c>
      <c r="AC17" s="2969">
        <f t="shared" si="5"/>
        <v>1</v>
      </c>
    </row>
    <row r="18" spans="1:29" ht="15">
      <c r="A18" s="427"/>
      <c r="B18" s="455"/>
      <c r="C18" s="2601" t="s">
        <v>3048</v>
      </c>
      <c r="D18" s="449"/>
      <c r="E18" s="2602" t="s">
        <v>3115</v>
      </c>
      <c r="F18" s="449"/>
      <c r="G18" s="2602" t="s">
        <v>3115</v>
      </c>
      <c r="H18" s="447"/>
      <c r="I18" s="2602" t="s">
        <v>3048</v>
      </c>
      <c r="J18" s="447"/>
      <c r="K18" s="2599"/>
      <c r="L18" s="1136"/>
      <c r="M18" s="1127"/>
      <c r="N18" s="1127"/>
      <c r="O18" s="1127"/>
      <c r="P18" s="3257"/>
      <c r="Q18" s="2968"/>
      <c r="R18" s="773"/>
      <c r="S18" s="774"/>
      <c r="T18" s="773"/>
      <c r="U18" s="774"/>
      <c r="V18" s="773"/>
      <c r="W18" s="774"/>
      <c r="X18" s="2966"/>
      <c r="Y18" s="3259"/>
      <c r="Z18" s="2967"/>
      <c r="AA18" s="2969">
        <v>1</v>
      </c>
      <c r="AB18" s="2969">
        <v>1</v>
      </c>
      <c r="AC18" s="2969">
        <v>1</v>
      </c>
    </row>
    <row r="19" spans="1:29" ht="28.5">
      <c r="A19" s="427"/>
      <c r="B19" s="450" t="s">
        <v>2094</v>
      </c>
      <c r="C19" s="2600"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6"/>
      <c r="M19" s="1127"/>
      <c r="N19" s="1127"/>
      <c r="O19" s="1127"/>
      <c r="P19" s="3257"/>
      <c r="Q19" s="2968" t="str">
        <f>B19</f>
        <v>公共配套设施</v>
      </c>
      <c r="R19" s="773" t="s">
        <v>21</v>
      </c>
      <c r="S19" s="774">
        <f>F19</f>
        <v>98</v>
      </c>
      <c r="T19" s="773" t="s">
        <v>21</v>
      </c>
      <c r="U19" s="774">
        <f>H19</f>
        <v>100</v>
      </c>
      <c r="V19" s="773" t="s">
        <v>21</v>
      </c>
      <c r="W19" s="774">
        <f>J19</f>
        <v>100</v>
      </c>
      <c r="X19" s="2966"/>
      <c r="Y19" s="3259"/>
      <c r="Z19" s="2967" t="str">
        <f>Q19</f>
        <v>公共配套设施</v>
      </c>
      <c r="AA19" s="2969">
        <f t="shared" si="3"/>
        <v>1.0204081632653061</v>
      </c>
      <c r="AB19" s="2969">
        <f t="shared" si="4"/>
        <v>1</v>
      </c>
      <c r="AC19" s="2969">
        <f t="shared" si="5"/>
        <v>1</v>
      </c>
    </row>
    <row r="20" spans="1:29" ht="15">
      <c r="A20" s="427"/>
      <c r="B20" s="455"/>
      <c r="C20" s="446" t="s">
        <v>3048</v>
      </c>
      <c r="D20" s="447"/>
      <c r="E20" s="2597" t="s">
        <v>3115</v>
      </c>
      <c r="F20" s="447"/>
      <c r="G20" s="2598" t="s">
        <v>3048</v>
      </c>
      <c r="H20" s="447"/>
      <c r="I20" s="2598" t="s">
        <v>3048</v>
      </c>
      <c r="J20" s="447"/>
      <c r="K20" s="2599"/>
      <c r="L20" s="1136"/>
      <c r="M20" s="1127"/>
      <c r="N20" s="1127"/>
      <c r="O20" s="1127"/>
      <c r="P20" s="3257"/>
      <c r="Q20" s="2968"/>
      <c r="R20" s="773"/>
      <c r="S20" s="774"/>
      <c r="T20" s="773"/>
      <c r="U20" s="774"/>
      <c r="V20" s="773"/>
      <c r="W20" s="774"/>
      <c r="X20" s="2966"/>
      <c r="Y20" s="3259"/>
      <c r="Z20" s="2967"/>
      <c r="AA20" s="2969">
        <v>1</v>
      </c>
      <c r="AB20" s="2969">
        <v>1</v>
      </c>
      <c r="AC20" s="2969">
        <v>1</v>
      </c>
    </row>
    <row r="21" spans="1:29" ht="28.5">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57"/>
      <c r="Q21" s="2968" t="str">
        <f>B21</f>
        <v>基础设施水平</v>
      </c>
      <c r="R21" s="773" t="s">
        <v>17</v>
      </c>
      <c r="S21" s="774">
        <f>F21</f>
        <v>100</v>
      </c>
      <c r="T21" s="773" t="s">
        <v>17</v>
      </c>
      <c r="U21" s="774">
        <f>H21</f>
        <v>100</v>
      </c>
      <c r="V21" s="773" t="s">
        <v>17</v>
      </c>
      <c r="W21" s="774">
        <f>J21</f>
        <v>100</v>
      </c>
      <c r="X21" s="2966"/>
      <c r="Y21" s="3259"/>
      <c r="Z21" s="2967" t="str">
        <f>Q21</f>
        <v>基础设施水平</v>
      </c>
      <c r="AA21" s="2969">
        <f t="shared" ref="AA21" si="8">D21/F21</f>
        <v>1</v>
      </c>
      <c r="AB21" s="2969">
        <f t="shared" ref="AB21" si="9">D21/H21</f>
        <v>1</v>
      </c>
      <c r="AC21" s="2969">
        <f t="shared" ref="AC21" si="10">D21/J21</f>
        <v>1</v>
      </c>
    </row>
    <row r="22" spans="1:29" ht="15">
      <c r="A22" s="427"/>
      <c r="B22" s="1380"/>
      <c r="C22" s="2601" t="s">
        <v>3116</v>
      </c>
      <c r="D22" s="447"/>
      <c r="E22" s="446" t="s">
        <v>3116</v>
      </c>
      <c r="F22" s="447"/>
      <c r="G22" s="2604" t="s">
        <v>3116</v>
      </c>
      <c r="H22" s="447"/>
      <c r="I22" s="446" t="s">
        <v>3116</v>
      </c>
      <c r="J22" s="447"/>
      <c r="K22" s="2605"/>
      <c r="L22" s="1136"/>
      <c r="M22" s="1127"/>
      <c r="N22" s="1127"/>
      <c r="O22" s="1127"/>
      <c r="P22" s="3257"/>
      <c r="Q22" s="2968"/>
      <c r="R22" s="773"/>
      <c r="S22" s="774"/>
      <c r="T22" s="773"/>
      <c r="U22" s="774"/>
      <c r="V22" s="773"/>
      <c r="W22" s="774"/>
      <c r="X22" s="2966"/>
      <c r="Y22" s="3259"/>
      <c r="Z22" s="2967"/>
      <c r="AA22" s="2969">
        <v>1</v>
      </c>
      <c r="AB22" s="2969">
        <v>1</v>
      </c>
      <c r="AC22" s="2969">
        <v>1</v>
      </c>
    </row>
    <row r="23" spans="1:29" ht="42.75">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101</v>
      </c>
      <c r="I23" s="451"/>
      <c r="J23" s="449">
        <f>SUMIF(84:84,I24,85:85)-SUMIF(84:84,C24,85:85)+100</f>
        <v>101</v>
      </c>
      <c r="K23" s="444">
        <v>1</v>
      </c>
      <c r="L23" s="1136"/>
      <c r="M23" s="1127"/>
      <c r="N23" s="1127"/>
      <c r="O23" s="1127"/>
      <c r="P23" s="3257"/>
      <c r="Q23" s="2968" t="str">
        <f>B23</f>
        <v>自然及人文环境</v>
      </c>
      <c r="R23" s="773" t="s">
        <v>21</v>
      </c>
      <c r="S23" s="774">
        <f>F23</f>
        <v>100</v>
      </c>
      <c r="T23" s="773" t="s">
        <v>21</v>
      </c>
      <c r="U23" s="774">
        <f>H23</f>
        <v>101</v>
      </c>
      <c r="V23" s="773" t="s">
        <v>21</v>
      </c>
      <c r="W23" s="774">
        <f>J23</f>
        <v>101</v>
      </c>
      <c r="X23" s="2966"/>
      <c r="Y23" s="3259"/>
      <c r="Z23" s="2967" t="str">
        <f>Q23</f>
        <v>自然及人文环境</v>
      </c>
      <c r="AA23" s="2969">
        <f>D23/F23</f>
        <v>1</v>
      </c>
      <c r="AB23" s="2969">
        <f>D23/H23</f>
        <v>0.99009900990099009</v>
      </c>
      <c r="AC23" s="2969">
        <f>D23/J23</f>
        <v>0.99009900990099009</v>
      </c>
    </row>
    <row r="24" spans="1:29" ht="15">
      <c r="A24" s="427"/>
      <c r="B24" s="455"/>
      <c r="C24" s="446" t="s">
        <v>3115</v>
      </c>
      <c r="D24" s="447"/>
      <c r="E24" s="2597" t="s">
        <v>3115</v>
      </c>
      <c r="F24" s="447"/>
      <c r="G24" s="2597" t="s">
        <v>3048</v>
      </c>
      <c r="H24" s="447"/>
      <c r="I24" s="2597" t="s">
        <v>3048</v>
      </c>
      <c r="J24" s="447"/>
      <c r="K24" s="2599"/>
      <c r="L24" s="1136"/>
      <c r="M24" s="1127"/>
      <c r="N24" s="1127"/>
      <c r="O24" s="1127"/>
      <c r="P24" s="3257"/>
      <c r="Q24" s="2968"/>
      <c r="R24" s="773"/>
      <c r="S24" s="774"/>
      <c r="T24" s="773"/>
      <c r="U24" s="774"/>
      <c r="V24" s="773"/>
      <c r="W24" s="774"/>
      <c r="X24" s="2966"/>
      <c r="Y24" s="3259"/>
      <c r="Z24" s="2967"/>
      <c r="AA24" s="2969">
        <v>1</v>
      </c>
      <c r="AB24" s="2969">
        <v>1</v>
      </c>
      <c r="AC24" s="2969">
        <v>1</v>
      </c>
    </row>
    <row r="25" spans="1:29" ht="15">
      <c r="A25" s="427"/>
      <c r="B25" s="2965"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57"/>
      <c r="Q25" s="2968" t="str">
        <f t="shared" ref="Q25:Q46" si="11">B25</f>
        <v>楼层-1</v>
      </c>
      <c r="R25" s="773" t="s">
        <v>21</v>
      </c>
      <c r="S25" s="774">
        <f t="shared" ref="S25:S46" si="12">F25</f>
        <v>100</v>
      </c>
      <c r="T25" s="773" t="s">
        <v>21</v>
      </c>
      <c r="U25" s="774">
        <f t="shared" ref="U25:U46" si="13">H25</f>
        <v>100</v>
      </c>
      <c r="V25" s="773" t="s">
        <v>21</v>
      </c>
      <c r="W25" s="774">
        <f t="shared" ref="W25:W46" si="14">J25</f>
        <v>100</v>
      </c>
      <c r="X25" s="2966"/>
      <c r="Y25" s="3259"/>
      <c r="Z25" s="2967" t="str">
        <f>Q25</f>
        <v>楼层-1</v>
      </c>
      <c r="AA25" s="2969">
        <f t="shared" ref="AA25:AA46" si="15">D25/F25</f>
        <v>1</v>
      </c>
      <c r="AB25" s="2969">
        <f t="shared" ref="AB25:AB46" si="16">D25/H25</f>
        <v>1</v>
      </c>
      <c r="AC25" s="2969">
        <f t="shared" ref="AC25:AC46" si="17">D25/J25</f>
        <v>1</v>
      </c>
    </row>
    <row r="26" spans="1:29" ht="15">
      <c r="A26" s="427"/>
      <c r="B26" s="2965"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57"/>
      <c r="Q26" s="2968" t="str">
        <f t="shared" si="11"/>
        <v>朝向</v>
      </c>
      <c r="R26" s="773" t="s">
        <v>21</v>
      </c>
      <c r="S26" s="774">
        <f t="shared" si="12"/>
        <v>100</v>
      </c>
      <c r="T26" s="773" t="s">
        <v>21</v>
      </c>
      <c r="U26" s="774">
        <f t="shared" si="13"/>
        <v>100</v>
      </c>
      <c r="V26" s="773" t="s">
        <v>21</v>
      </c>
      <c r="W26" s="774">
        <f t="shared" si="14"/>
        <v>100</v>
      </c>
      <c r="X26" s="2966"/>
      <c r="Y26" s="3259"/>
      <c r="Z26" s="2967" t="str">
        <f>Q26</f>
        <v>朝向</v>
      </c>
      <c r="AA26" s="2969">
        <f t="shared" si="15"/>
        <v>1</v>
      </c>
      <c r="AB26" s="2969">
        <f t="shared" si="16"/>
        <v>1</v>
      </c>
      <c r="AC26" s="2969">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57"/>
      <c r="Q27" s="2963">
        <f t="shared" si="11"/>
        <v>111</v>
      </c>
      <c r="R27" s="769" t="s">
        <v>21</v>
      </c>
      <c r="S27" s="770">
        <f t="shared" si="12"/>
        <v>100</v>
      </c>
      <c r="T27" s="769" t="s">
        <v>21</v>
      </c>
      <c r="U27" s="770">
        <f t="shared" si="13"/>
        <v>100</v>
      </c>
      <c r="V27" s="769" t="s">
        <v>21</v>
      </c>
      <c r="W27" s="770">
        <f t="shared" si="14"/>
        <v>100</v>
      </c>
      <c r="X27" s="771"/>
      <c r="Y27" s="3259"/>
      <c r="Z27" s="2964">
        <f>Q27</f>
        <v>111</v>
      </c>
      <c r="AA27" s="2969">
        <f t="shared" si="15"/>
        <v>1</v>
      </c>
      <c r="AB27" s="2969">
        <f t="shared" si="16"/>
        <v>1</v>
      </c>
      <c r="AC27" s="2969">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57"/>
      <c r="Q28" s="2968">
        <f t="shared" si="11"/>
        <v>111</v>
      </c>
      <c r="R28" s="773" t="s">
        <v>21</v>
      </c>
      <c r="S28" s="774">
        <f t="shared" si="12"/>
        <v>100</v>
      </c>
      <c r="T28" s="773" t="s">
        <v>21</v>
      </c>
      <c r="U28" s="774">
        <f t="shared" si="13"/>
        <v>100</v>
      </c>
      <c r="V28" s="773" t="s">
        <v>21</v>
      </c>
      <c r="W28" s="774">
        <f t="shared" si="14"/>
        <v>100</v>
      </c>
      <c r="X28" s="2966"/>
      <c r="Y28" s="3259"/>
      <c r="Z28" s="2967">
        <f t="shared" ref="Z28:Z46" si="18">Q28</f>
        <v>111</v>
      </c>
      <c r="AA28" s="2969">
        <f t="shared" si="15"/>
        <v>1</v>
      </c>
      <c r="AB28" s="2969">
        <f t="shared" si="16"/>
        <v>1</v>
      </c>
      <c r="AC28" s="2969">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57"/>
      <c r="Q29" s="2968">
        <f t="shared" si="11"/>
        <v>111</v>
      </c>
      <c r="R29" s="773" t="s">
        <v>21</v>
      </c>
      <c r="S29" s="774">
        <f t="shared" si="12"/>
        <v>100</v>
      </c>
      <c r="T29" s="773" t="s">
        <v>21</v>
      </c>
      <c r="U29" s="774">
        <f t="shared" si="13"/>
        <v>100</v>
      </c>
      <c r="V29" s="773" t="s">
        <v>21</v>
      </c>
      <c r="W29" s="774">
        <f t="shared" si="14"/>
        <v>100</v>
      </c>
      <c r="X29" s="2966"/>
      <c r="Y29" s="3259"/>
      <c r="Z29" s="2967">
        <f t="shared" si="18"/>
        <v>111</v>
      </c>
      <c r="AA29" s="2969">
        <f t="shared" si="15"/>
        <v>1</v>
      </c>
      <c r="AB29" s="2969">
        <f t="shared" si="16"/>
        <v>1</v>
      </c>
      <c r="AC29" s="2969">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57"/>
      <c r="Q30" s="2968">
        <f t="shared" si="11"/>
        <v>111</v>
      </c>
      <c r="R30" s="773" t="s">
        <v>21</v>
      </c>
      <c r="S30" s="774">
        <f t="shared" si="12"/>
        <v>100</v>
      </c>
      <c r="T30" s="773" t="s">
        <v>21</v>
      </c>
      <c r="U30" s="774">
        <f t="shared" si="13"/>
        <v>100</v>
      </c>
      <c r="V30" s="773" t="s">
        <v>21</v>
      </c>
      <c r="W30" s="774">
        <f t="shared" si="14"/>
        <v>100</v>
      </c>
      <c r="X30" s="2966"/>
      <c r="Y30" s="3259"/>
      <c r="Z30" s="2967">
        <f t="shared" si="18"/>
        <v>111</v>
      </c>
      <c r="AA30" s="2969">
        <f t="shared" si="15"/>
        <v>1</v>
      </c>
      <c r="AB30" s="2969">
        <f t="shared" si="16"/>
        <v>1</v>
      </c>
      <c r="AC30" s="2969">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57"/>
      <c r="Q31" s="2968">
        <f t="shared" si="11"/>
        <v>111</v>
      </c>
      <c r="R31" s="773" t="s">
        <v>21</v>
      </c>
      <c r="S31" s="774">
        <f t="shared" si="12"/>
        <v>100</v>
      </c>
      <c r="T31" s="773" t="s">
        <v>21</v>
      </c>
      <c r="U31" s="774">
        <f t="shared" si="13"/>
        <v>100</v>
      </c>
      <c r="V31" s="773" t="s">
        <v>21</v>
      </c>
      <c r="W31" s="774">
        <f t="shared" si="14"/>
        <v>100</v>
      </c>
      <c r="X31" s="2966"/>
      <c r="Y31" s="3259"/>
      <c r="Z31" s="2967">
        <f t="shared" si="18"/>
        <v>111</v>
      </c>
      <c r="AA31" s="2969">
        <f t="shared" si="15"/>
        <v>1</v>
      </c>
      <c r="AB31" s="2969">
        <f t="shared" si="16"/>
        <v>1</v>
      </c>
      <c r="AC31" s="2969">
        <f t="shared" si="17"/>
        <v>1</v>
      </c>
    </row>
    <row r="32" spans="1:29" ht="15">
      <c r="A32" s="439" t="s">
        <v>2558</v>
      </c>
      <c r="B32" s="71" t="s">
        <v>2559</v>
      </c>
      <c r="C32" s="2610" t="s">
        <v>3232</v>
      </c>
      <c r="D32" s="466">
        <v>100</v>
      </c>
      <c r="E32" s="2610" t="s">
        <v>3232</v>
      </c>
      <c r="F32" s="460">
        <f>SUMIF(100:100,E32,101:101)-SUMIF(100:100,C32,101:101)+100</f>
        <v>100</v>
      </c>
      <c r="G32" s="2610" t="s">
        <v>3232</v>
      </c>
      <c r="H32" s="466">
        <f>SUMIF(100:100,G32,101:101)-SUMIF(100:100,C32,101:101)+100</f>
        <v>100</v>
      </c>
      <c r="I32" s="2610" t="s">
        <v>3232</v>
      </c>
      <c r="J32" s="434">
        <f>SUMIF(100:100,I32,101:101)-SUMIF(100:100,C32,101:101)+100</f>
        <v>100</v>
      </c>
      <c r="K32" s="425">
        <v>1</v>
      </c>
      <c r="L32" s="1136"/>
      <c r="M32" s="1127"/>
      <c r="N32" s="1127"/>
      <c r="O32" s="1127"/>
      <c r="P32" s="3260" t="s">
        <v>2560</v>
      </c>
      <c r="Q32" s="2968" t="str">
        <f t="shared" si="11"/>
        <v>建筑类型</v>
      </c>
      <c r="R32" s="773" t="s">
        <v>21</v>
      </c>
      <c r="S32" s="774">
        <f t="shared" si="12"/>
        <v>100</v>
      </c>
      <c r="T32" s="773" t="s">
        <v>21</v>
      </c>
      <c r="U32" s="774">
        <f t="shared" si="13"/>
        <v>100</v>
      </c>
      <c r="V32" s="773" t="s">
        <v>21</v>
      </c>
      <c r="W32" s="774">
        <f t="shared" si="14"/>
        <v>100</v>
      </c>
      <c r="X32" s="2966"/>
      <c r="Y32" s="3263" t="s">
        <v>2560</v>
      </c>
      <c r="Z32" s="2967" t="str">
        <f t="shared" si="18"/>
        <v>建筑类型</v>
      </c>
      <c r="AA32" s="2969">
        <f t="shared" si="15"/>
        <v>1</v>
      </c>
      <c r="AB32" s="2969">
        <f t="shared" si="16"/>
        <v>1</v>
      </c>
      <c r="AC32" s="2969">
        <f t="shared" si="17"/>
        <v>1</v>
      </c>
    </row>
    <row r="33" spans="1:29" s="470" customFormat="1" ht="15">
      <c r="A33" s="467"/>
      <c r="B33" s="2965" t="s">
        <v>2561</v>
      </c>
      <c r="C33" s="2958">
        <v>375000</v>
      </c>
      <c r="D33" s="135">
        <v>100</v>
      </c>
      <c r="E33" s="429">
        <v>138377</v>
      </c>
      <c r="F33" s="424">
        <f>LOOKUP(E33,103:103,104:104)-LOOKUP(C33,103:103,104:104)+100</f>
        <v>96</v>
      </c>
      <c r="G33" s="428">
        <v>167857</v>
      </c>
      <c r="H33" s="135">
        <f>LOOKUP(G33,103:103,104:104)-LOOKUP(C33,103:103,104:104)+100</f>
        <v>96</v>
      </c>
      <c r="I33" s="429">
        <v>346000</v>
      </c>
      <c r="J33" s="135">
        <f>LOOKUP(I33,103:103,104:104)-LOOKUP(C33,103:103,104:104)+100</f>
        <v>100</v>
      </c>
      <c r="K33" s="2594"/>
      <c r="L33" s="1134"/>
      <c r="M33" s="1137"/>
      <c r="N33" s="1137"/>
      <c r="O33" s="1137"/>
      <c r="P33" s="3261"/>
      <c r="Q33" s="775" t="str">
        <f t="shared" si="11"/>
        <v>项目建筑规模</v>
      </c>
      <c r="R33" s="776" t="s">
        <v>21</v>
      </c>
      <c r="S33" s="777">
        <f t="shared" si="12"/>
        <v>96</v>
      </c>
      <c r="T33" s="776" t="s">
        <v>21</v>
      </c>
      <c r="U33" s="777">
        <f t="shared" si="13"/>
        <v>96</v>
      </c>
      <c r="V33" s="776" t="s">
        <v>21</v>
      </c>
      <c r="W33" s="777">
        <f t="shared" si="14"/>
        <v>100</v>
      </c>
      <c r="X33" s="778"/>
      <c r="Y33" s="3263"/>
      <c r="Z33" s="779" t="str">
        <f t="shared" si="18"/>
        <v>项目建筑规模</v>
      </c>
      <c r="AA33" s="2969">
        <f t="shared" si="15"/>
        <v>1.0416666666666667</v>
      </c>
      <c r="AB33" s="2969">
        <f t="shared" si="16"/>
        <v>1.0416666666666667</v>
      </c>
      <c r="AC33" s="2969">
        <f t="shared" si="17"/>
        <v>1</v>
      </c>
    </row>
    <row r="34" spans="1:29" ht="15">
      <c r="A34" s="471"/>
      <c r="B34" s="2965" t="s">
        <v>2562</v>
      </c>
      <c r="C34" s="2612" t="s">
        <v>3156</v>
      </c>
      <c r="D34" s="434">
        <v>100</v>
      </c>
      <c r="E34" s="2612" t="s">
        <v>3156</v>
      </c>
      <c r="F34" s="460">
        <f>SUMIF(105:105,E34,106:106)-SUMIF(105:105,C34,106:106)+100</f>
        <v>100</v>
      </c>
      <c r="G34" s="2612" t="s">
        <v>3156</v>
      </c>
      <c r="H34" s="434">
        <f>SUMIF(105:105,G34,106:106)-SUMIF(105:105,C34,106:106)+100</f>
        <v>100</v>
      </c>
      <c r="I34" s="2612" t="s">
        <v>3156</v>
      </c>
      <c r="J34" s="434">
        <f>SUMIF(105:105,I34,106:106)-SUMIF(105:105,C34,106:106)+100</f>
        <v>100</v>
      </c>
      <c r="K34" s="425">
        <v>2</v>
      </c>
      <c r="L34" s="1136"/>
      <c r="M34" s="1127"/>
      <c r="N34" s="1127"/>
      <c r="O34" s="1127"/>
      <c r="P34" s="3261"/>
      <c r="Q34" s="2968" t="str">
        <f t="shared" si="11"/>
        <v>建筑结构</v>
      </c>
      <c r="R34" s="773" t="s">
        <v>21</v>
      </c>
      <c r="S34" s="774">
        <f t="shared" si="12"/>
        <v>100</v>
      </c>
      <c r="T34" s="773" t="s">
        <v>21</v>
      </c>
      <c r="U34" s="774">
        <f t="shared" si="13"/>
        <v>100</v>
      </c>
      <c r="V34" s="773" t="s">
        <v>21</v>
      </c>
      <c r="W34" s="774">
        <f t="shared" si="14"/>
        <v>100</v>
      </c>
      <c r="X34" s="2966"/>
      <c r="Y34" s="3263"/>
      <c r="Z34" s="2967" t="str">
        <f t="shared" si="18"/>
        <v>建筑结构</v>
      </c>
      <c r="AA34" s="2969">
        <f t="shared" si="15"/>
        <v>1</v>
      </c>
      <c r="AB34" s="2969">
        <f t="shared" si="16"/>
        <v>1</v>
      </c>
      <c r="AC34" s="2969">
        <f t="shared" si="17"/>
        <v>1</v>
      </c>
    </row>
    <row r="35" spans="1:29" ht="15">
      <c r="A35" s="471"/>
      <c r="B35" s="2965" t="s">
        <v>2563</v>
      </c>
      <c r="C35" s="2606" t="s">
        <v>3181</v>
      </c>
      <c r="D35" s="434">
        <v>100</v>
      </c>
      <c r="E35" s="2606" t="s">
        <v>3181</v>
      </c>
      <c r="F35" s="460">
        <f>SUMIF(107:107,E35,108:108)-SUMIF(107:107,C35,108:108)+100</f>
        <v>100</v>
      </c>
      <c r="G35" s="2606" t="s">
        <v>3181</v>
      </c>
      <c r="H35" s="434">
        <f>SUMIF(107:107,G35,108:108)-SUMIF(107:107,C35,108:108)+100</f>
        <v>100</v>
      </c>
      <c r="I35" s="2606" t="s">
        <v>3181</v>
      </c>
      <c r="J35" s="434">
        <f>SUMIF(107:107,I35,108:108)-SUMIF(107:107,C35,108:108)+100</f>
        <v>100</v>
      </c>
      <c r="K35" s="425">
        <v>2</v>
      </c>
      <c r="L35" s="1136"/>
      <c r="M35" s="1127"/>
      <c r="N35" s="1127"/>
      <c r="O35" s="1127"/>
      <c r="P35" s="3261"/>
      <c r="Q35" s="2968" t="str">
        <f t="shared" si="11"/>
        <v>建筑品质</v>
      </c>
      <c r="R35" s="773" t="s">
        <v>21</v>
      </c>
      <c r="S35" s="774">
        <f t="shared" si="12"/>
        <v>100</v>
      </c>
      <c r="T35" s="773" t="s">
        <v>21</v>
      </c>
      <c r="U35" s="774">
        <f t="shared" si="13"/>
        <v>100</v>
      </c>
      <c r="V35" s="773" t="s">
        <v>21</v>
      </c>
      <c r="W35" s="774">
        <f t="shared" si="14"/>
        <v>100</v>
      </c>
      <c r="X35" s="2966"/>
      <c r="Y35" s="3263"/>
      <c r="Z35" s="2967" t="str">
        <f t="shared" si="18"/>
        <v>建筑品质</v>
      </c>
      <c r="AA35" s="2969">
        <f t="shared" si="15"/>
        <v>1</v>
      </c>
      <c r="AB35" s="2969">
        <f t="shared" si="16"/>
        <v>1</v>
      </c>
      <c r="AC35" s="2969">
        <f t="shared" si="17"/>
        <v>1</v>
      </c>
    </row>
    <row r="36" spans="1:29" ht="15">
      <c r="A36" s="471"/>
      <c r="B36" s="2965" t="s">
        <v>2564</v>
      </c>
      <c r="C36" s="2606" t="s">
        <v>3180</v>
      </c>
      <c r="D36" s="434">
        <v>100</v>
      </c>
      <c r="E36" s="2606" t="s">
        <v>3180</v>
      </c>
      <c r="F36" s="460">
        <f>SUMIF(109:109,E36,110:110)-SUMIF(109:109,C36,110:110)+100</f>
        <v>100</v>
      </c>
      <c r="G36" s="2606" t="s">
        <v>3180</v>
      </c>
      <c r="H36" s="434">
        <f>SUMIF(109:109,G36,110:110)-SUMIF(109:109,C36,110:110)+100</f>
        <v>100</v>
      </c>
      <c r="I36" s="2606" t="s">
        <v>3180</v>
      </c>
      <c r="J36" s="434">
        <f>SUMIF(109:109,I36,110:110)-SUMIF(109:109,C36,110:110)+100</f>
        <v>100</v>
      </c>
      <c r="K36" s="425">
        <v>2</v>
      </c>
      <c r="L36" s="1136"/>
      <c r="M36" s="1127"/>
      <c r="N36" s="1127"/>
      <c r="O36" s="1127"/>
      <c r="P36" s="3261"/>
      <c r="Q36" s="2968" t="str">
        <f t="shared" si="11"/>
        <v>公共部分装修</v>
      </c>
      <c r="R36" s="773" t="s">
        <v>21</v>
      </c>
      <c r="S36" s="774">
        <f t="shared" si="12"/>
        <v>100</v>
      </c>
      <c r="T36" s="773" t="s">
        <v>21</v>
      </c>
      <c r="U36" s="774">
        <f t="shared" si="13"/>
        <v>100</v>
      </c>
      <c r="V36" s="773" t="s">
        <v>21</v>
      </c>
      <c r="W36" s="774">
        <f t="shared" si="14"/>
        <v>100</v>
      </c>
      <c r="X36" s="2966"/>
      <c r="Y36" s="3263"/>
      <c r="Z36" s="2967" t="str">
        <f t="shared" si="18"/>
        <v>公共部分装修</v>
      </c>
      <c r="AA36" s="2969">
        <f t="shared" si="15"/>
        <v>1</v>
      </c>
      <c r="AB36" s="2969">
        <f t="shared" si="16"/>
        <v>1</v>
      </c>
      <c r="AC36" s="2969">
        <f t="shared" si="17"/>
        <v>1</v>
      </c>
    </row>
    <row r="37" spans="1:29" s="116" customFormat="1" ht="15">
      <c r="A37" s="472"/>
      <c r="B37" s="2965"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61"/>
      <c r="Q37" s="2963" t="str">
        <f t="shared" si="11"/>
        <v>成新度</v>
      </c>
      <c r="R37" s="769" t="s">
        <v>21</v>
      </c>
      <c r="S37" s="770">
        <f t="shared" si="12"/>
        <v>100</v>
      </c>
      <c r="T37" s="769" t="s">
        <v>21</v>
      </c>
      <c r="U37" s="770">
        <f t="shared" si="13"/>
        <v>100</v>
      </c>
      <c r="V37" s="769" t="s">
        <v>21</v>
      </c>
      <c r="W37" s="770">
        <f t="shared" si="14"/>
        <v>100</v>
      </c>
      <c r="X37" s="771"/>
      <c r="Y37" s="3263"/>
      <c r="Z37" s="2964" t="str">
        <f t="shared" si="18"/>
        <v>成新度</v>
      </c>
      <c r="AA37" s="772">
        <f t="shared" si="15"/>
        <v>1</v>
      </c>
      <c r="AB37" s="772">
        <f t="shared" si="16"/>
        <v>1</v>
      </c>
      <c r="AC37" s="772">
        <f t="shared" si="17"/>
        <v>1</v>
      </c>
    </row>
    <row r="38" spans="1:29" ht="15">
      <c r="A38" s="471"/>
      <c r="B38" s="2965" t="s">
        <v>2566</v>
      </c>
      <c r="C38" s="2606" t="s">
        <v>3182</v>
      </c>
      <c r="D38" s="434">
        <v>100</v>
      </c>
      <c r="E38" s="2606" t="s">
        <v>3182</v>
      </c>
      <c r="F38" s="460">
        <f>SUMIF(114:114,E38,115:115)-SUMIF(114:114,C38,115:115)+100</f>
        <v>100</v>
      </c>
      <c r="G38" s="2606" t="s">
        <v>3182</v>
      </c>
      <c r="H38" s="434">
        <f>SUMIF(114:114,G38,115:115)-SUMIF(114:114,C38,115:115)+100</f>
        <v>100</v>
      </c>
      <c r="I38" s="2606" t="s">
        <v>3182</v>
      </c>
      <c r="J38" s="434">
        <f>SUMIF(114:114,I38,115:115)-SUMIF(114:114,C38,115:115)+100</f>
        <v>100</v>
      </c>
      <c r="K38" s="425"/>
      <c r="L38" s="1136"/>
      <c r="M38" s="1127"/>
      <c r="N38" s="1127"/>
      <c r="O38" s="1127"/>
      <c r="P38" s="3261" t="s">
        <v>2560</v>
      </c>
      <c r="Q38" s="2968" t="str">
        <f t="shared" si="11"/>
        <v>物业管理</v>
      </c>
      <c r="R38" s="773" t="s">
        <v>21</v>
      </c>
      <c r="S38" s="774">
        <f t="shared" si="12"/>
        <v>100</v>
      </c>
      <c r="T38" s="773" t="s">
        <v>21</v>
      </c>
      <c r="U38" s="774">
        <f t="shared" si="13"/>
        <v>100</v>
      </c>
      <c r="V38" s="773" t="s">
        <v>21</v>
      </c>
      <c r="W38" s="774">
        <f t="shared" si="14"/>
        <v>100</v>
      </c>
      <c r="X38" s="2966"/>
      <c r="Y38" s="3263" t="s">
        <v>2560</v>
      </c>
      <c r="Z38" s="2967" t="str">
        <f t="shared" si="18"/>
        <v>物业管理</v>
      </c>
      <c r="AA38" s="2969">
        <f t="shared" si="15"/>
        <v>1</v>
      </c>
      <c r="AB38" s="2969">
        <f t="shared" si="16"/>
        <v>1</v>
      </c>
      <c r="AC38" s="2969">
        <f t="shared" si="17"/>
        <v>1</v>
      </c>
    </row>
    <row r="39" spans="1:29" ht="15">
      <c r="A39" s="471"/>
      <c r="B39" s="2965" t="s">
        <v>2567</v>
      </c>
      <c r="C39" s="2606" t="s">
        <v>3116</v>
      </c>
      <c r="D39" s="434">
        <v>100</v>
      </c>
      <c r="E39" s="2606" t="s">
        <v>3116</v>
      </c>
      <c r="F39" s="460">
        <f>SUMIF(116:116,E39,117:117)-SUMIF(116:116,C39,117:117)+100</f>
        <v>100</v>
      </c>
      <c r="G39" s="2606" t="s">
        <v>3116</v>
      </c>
      <c r="H39" s="434">
        <f>SUMIF(116:116,G39,117:117)-SUMIF(116:116,C39,117:117)+100</f>
        <v>100</v>
      </c>
      <c r="I39" s="2606" t="s">
        <v>3116</v>
      </c>
      <c r="J39" s="434">
        <f>SUMIF(116:116,I39,117:117)-SUMIF(116:116,C39,117:117)+100</f>
        <v>100</v>
      </c>
      <c r="K39" s="425"/>
      <c r="L39" s="1136"/>
      <c r="M39" s="1127"/>
      <c r="N39" s="1127"/>
      <c r="O39" s="1127"/>
      <c r="P39" s="3261"/>
      <c r="Q39" s="2968" t="str">
        <f t="shared" si="11"/>
        <v>市政基础设施</v>
      </c>
      <c r="R39" s="773" t="s">
        <v>21</v>
      </c>
      <c r="S39" s="774">
        <f t="shared" si="12"/>
        <v>100</v>
      </c>
      <c r="T39" s="773" t="s">
        <v>21</v>
      </c>
      <c r="U39" s="774">
        <f t="shared" si="13"/>
        <v>100</v>
      </c>
      <c r="V39" s="773" t="s">
        <v>21</v>
      </c>
      <c r="W39" s="774">
        <f t="shared" si="14"/>
        <v>100</v>
      </c>
      <c r="X39" s="2966"/>
      <c r="Y39" s="3263"/>
      <c r="Z39" s="2967" t="str">
        <f t="shared" si="18"/>
        <v>市政基础设施</v>
      </c>
      <c r="AA39" s="2969">
        <f t="shared" si="15"/>
        <v>1</v>
      </c>
      <c r="AB39" s="2969">
        <f t="shared" si="16"/>
        <v>1</v>
      </c>
      <c r="AC39" s="2969">
        <f t="shared" si="17"/>
        <v>1</v>
      </c>
    </row>
    <row r="40" spans="1:29" ht="15">
      <c r="A40" s="471"/>
      <c r="B40" s="2965"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61"/>
      <c r="Q40" s="2968" t="str">
        <f t="shared" si="11"/>
        <v>房型</v>
      </c>
      <c r="R40" s="773" t="s">
        <v>21</v>
      </c>
      <c r="S40" s="774">
        <f t="shared" si="12"/>
        <v>100</v>
      </c>
      <c r="T40" s="773" t="s">
        <v>21</v>
      </c>
      <c r="U40" s="774">
        <f t="shared" si="13"/>
        <v>100</v>
      </c>
      <c r="V40" s="773" t="s">
        <v>21</v>
      </c>
      <c r="W40" s="774">
        <f t="shared" si="14"/>
        <v>100</v>
      </c>
      <c r="X40" s="2966"/>
      <c r="Y40" s="3263"/>
      <c r="Z40" s="2967" t="str">
        <f t="shared" si="18"/>
        <v>房型</v>
      </c>
      <c r="AA40" s="2969">
        <f t="shared" si="15"/>
        <v>1</v>
      </c>
      <c r="AB40" s="2969">
        <f t="shared" si="16"/>
        <v>1</v>
      </c>
      <c r="AC40" s="2969">
        <f t="shared" si="17"/>
        <v>1</v>
      </c>
    </row>
    <row r="41" spans="1:29" s="470" customFormat="1" ht="28.5">
      <c r="A41" s="467"/>
      <c r="B41" s="296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61"/>
      <c r="Q41" s="775" t="str">
        <f t="shared" si="11"/>
        <v>单套/主力户型建筑面积</v>
      </c>
      <c r="R41" s="776" t="s">
        <v>21</v>
      </c>
      <c r="S41" s="777">
        <f t="shared" si="12"/>
        <v>100</v>
      </c>
      <c r="T41" s="776" t="s">
        <v>21</v>
      </c>
      <c r="U41" s="777">
        <f t="shared" si="13"/>
        <v>100</v>
      </c>
      <c r="V41" s="776" t="s">
        <v>21</v>
      </c>
      <c r="W41" s="777">
        <f t="shared" si="14"/>
        <v>100</v>
      </c>
      <c r="X41" s="778"/>
      <c r="Y41" s="3263"/>
      <c r="Z41" s="779" t="str">
        <f t="shared" si="18"/>
        <v>单套/主力户型建筑面积</v>
      </c>
      <c r="AA41" s="2969">
        <f t="shared" si="15"/>
        <v>1</v>
      </c>
      <c r="AB41" s="2969">
        <f t="shared" si="16"/>
        <v>1</v>
      </c>
      <c r="AC41" s="2969">
        <f t="shared" si="17"/>
        <v>1</v>
      </c>
    </row>
    <row r="42" spans="1:29" ht="15">
      <c r="A42" s="471"/>
      <c r="B42" s="2965" t="s">
        <v>2570</v>
      </c>
      <c r="C42" s="2606" t="s">
        <v>3180</v>
      </c>
      <c r="D42" s="434">
        <v>100</v>
      </c>
      <c r="E42" s="2606" t="s">
        <v>3180</v>
      </c>
      <c r="F42" s="460">
        <f>SUMIF(122:122,E42,123:123)-SUMIF(122:122,C42,123:123)+100</f>
        <v>100</v>
      </c>
      <c r="G42" s="2606" t="s">
        <v>3180</v>
      </c>
      <c r="H42" s="434">
        <f>SUMIF(122:122,G42,123:123)-SUMIF(122:122,C42,123:123)+100</f>
        <v>100</v>
      </c>
      <c r="I42" s="2606" t="s">
        <v>3180</v>
      </c>
      <c r="J42" s="434">
        <f>SUMIF(122:122,I42,123:123)-SUMIF(122:122,C42,123:123)+100</f>
        <v>100</v>
      </c>
      <c r="K42" s="425">
        <v>1</v>
      </c>
      <c r="L42" s="1136"/>
      <c r="M42" s="1127"/>
      <c r="N42" s="1127"/>
      <c r="O42" s="1127"/>
      <c r="P42" s="3261"/>
      <c r="Q42" s="2968" t="str">
        <f t="shared" si="11"/>
        <v>内部装修</v>
      </c>
      <c r="R42" s="773" t="s">
        <v>21</v>
      </c>
      <c r="S42" s="774">
        <f t="shared" si="12"/>
        <v>100</v>
      </c>
      <c r="T42" s="773" t="s">
        <v>21</v>
      </c>
      <c r="U42" s="774">
        <f t="shared" si="13"/>
        <v>100</v>
      </c>
      <c r="V42" s="773" t="s">
        <v>21</v>
      </c>
      <c r="W42" s="774">
        <f t="shared" si="14"/>
        <v>100</v>
      </c>
      <c r="X42" s="2966"/>
      <c r="Y42" s="3263"/>
      <c r="Z42" s="2967" t="str">
        <f t="shared" si="18"/>
        <v>内部装修</v>
      </c>
      <c r="AA42" s="2969">
        <f t="shared" si="15"/>
        <v>1</v>
      </c>
      <c r="AB42" s="2969">
        <f t="shared" si="16"/>
        <v>1</v>
      </c>
      <c r="AC42" s="2969">
        <f t="shared" si="17"/>
        <v>1</v>
      </c>
    </row>
    <row r="43" spans="1:29" ht="15">
      <c r="A43" s="471"/>
      <c r="B43" s="2965"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61"/>
      <c r="Q43" s="2968" t="str">
        <f t="shared" si="11"/>
        <v>内部装修维护情况</v>
      </c>
      <c r="R43" s="773" t="s">
        <v>21</v>
      </c>
      <c r="S43" s="774">
        <f t="shared" si="12"/>
        <v>100</v>
      </c>
      <c r="T43" s="773" t="s">
        <v>21</v>
      </c>
      <c r="U43" s="774">
        <f t="shared" si="13"/>
        <v>100</v>
      </c>
      <c r="V43" s="773" t="s">
        <v>21</v>
      </c>
      <c r="W43" s="774">
        <f t="shared" si="14"/>
        <v>100</v>
      </c>
      <c r="X43" s="2966"/>
      <c r="Y43" s="3263"/>
      <c r="Z43" s="2967" t="str">
        <f t="shared" si="18"/>
        <v>内部装修维护情况</v>
      </c>
      <c r="AA43" s="2969">
        <f t="shared" si="15"/>
        <v>1</v>
      </c>
      <c r="AB43" s="2969">
        <f t="shared" si="16"/>
        <v>1</v>
      </c>
      <c r="AC43" s="2969">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61"/>
      <c r="Q44" s="2963">
        <f t="shared" si="11"/>
        <v>111</v>
      </c>
      <c r="R44" s="769" t="s">
        <v>21</v>
      </c>
      <c r="S44" s="770">
        <f t="shared" si="12"/>
        <v>100</v>
      </c>
      <c r="T44" s="769" t="s">
        <v>21</v>
      </c>
      <c r="U44" s="770">
        <f t="shared" si="13"/>
        <v>100</v>
      </c>
      <c r="V44" s="769" t="s">
        <v>21</v>
      </c>
      <c r="W44" s="770">
        <f t="shared" si="14"/>
        <v>100</v>
      </c>
      <c r="X44" s="771"/>
      <c r="Y44" s="3263"/>
      <c r="Z44" s="296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61"/>
      <c r="Q45" s="2968">
        <f t="shared" si="11"/>
        <v>111</v>
      </c>
      <c r="R45" s="773" t="s">
        <v>21</v>
      </c>
      <c r="S45" s="774">
        <f t="shared" si="12"/>
        <v>100</v>
      </c>
      <c r="T45" s="773" t="s">
        <v>21</v>
      </c>
      <c r="U45" s="774">
        <f t="shared" si="13"/>
        <v>100</v>
      </c>
      <c r="V45" s="773" t="s">
        <v>21</v>
      </c>
      <c r="W45" s="774">
        <f t="shared" si="14"/>
        <v>100</v>
      </c>
      <c r="X45" s="2966"/>
      <c r="Y45" s="3263"/>
      <c r="Z45" s="2967">
        <f t="shared" si="18"/>
        <v>111</v>
      </c>
      <c r="AA45" s="2969">
        <f t="shared" si="15"/>
        <v>1</v>
      </c>
      <c r="AB45" s="2969">
        <f t="shared" si="16"/>
        <v>1</v>
      </c>
      <c r="AC45" s="296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62"/>
      <c r="Q46" s="2968">
        <f t="shared" si="11"/>
        <v>111</v>
      </c>
      <c r="R46" s="773" t="s">
        <v>20</v>
      </c>
      <c r="S46" s="774">
        <f t="shared" si="12"/>
        <v>100</v>
      </c>
      <c r="T46" s="773" t="s">
        <v>20</v>
      </c>
      <c r="U46" s="774">
        <f t="shared" si="13"/>
        <v>100</v>
      </c>
      <c r="V46" s="773" t="s">
        <v>20</v>
      </c>
      <c r="W46" s="774">
        <f t="shared" si="14"/>
        <v>100</v>
      </c>
      <c r="X46" s="2966"/>
      <c r="Y46" s="3264"/>
      <c r="Z46" s="2967">
        <f t="shared" si="18"/>
        <v>111</v>
      </c>
      <c r="AA46" s="2969">
        <f t="shared" si="15"/>
        <v>1</v>
      </c>
      <c r="AB46" s="2969">
        <f t="shared" si="16"/>
        <v>1</v>
      </c>
      <c r="AC46" s="2969">
        <f t="shared" si="17"/>
        <v>1</v>
      </c>
    </row>
    <row r="47" spans="1:29" ht="15">
      <c r="A47" s="478" t="s">
        <v>2572</v>
      </c>
      <c r="B47" s="479"/>
      <c r="C47" s="1402" t="s">
        <v>19</v>
      </c>
      <c r="D47" s="1403"/>
      <c r="E47" s="1404">
        <v>49995</v>
      </c>
      <c r="F47" s="1405"/>
      <c r="G47" s="1406">
        <v>47048</v>
      </c>
      <c r="H47" s="1407"/>
      <c r="I47" s="1404">
        <v>48210</v>
      </c>
      <c r="J47" s="1407"/>
      <c r="K47" s="2613"/>
      <c r="L47" s="1139"/>
      <c r="M47" s="1140"/>
      <c r="N47" s="1127"/>
      <c r="O47" s="1140"/>
      <c r="P47" s="3265" t="str">
        <f>A47</f>
        <v>成交单价（元/平方米）</v>
      </c>
      <c r="Q47" s="3265"/>
      <c r="R47" s="3266">
        <f>E47</f>
        <v>49995</v>
      </c>
      <c r="S47" s="3266"/>
      <c r="T47" s="3266">
        <f>G47</f>
        <v>47048</v>
      </c>
      <c r="U47" s="3266"/>
      <c r="V47" s="3266">
        <f>I47</f>
        <v>48210</v>
      </c>
      <c r="W47" s="3266"/>
      <c r="X47" s="758"/>
      <c r="Y47" s="780"/>
      <c r="Z47" s="758"/>
      <c r="AA47" s="758"/>
      <c r="AB47" s="758"/>
      <c r="AC47" s="758"/>
    </row>
    <row r="48" spans="1:29" ht="15.75" thickBot="1">
      <c r="A48" s="485" t="s">
        <v>2573</v>
      </c>
      <c r="B48" s="486"/>
      <c r="C48" s="1408">
        <f>R49</f>
        <v>50502</v>
      </c>
      <c r="D48" s="1409"/>
      <c r="E48" s="1410">
        <f>R48</f>
        <v>54498</v>
      </c>
      <c r="F48" s="1410"/>
      <c r="G48" s="1408">
        <f>T48</f>
        <v>49513</v>
      </c>
      <c r="H48" s="1409"/>
      <c r="I48" s="1410">
        <f>V48</f>
        <v>47495</v>
      </c>
      <c r="J48" s="1409"/>
      <c r="K48" s="2614"/>
      <c r="L48" s="1139"/>
      <c r="M48" s="1140"/>
      <c r="N48" s="1140"/>
      <c r="O48" s="1140"/>
      <c r="P48" s="3265" t="str">
        <f>A48</f>
        <v>比较价值（元/平方米）</v>
      </c>
      <c r="Q48" s="3265"/>
      <c r="R48" s="3266">
        <f>IF(F1="售价",ROUND(PRODUCT(R47,AA7:AA46),0),ROUND(PRODUCT(R47,AA7:AA46),1))</f>
        <v>54498</v>
      </c>
      <c r="S48" s="3266"/>
      <c r="T48" s="3266">
        <f>IF(F1="售价",ROUND(PRODUCT(T47,AB7:AB46),0),ROUND(PRODUCT(T47,AB7:AB46),1))</f>
        <v>49513</v>
      </c>
      <c r="U48" s="3266"/>
      <c r="V48" s="3266">
        <f>IF(F1="售价",ROUND(PRODUCT(V47,AC7:AC46),0),ROUND(PRODUCT(V47,AC7:AC46),1))</f>
        <v>47495</v>
      </c>
      <c r="W48" s="3266"/>
      <c r="X48" s="758"/>
      <c r="Y48" s="758"/>
      <c r="Z48" s="758"/>
      <c r="AA48" s="758"/>
      <c r="AB48" s="758"/>
      <c r="AC48" s="758"/>
    </row>
    <row r="49" spans="1:29" ht="15.75" thickBot="1">
      <c r="A49" s="491" t="s">
        <v>2574</v>
      </c>
      <c r="B49" s="492"/>
      <c r="C49" s="1411">
        <f>R49</f>
        <v>50502</v>
      </c>
      <c r="D49" s="1412"/>
      <c r="E49" s="1412"/>
      <c r="F49" s="1412"/>
      <c r="G49" s="1412"/>
      <c r="H49" s="1412"/>
      <c r="I49" s="1412"/>
      <c r="J49" s="1412"/>
      <c r="K49" s="2615"/>
      <c r="L49" s="1139"/>
      <c r="M49" s="1140"/>
      <c r="N49" s="1140"/>
      <c r="O49" s="1140"/>
      <c r="P49" s="3267" t="str">
        <f>A49</f>
        <v>估价对象XX用房的比较价值（楼面单价，元/平方米）</v>
      </c>
      <c r="Q49" s="3268"/>
      <c r="R49" s="3269">
        <f>IF(F1="售价",ROUND(AVERAGE(R48:V48),0),ROUND(AVERAGE(R48:V48),1))</f>
        <v>50502</v>
      </c>
      <c r="S49" s="3269"/>
      <c r="T49" s="3269"/>
      <c r="U49" s="3269"/>
      <c r="V49" s="3269"/>
      <c r="W49" s="3269"/>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9.0069006900689974E-2</v>
      </c>
      <c r="F52" s="499" t="str">
        <f>IF(OR(E52&gt;=0.3,E52&lt;=-0.3),"超过30%","")</f>
        <v/>
      </c>
      <c r="G52" s="498">
        <f>IF(G47&lt;G48,G48/G47-1,G47/G48-1)</f>
        <v>5.2393300459105507E-2</v>
      </c>
      <c r="H52" s="499" t="str">
        <f>IF(OR(G52&gt;=0.3,G52&lt;=-0.3),"超过30%","")</f>
        <v/>
      </c>
      <c r="I52" s="498">
        <f>IF(I47&lt;I48,I48/I47-1,I47/I48-1)</f>
        <v>1.5054216233287621E-2</v>
      </c>
      <c r="J52" s="499" t="str">
        <f>IF(OR(I52&gt;=0.3,I52&lt;=-0.3),"超过30%","")</f>
        <v/>
      </c>
      <c r="K52" s="1101"/>
      <c r="L52" s="1102"/>
      <c r="M52" s="1140"/>
      <c r="N52" s="1140"/>
      <c r="O52" s="1140"/>
    </row>
    <row r="53" spans="1:29" ht="13.5" customHeight="1">
      <c r="A53" s="1140"/>
      <c r="B53" s="1140"/>
      <c r="C53" s="496" t="s">
        <v>2576</v>
      </c>
      <c r="D53" s="500"/>
      <c r="E53" s="498">
        <f>IF(E48&lt;G48,G48/E48-1,E48/G48-1)</f>
        <v>0.10068062932967092</v>
      </c>
      <c r="F53" s="499" t="str">
        <f>IF(OR(E53&gt;=0.2,E53&lt;=-0.2),"超过20%","")</f>
        <v/>
      </c>
      <c r="G53" s="498">
        <f>IF(G48&lt;I48,I48/G48-1,G48/I48-1)</f>
        <v>4.2488683019265228E-2</v>
      </c>
      <c r="H53" s="499" t="str">
        <f>IF(OR(G53&gt;=0.2,G53&lt;=-0.2),"超过20%","")</f>
        <v/>
      </c>
      <c r="I53" s="498">
        <f>IF(I48&lt;E48,E48/I48-1,I48/E48-1)</f>
        <v>0.1474470996947046</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6.2638156776058551E-2</v>
      </c>
      <c r="F54" s="499" t="str">
        <f>IF(OR(E54&gt;=0.3,E54&lt;=-0.3),"超过30%","")</f>
        <v/>
      </c>
      <c r="G54" s="498">
        <f>IF(G47&lt;I47,I47/G47-1,G47/I47-1)</f>
        <v>2.4698180581533835E-2</v>
      </c>
      <c r="H54" s="499" t="str">
        <f>IF(OR(G54&gt;=0.3,G54&lt;=-0.3),"超过30%","")</f>
        <v/>
      </c>
      <c r="I54" s="498">
        <f>IF(I47&lt;E47,E47/I47-1,I47/E47-1)</f>
        <v>3.7025513378966979E-2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1.75" thickBot="1">
      <c r="A57" s="762" t="s">
        <v>2578</v>
      </c>
      <c r="B57" s="758"/>
      <c r="C57" s="763"/>
      <c r="D57" s="763"/>
      <c r="E57" s="763"/>
      <c r="F57" s="764"/>
      <c r="G57" s="764"/>
      <c r="H57" s="763"/>
      <c r="I57" s="763"/>
      <c r="J57" s="763"/>
      <c r="K57" s="1156"/>
      <c r="L57" s="1157"/>
      <c r="M57" s="1155"/>
      <c r="N57" s="1155"/>
      <c r="O57" s="1155"/>
      <c r="P57" s="2618"/>
      <c r="Q57" s="503"/>
    </row>
    <row r="58" spans="1:29" s="507" customFormat="1" ht="15">
      <c r="A58" s="504" t="s">
        <v>2543</v>
      </c>
      <c r="B58" s="505"/>
      <c r="C58" s="1570" t="str">
        <f>YEAR(C7)&amp;"-"&amp;MONTH(C7)</f>
        <v>2019-6</v>
      </c>
      <c r="D58" s="1569">
        <f>EDATE(C58,-1)</f>
        <v>43586</v>
      </c>
      <c r="E58" s="1569">
        <f>EDATE(D58,-1)</f>
        <v>43556</v>
      </c>
      <c r="F58" s="1569">
        <f t="shared" ref="F58:O58" si="19">EDATE(E58,-1)</f>
        <v>43525</v>
      </c>
      <c r="G58" s="1569">
        <f t="shared" si="19"/>
        <v>43497</v>
      </c>
      <c r="H58" s="1569">
        <f t="shared" si="19"/>
        <v>43466</v>
      </c>
      <c r="I58" s="1569">
        <f t="shared" si="19"/>
        <v>43435</v>
      </c>
      <c r="J58" s="1569">
        <f t="shared" si="19"/>
        <v>43405</v>
      </c>
      <c r="K58" s="1569">
        <f t="shared" si="19"/>
        <v>43374</v>
      </c>
      <c r="L58" s="1569">
        <f t="shared" si="19"/>
        <v>43344</v>
      </c>
      <c r="M58" s="1569">
        <f t="shared" si="19"/>
        <v>43313</v>
      </c>
      <c r="N58" s="1569">
        <f t="shared" si="19"/>
        <v>43282</v>
      </c>
      <c r="O58" s="1569">
        <f t="shared" si="19"/>
        <v>43252</v>
      </c>
      <c r="P58" s="1564"/>
    </row>
    <row r="59" spans="1:29" s="116" customFormat="1" ht="15">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75" thickBot="1">
      <c r="A60" s="514" t="s">
        <v>2580</v>
      </c>
      <c r="B60" s="515"/>
      <c r="C60" s="516"/>
      <c r="D60" s="517"/>
      <c r="E60" s="517"/>
      <c r="F60" s="517"/>
      <c r="G60" s="517"/>
      <c r="H60" s="517"/>
      <c r="I60" s="517"/>
      <c r="J60" s="517"/>
      <c r="K60" s="517"/>
      <c r="L60" s="517"/>
      <c r="M60" s="518"/>
      <c r="N60" s="517"/>
      <c r="O60" s="518"/>
      <c r="P60" s="2620"/>
      <c r="Q60" s="503"/>
    </row>
    <row r="61" spans="1:29" s="116" customFormat="1" ht="15">
      <c r="A61" s="520" t="s">
        <v>2545</v>
      </c>
      <c r="B61" s="509"/>
      <c r="C61" s="521" t="s">
        <v>2582</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2583</v>
      </c>
      <c r="B63" s="527" t="s">
        <v>2549</v>
      </c>
      <c r="C63" s="528" t="str">
        <f>C9</f>
        <v>住宅</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ht="15">
      <c r="A68" s="533"/>
      <c r="B68" s="547"/>
      <c r="C68" s="548">
        <v>0</v>
      </c>
      <c r="D68" s="548">
        <v>1</v>
      </c>
      <c r="E68" s="548">
        <v>2</v>
      </c>
      <c r="F68" s="548">
        <v>3</v>
      </c>
      <c r="G68" s="548">
        <v>4</v>
      </c>
      <c r="H68" s="548">
        <v>5</v>
      </c>
      <c r="I68" s="548"/>
      <c r="J68" s="548"/>
      <c r="K68" s="549"/>
      <c r="L68" s="550"/>
      <c r="M68" s="551"/>
      <c r="N68" s="1148"/>
      <c r="O68" s="1148"/>
      <c r="P68" s="2622"/>
      <c r="Q68" s="503"/>
    </row>
    <row r="69" spans="1:17" ht="15.75" thickBot="1">
      <c r="A69" s="533"/>
      <c r="B69" s="534"/>
      <c r="C69" s="543">
        <v>100</v>
      </c>
      <c r="D69" s="543">
        <f t="shared" ref="D69:M69" si="22">C69-$K11</f>
        <v>99.5</v>
      </c>
      <c r="E69" s="543">
        <f t="shared" si="22"/>
        <v>99</v>
      </c>
      <c r="F69" s="543">
        <f t="shared" si="22"/>
        <v>98.5</v>
      </c>
      <c r="G69" s="543">
        <f t="shared" si="22"/>
        <v>98</v>
      </c>
      <c r="H69" s="543">
        <f t="shared" si="22"/>
        <v>97.5</v>
      </c>
      <c r="I69" s="543">
        <f t="shared" si="22"/>
        <v>97</v>
      </c>
      <c r="J69" s="543">
        <f t="shared" si="22"/>
        <v>96.5</v>
      </c>
      <c r="K69" s="543">
        <f t="shared" si="22"/>
        <v>96</v>
      </c>
      <c r="L69" s="543">
        <f t="shared" si="22"/>
        <v>95.5</v>
      </c>
      <c r="M69" s="544">
        <f t="shared" si="22"/>
        <v>95</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59"/>
      <c r="E73" s="559"/>
      <c r="F73" s="559"/>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7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49"/>
      <c r="O85" s="1149"/>
      <c r="P85" s="2622"/>
      <c r="Q85" s="503"/>
    </row>
    <row r="86" spans="1:17" s="116" customFormat="1" ht="15.75" thickTop="1">
      <c r="A86" s="578"/>
      <c r="B86" s="537" t="s">
        <v>2605</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75" thickTop="1">
      <c r="A88" s="578"/>
      <c r="B88" s="537" t="s">
        <v>2606</v>
      </c>
      <c r="C88" s="553"/>
      <c r="D88" s="553"/>
      <c r="E88" s="553"/>
      <c r="F88" s="2627"/>
      <c r="G88" s="553"/>
      <c r="H88" s="553"/>
      <c r="I88" s="553"/>
      <c r="J88" s="553"/>
      <c r="K88" s="553"/>
      <c r="L88" s="553"/>
      <c r="M88" s="580"/>
      <c r="N88" s="1147"/>
      <c r="O88" s="1147"/>
      <c r="P88" s="262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5.75" thickTop="1">
      <c r="A90" s="552"/>
      <c r="B90" s="537">
        <f>B27</f>
        <v>111</v>
      </c>
      <c r="C90" s="553"/>
      <c r="D90" s="553"/>
      <c r="E90" s="553"/>
      <c r="F90" s="553"/>
      <c r="G90" s="553"/>
      <c r="H90" s="554"/>
      <c r="I90" s="554"/>
      <c r="J90" s="554"/>
      <c r="K90" s="554"/>
      <c r="L90" s="555"/>
      <c r="M90" s="556"/>
      <c r="N90" s="1150"/>
      <c r="O90" s="1150"/>
      <c r="P90" s="2623"/>
      <c r="Q90" s="558"/>
    </row>
    <row r="91" spans="1:17" s="470" customFormat="1" ht="15.75" thickBot="1">
      <c r="A91" s="552"/>
      <c r="B91" s="542"/>
      <c r="C91" s="559"/>
      <c r="D91" s="559"/>
      <c r="E91" s="559"/>
      <c r="F91" s="559"/>
      <c r="G91" s="559"/>
      <c r="H91" s="561"/>
      <c r="I91" s="561"/>
      <c r="J91" s="561"/>
      <c r="K91" s="561"/>
      <c r="L91" s="561"/>
      <c r="M91" s="562"/>
      <c r="N91" s="1150"/>
      <c r="O91" s="1150"/>
      <c r="P91" s="2623"/>
      <c r="Q91" s="558"/>
    </row>
    <row r="92" spans="1:17" ht="15.75" thickTop="1">
      <c r="A92" s="533"/>
      <c r="B92" s="537">
        <f>B28</f>
        <v>111</v>
      </c>
      <c r="C92" s="553"/>
      <c r="D92" s="553"/>
      <c r="E92" s="553"/>
      <c r="F92" s="553"/>
      <c r="G92" s="582"/>
      <c r="H92" s="582"/>
      <c r="I92" s="582"/>
      <c r="J92" s="582"/>
      <c r="K92" s="583"/>
      <c r="L92" s="584"/>
      <c r="M92" s="585"/>
      <c r="N92" s="1148"/>
      <c r="O92" s="1148"/>
      <c r="P92" s="2622"/>
      <c r="Q92" s="503"/>
    </row>
    <row r="93" spans="1:17" ht="15.75" thickBot="1">
      <c r="A93" s="533"/>
      <c r="B93" s="542"/>
      <c r="C93" s="559"/>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59"/>
      <c r="E95" s="559"/>
      <c r="F95" s="559"/>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69"/>
      <c r="D97" s="569"/>
      <c r="E97" s="569"/>
      <c r="F97" s="569"/>
      <c r="G97" s="535"/>
      <c r="H97" s="535"/>
      <c r="I97" s="535"/>
      <c r="J97" s="535"/>
      <c r="K97" s="535"/>
      <c r="L97" s="535"/>
      <c r="M97" s="536"/>
      <c r="N97" s="1149"/>
      <c r="O97" s="1149"/>
      <c r="P97" s="2622"/>
      <c r="Q97" s="503"/>
    </row>
    <row r="98" spans="1:17" ht="15.75" thickTop="1">
      <c r="A98" s="533"/>
      <c r="B98" s="545">
        <f>B31</f>
        <v>111</v>
      </c>
      <c r="C98" s="586"/>
      <c r="D98" s="586"/>
      <c r="E98" s="586"/>
      <c r="F98" s="586"/>
      <c r="G98" s="586"/>
      <c r="H98" s="586"/>
      <c r="I98" s="586"/>
      <c r="J98" s="586"/>
      <c r="K98" s="587"/>
      <c r="L98" s="588"/>
      <c r="M98" s="589"/>
      <c r="N98" s="1148"/>
      <c r="O98" s="1148"/>
      <c r="P98" s="2622"/>
      <c r="Q98" s="503"/>
    </row>
    <row r="99" spans="1:17" ht="15.75" thickBot="1">
      <c r="A99" s="2628"/>
      <c r="B99" s="568"/>
      <c r="C99" s="590"/>
      <c r="D99" s="590"/>
      <c r="E99" s="590"/>
      <c r="F99" s="590"/>
      <c r="G99" s="590"/>
      <c r="H99" s="590"/>
      <c r="I99" s="590"/>
      <c r="J99" s="590"/>
      <c r="K99" s="590"/>
      <c r="L99" s="590"/>
      <c r="M99" s="591"/>
      <c r="N99" s="1149"/>
      <c r="O99" s="1149"/>
      <c r="P99" s="2622"/>
      <c r="Q99" s="503"/>
    </row>
    <row r="100" spans="1:17">
      <c r="A100" s="526" t="s">
        <v>2558</v>
      </c>
      <c r="B100" s="527" t="s">
        <v>2607</v>
      </c>
      <c r="C100" s="2938" t="s">
        <v>3203</v>
      </c>
      <c r="D100" s="2938" t="s">
        <v>3204</v>
      </c>
      <c r="E100" s="2938" t="s">
        <v>3205</v>
      </c>
      <c r="F100" s="2938" t="s">
        <v>3206</v>
      </c>
      <c r="G100" s="2938" t="s">
        <v>3207</v>
      </c>
      <c r="H100" s="2938" t="s">
        <v>3239</v>
      </c>
      <c r="I100" s="529"/>
      <c r="J100" s="529"/>
      <c r="K100" s="530"/>
      <c r="L100" s="531"/>
      <c r="M100" s="532"/>
      <c r="N100" s="1148"/>
      <c r="O100" s="1148"/>
      <c r="P100" s="2622"/>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48">
        <v>0</v>
      </c>
      <c r="D103" s="2948">
        <v>50000</v>
      </c>
      <c r="E103" s="2948">
        <v>100000</v>
      </c>
      <c r="F103" s="2948">
        <v>1500000</v>
      </c>
      <c r="G103" s="2948">
        <v>200000</v>
      </c>
      <c r="H103" s="594">
        <v>250000</v>
      </c>
      <c r="I103" s="594">
        <v>300000</v>
      </c>
      <c r="J103" s="595"/>
      <c r="K103" s="595"/>
      <c r="L103" s="596"/>
      <c r="M103" s="597"/>
      <c r="N103" s="1150"/>
      <c r="O103" s="1150"/>
      <c r="P103" s="2623"/>
      <c r="Q103" s="558"/>
    </row>
    <row r="104" spans="1:17" s="470" customFormat="1" ht="15.75" thickBot="1">
      <c r="A104" s="552"/>
      <c r="B104" s="542"/>
      <c r="C104" s="2949">
        <v>100</v>
      </c>
      <c r="D104" s="2950">
        <v>101</v>
      </c>
      <c r="E104" s="2950">
        <v>102</v>
      </c>
      <c r="F104" s="2950">
        <v>103</v>
      </c>
      <c r="G104" s="2950">
        <v>104</v>
      </c>
      <c r="H104" s="535">
        <v>105</v>
      </c>
      <c r="I104" s="535">
        <v>106</v>
      </c>
      <c r="J104" s="535"/>
      <c r="K104" s="535"/>
      <c r="L104" s="535"/>
      <c r="M104" s="535"/>
      <c r="N104" s="1149"/>
      <c r="O104" s="1149"/>
      <c r="P104" s="2623"/>
      <c r="Q104" s="558"/>
    </row>
    <row r="105" spans="1:17" ht="15" thickTop="1">
      <c r="A105" s="598"/>
      <c r="B105" s="537" t="s">
        <v>2609</v>
      </c>
      <c r="C105" s="553" t="s">
        <v>3162</v>
      </c>
      <c r="D105" s="553" t="s">
        <v>3163</v>
      </c>
      <c r="E105" s="582" t="s">
        <v>3164</v>
      </c>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3165</v>
      </c>
      <c r="D107" s="582" t="s">
        <v>3166</v>
      </c>
      <c r="E107" s="582"/>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3167</v>
      </c>
      <c r="D109" s="553" t="s">
        <v>3168</v>
      </c>
      <c r="E109" s="553" t="s">
        <v>3169</v>
      </c>
      <c r="F109" s="582" t="s">
        <v>3170</v>
      </c>
      <c r="G109" s="582"/>
      <c r="H109" s="582"/>
      <c r="I109" s="582"/>
      <c r="J109" s="582"/>
      <c r="K109" s="583"/>
      <c r="L109" s="584"/>
      <c r="M109" s="585"/>
      <c r="N109" s="1148"/>
      <c r="O109" s="1148"/>
      <c r="P109" s="2622"/>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3171</v>
      </c>
      <c r="D114" s="553" t="s">
        <v>3172</v>
      </c>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3173</v>
      </c>
      <c r="D116" s="553" t="s">
        <v>3174</v>
      </c>
      <c r="E116" s="553" t="s">
        <v>3175</v>
      </c>
      <c r="F116" s="553" t="s">
        <v>3176</v>
      </c>
      <c r="G116" s="553" t="s">
        <v>3177</v>
      </c>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4" t="s">
        <v>3178</v>
      </c>
      <c r="D118" s="582" t="s">
        <v>3179</v>
      </c>
      <c r="E118" s="582"/>
      <c r="F118" s="582"/>
      <c r="G118" s="582"/>
      <c r="H118" s="582"/>
      <c r="I118" s="582"/>
      <c r="J118" s="582"/>
      <c r="K118" s="583"/>
      <c r="L118" s="584"/>
      <c r="M118" s="585"/>
      <c r="N118" s="1148"/>
      <c r="O118" s="1148"/>
      <c r="P118" s="2622"/>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8.5"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3167</v>
      </c>
      <c r="D122" s="553" t="s">
        <v>3168</v>
      </c>
      <c r="E122" s="553" t="s">
        <v>3169</v>
      </c>
      <c r="F122" s="582" t="s">
        <v>3170</v>
      </c>
      <c r="G122" s="582"/>
      <c r="H122" s="582"/>
      <c r="I122" s="582"/>
      <c r="J122" s="582"/>
      <c r="K122" s="583"/>
      <c r="L122" s="584"/>
      <c r="M122" s="585"/>
      <c r="N122" s="1148"/>
      <c r="O122" s="1148"/>
      <c r="P122" s="2622"/>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2"/>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59"/>
      <c r="E129" s="559"/>
      <c r="F129" s="559"/>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5.75"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c r="B147" s="2629" t="s">
        <v>2635</v>
      </c>
    </row>
    <row r="148" spans="2:11">
      <c r="B148" s="2629"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9" zoomScale="70" zoomScaleNormal="70" workbookViewId="0">
      <selection activeCell="G45" sqref="G45"/>
    </sheetView>
  </sheetViews>
  <sheetFormatPr defaultColWidth="9" defaultRowHeight="14.25"/>
  <cols>
    <col min="1" max="1" width="10.5" style="402" customWidth="1"/>
    <col min="2" max="2" width="15.75" style="402" customWidth="1"/>
    <col min="3" max="3" width="16.625" style="402" customWidth="1"/>
    <col min="4" max="4" width="12.25" style="402" customWidth="1"/>
    <col min="5" max="5" width="16.75" style="402" customWidth="1"/>
    <col min="6" max="6" width="12.25" style="402" customWidth="1"/>
    <col min="7" max="7" width="16.875" style="402" customWidth="1"/>
    <col min="8" max="8" width="12.25" style="402" customWidth="1"/>
    <col min="9" max="9" width="16.87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2523</v>
      </c>
      <c r="B1" s="2575" t="s">
        <v>2524</v>
      </c>
      <c r="C1" s="1628" t="s">
        <v>2525</v>
      </c>
      <c r="D1" s="1615" t="s">
        <v>3052</v>
      </c>
      <c r="E1" s="2576"/>
      <c r="F1" s="2577" t="s">
        <v>2526</v>
      </c>
      <c r="G1" s="1625" t="s">
        <v>2527</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1394</v>
      </c>
      <c r="B2" s="1413">
        <f>IF(C2="——",ROUND(C49*D3/10000,0),ROUND(C49*D3/10000,0)-D2)</f>
        <v>176660</v>
      </c>
      <c r="C2" s="2579" t="s">
        <v>70</v>
      </c>
      <c r="D2" s="1361" t="e">
        <f ca="1">SUMIF(INDIRECT("'"&amp;F2&amp;"'"&amp;"!A:A"),"承租人权益价值",INDIRECT("'"&amp;F2&amp;"'"&amp;"!c:c"))</f>
        <v>#REF!</v>
      </c>
      <c r="E2" s="2580" t="s">
        <v>2528</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IF(C2="——",C49,ROUND(B2*10000/D3,0))</f>
        <v>64689</v>
      </c>
      <c r="C3" s="399" t="s">
        <v>2529</v>
      </c>
      <c r="D3" s="2994">
        <f>'数据-汇总表'!F19+'数据-汇总表'!G22</f>
        <v>27309.049999999996</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2530</v>
      </c>
      <c r="B4" s="401"/>
      <c r="C4" s="3227" t="s">
        <v>2531</v>
      </c>
      <c r="D4" s="3228"/>
      <c r="E4" s="3229" t="s">
        <v>2532</v>
      </c>
      <c r="F4" s="3230"/>
      <c r="G4" s="3227" t="s">
        <v>2533</v>
      </c>
      <c r="H4" s="3228"/>
      <c r="I4" s="3227" t="s">
        <v>2534</v>
      </c>
      <c r="J4" s="3228"/>
      <c r="K4" s="2589" t="s">
        <v>2535</v>
      </c>
      <c r="L4" s="1126"/>
      <c r="M4" s="1127"/>
      <c r="N4" s="1127"/>
      <c r="O4" s="1127"/>
      <c r="P4" s="3231" t="s">
        <v>2536</v>
      </c>
      <c r="Q4" s="3232"/>
      <c r="R4" s="3237" t="s">
        <v>2532</v>
      </c>
      <c r="S4" s="3238"/>
      <c r="T4" s="3237" t="s">
        <v>2533</v>
      </c>
      <c r="U4" s="3238"/>
      <c r="V4" s="3251" t="s">
        <v>2534</v>
      </c>
      <c r="W4" s="3251"/>
      <c r="X4" s="1807"/>
      <c r="Y4" s="3237" t="s">
        <v>2536</v>
      </c>
      <c r="Z4" s="3238"/>
      <c r="AA4" s="3224" t="s">
        <v>2532</v>
      </c>
      <c r="AB4" s="3224" t="s">
        <v>2533</v>
      </c>
      <c r="AC4" s="3224" t="s">
        <v>2534</v>
      </c>
    </row>
    <row r="5" spans="1:29" ht="15" customHeight="1">
      <c r="A5" s="403"/>
      <c r="B5" s="404"/>
      <c r="C5" s="3241" t="s">
        <v>3158</v>
      </c>
      <c r="D5" s="3242"/>
      <c r="E5" s="3243" t="s">
        <v>3263</v>
      </c>
      <c r="F5" s="3244"/>
      <c r="G5" s="3241" t="s">
        <v>3261</v>
      </c>
      <c r="H5" s="3242"/>
      <c r="I5" s="3241" t="s">
        <v>3265</v>
      </c>
      <c r="J5" s="3242"/>
      <c r="K5" s="2590"/>
      <c r="L5" s="1126"/>
      <c r="M5" s="1127"/>
      <c r="N5" s="1127"/>
      <c r="O5" s="1127"/>
      <c r="P5" s="3233"/>
      <c r="Q5" s="3234"/>
      <c r="R5" s="3239"/>
      <c r="S5" s="3240"/>
      <c r="T5" s="3239"/>
      <c r="U5" s="3240"/>
      <c r="V5" s="3251"/>
      <c r="W5" s="3251"/>
      <c r="X5" s="1807"/>
      <c r="Y5" s="3239"/>
      <c r="Z5" s="3240"/>
      <c r="AA5" s="3225"/>
      <c r="AB5" s="3225"/>
      <c r="AC5" s="3225"/>
    </row>
    <row r="6" spans="1:29" ht="44.25" customHeight="1" thickBot="1">
      <c r="A6" s="405"/>
      <c r="B6" s="406"/>
      <c r="C6" s="3245" t="s">
        <v>2541</v>
      </c>
      <c r="D6" s="3246"/>
      <c r="E6" s="3247" t="s">
        <v>3264</v>
      </c>
      <c r="F6" s="3248"/>
      <c r="G6" s="3247" t="s">
        <v>3264</v>
      </c>
      <c r="H6" s="3248"/>
      <c r="I6" s="3247" t="s">
        <v>3264</v>
      </c>
      <c r="J6" s="3248"/>
      <c r="K6" s="2590" t="s">
        <v>2542</v>
      </c>
      <c r="L6" s="1126"/>
      <c r="M6" s="1127"/>
      <c r="N6" s="1127"/>
      <c r="O6" s="1127"/>
      <c r="P6" s="3235"/>
      <c r="Q6" s="3236"/>
      <c r="R6" s="3239"/>
      <c r="S6" s="3240"/>
      <c r="T6" s="3249"/>
      <c r="U6" s="3250"/>
      <c r="V6" s="3251"/>
      <c r="W6" s="3251"/>
      <c r="X6" s="1807"/>
      <c r="Y6" s="3249"/>
      <c r="Z6" s="3250"/>
      <c r="AA6" s="3226"/>
      <c r="AB6" s="3226"/>
      <c r="AC6" s="3226"/>
    </row>
    <row r="7" spans="1:29" s="116" customFormat="1" ht="15.75" thickBot="1">
      <c r="A7" s="407" t="s">
        <v>2543</v>
      </c>
      <c r="B7" s="408"/>
      <c r="C7" s="409">
        <f>'数据-取费表'!B2</f>
        <v>43633</v>
      </c>
      <c r="D7" s="410">
        <v>100</v>
      </c>
      <c r="E7" s="411">
        <v>43598</v>
      </c>
      <c r="F7" s="412">
        <f>SUMIF(58:58,YEAR(E7)&amp;"-"&amp;MONTH(E7),59:59)</f>
        <v>100</v>
      </c>
      <c r="G7" s="411">
        <v>43617</v>
      </c>
      <c r="H7" s="410">
        <f>SUMIF(58:58,YEAR(G7)&amp;"-"&amp;MONTH(G7),59:59)</f>
        <v>100</v>
      </c>
      <c r="I7" s="411">
        <v>43617</v>
      </c>
      <c r="J7" s="410">
        <f>SUMIF(58:58,YEAR(I7)&amp;"-"&amp;MONTH(I7),59:59)</f>
        <v>100</v>
      </c>
      <c r="K7" s="2591"/>
      <c r="L7" s="1128"/>
      <c r="M7" s="1129"/>
      <c r="N7" s="1129"/>
      <c r="O7" s="1129"/>
      <c r="P7" s="3252" t="s">
        <v>2544</v>
      </c>
      <c r="Q7" s="3253"/>
      <c r="R7" s="769" t="s">
        <v>23</v>
      </c>
      <c r="S7" s="770">
        <f t="shared" ref="S7:S15" si="0">F7</f>
        <v>100</v>
      </c>
      <c r="T7" s="769" t="s">
        <v>23</v>
      </c>
      <c r="U7" s="770">
        <f t="shared" ref="U7:U15" si="1">H7</f>
        <v>100</v>
      </c>
      <c r="V7" s="769" t="s">
        <v>23</v>
      </c>
      <c r="W7" s="770">
        <f t="shared" ref="W7:W15" si="2">J7</f>
        <v>100</v>
      </c>
      <c r="X7" s="771"/>
      <c r="Y7" s="3252" t="s">
        <v>2544</v>
      </c>
      <c r="Z7" s="3254"/>
      <c r="AA7" s="772">
        <f>D7/F7</f>
        <v>1</v>
      </c>
      <c r="AB7" s="772">
        <f>D7/H7</f>
        <v>1</v>
      </c>
      <c r="AC7" s="772">
        <f>D7/J7</f>
        <v>1</v>
      </c>
    </row>
    <row r="8" spans="1:29" s="116" customFormat="1" ht="15.75" thickBot="1">
      <c r="A8" s="407" t="s">
        <v>2545</v>
      </c>
      <c r="B8" s="408"/>
      <c r="C8" s="413" t="s">
        <v>2546</v>
      </c>
      <c r="D8" s="410">
        <v>100</v>
      </c>
      <c r="E8" s="2592" t="s">
        <v>3159</v>
      </c>
      <c r="F8" s="412">
        <f>SUMIF(61:61,E8,62:62)-SUMIF(61:61,C8,62:62)+100</f>
        <v>100</v>
      </c>
      <c r="G8" s="2592" t="s">
        <v>3159</v>
      </c>
      <c r="H8" s="410">
        <f>SUMIF(61:61,G8,62:62)-SUMIF(61:61,C8,62:62)+100</f>
        <v>100</v>
      </c>
      <c r="I8" s="2592" t="s">
        <v>3159</v>
      </c>
      <c r="J8" s="410">
        <f>SUMIF(61:61,I8,62:62)-SUMIF(61:61,C8,62:62)+100</f>
        <v>100</v>
      </c>
      <c r="K8" s="2591"/>
      <c r="L8" s="1128"/>
      <c r="M8" s="1129"/>
      <c r="N8" s="1129"/>
      <c r="O8" s="1129"/>
      <c r="P8" s="3252" t="s">
        <v>2547</v>
      </c>
      <c r="Q8" s="3254"/>
      <c r="R8" s="769" t="s">
        <v>23</v>
      </c>
      <c r="S8" s="770">
        <f t="shared" si="0"/>
        <v>100</v>
      </c>
      <c r="T8" s="769" t="s">
        <v>23</v>
      </c>
      <c r="U8" s="770">
        <f t="shared" si="1"/>
        <v>100</v>
      </c>
      <c r="V8" s="769" t="s">
        <v>23</v>
      </c>
      <c r="W8" s="770">
        <f t="shared" si="2"/>
        <v>100</v>
      </c>
      <c r="X8" s="771"/>
      <c r="Y8" s="3252" t="s">
        <v>2547</v>
      </c>
      <c r="Z8" s="3254"/>
      <c r="AA8" s="772">
        <f t="shared" ref="AA8:AA19" si="3">D8/F8</f>
        <v>1</v>
      </c>
      <c r="AB8" s="772">
        <f t="shared" ref="AB8:AB19" si="4">D8/H8</f>
        <v>1</v>
      </c>
      <c r="AC8" s="772">
        <f t="shared" ref="AC8:AC19" si="5">D8/J8</f>
        <v>1</v>
      </c>
    </row>
    <row r="9" spans="1:29" s="116" customFormat="1">
      <c r="A9" s="414" t="s">
        <v>2548</v>
      </c>
      <c r="B9" s="71" t="s">
        <v>2549</v>
      </c>
      <c r="C9" s="2947" t="s">
        <v>3160</v>
      </c>
      <c r="D9" s="134">
        <v>100</v>
      </c>
      <c r="E9" s="416" t="s">
        <v>3051</v>
      </c>
      <c r="F9" s="417">
        <f>SUMIF(63:63,E9,64:64)-SUMIF(63:63,C9,64:64)+100</f>
        <v>100</v>
      </c>
      <c r="G9" s="416" t="s">
        <v>3051</v>
      </c>
      <c r="H9" s="134">
        <f>SUMIF(63:63,G9,64:64)-SUMIF(63:63,C9,64:64)+100</f>
        <v>100</v>
      </c>
      <c r="I9" s="416" t="s">
        <v>3051</v>
      </c>
      <c r="J9" s="134">
        <f>SUMIF(63:63,I9,64:64)-SUMIF(63:63,C9,64:64)+100</f>
        <v>100</v>
      </c>
      <c r="K9" s="2591"/>
      <c r="L9" s="1128"/>
      <c r="M9" s="1129"/>
      <c r="N9" s="1129"/>
      <c r="O9" s="1129"/>
      <c r="P9" s="3255" t="s">
        <v>2550</v>
      </c>
      <c r="Q9" s="1789" t="str">
        <f t="shared" ref="Q9:Q15" si="6">B9</f>
        <v>用途</v>
      </c>
      <c r="R9" s="769" t="s">
        <v>17</v>
      </c>
      <c r="S9" s="770">
        <f t="shared" si="0"/>
        <v>100</v>
      </c>
      <c r="T9" s="769" t="s">
        <v>17</v>
      </c>
      <c r="U9" s="770">
        <f t="shared" si="1"/>
        <v>100</v>
      </c>
      <c r="V9" s="769" t="s">
        <v>17</v>
      </c>
      <c r="W9" s="770">
        <f t="shared" si="2"/>
        <v>100</v>
      </c>
      <c r="X9" s="771"/>
      <c r="Y9" s="3039" t="s">
        <v>2551</v>
      </c>
      <c r="Z9" s="55" t="str">
        <f t="shared" ref="Z9:Z15" si="7">Q9</f>
        <v>用途</v>
      </c>
      <c r="AA9" s="772">
        <f t="shared" si="3"/>
        <v>1</v>
      </c>
      <c r="AB9" s="772">
        <f t="shared" si="4"/>
        <v>1</v>
      </c>
      <c r="AC9" s="772">
        <f t="shared" si="5"/>
        <v>1</v>
      </c>
    </row>
    <row r="10" spans="1:29" s="426" customFormat="1" ht="27">
      <c r="A10" s="420"/>
      <c r="B10" s="421" t="s">
        <v>2552</v>
      </c>
      <c r="C10" s="422" t="s">
        <v>3161</v>
      </c>
      <c r="D10" s="135">
        <v>100</v>
      </c>
      <c r="E10" s="423" t="s">
        <v>3161</v>
      </c>
      <c r="F10" s="424">
        <f>SUMIF(65:65,E10,66:66)-SUMIF(65:65,C10,66:66)+100</f>
        <v>100</v>
      </c>
      <c r="G10" s="423" t="s">
        <v>3161</v>
      </c>
      <c r="H10" s="135">
        <f>SUMIF(65:65,G10,66:66)-SUMIF(65:65,C10,66:66)+100</f>
        <v>100</v>
      </c>
      <c r="I10" s="423" t="s">
        <v>3161</v>
      </c>
      <c r="J10" s="135">
        <f>SUMIF(65:65,I10,66:66)-SUMIF(65:65,C10,66:66)+100</f>
        <v>100</v>
      </c>
      <c r="K10" s="425"/>
      <c r="L10" s="1131"/>
      <c r="M10" s="1132"/>
      <c r="N10" s="1132"/>
      <c r="O10" s="1132"/>
      <c r="P10" s="325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2553</v>
      </c>
      <c r="C11" s="2952">
        <v>2.5</v>
      </c>
      <c r="D11" s="135">
        <v>100</v>
      </c>
      <c r="E11" s="429">
        <v>1.05</v>
      </c>
      <c r="F11" s="424">
        <f>LOOKUP(E11,68:68,69:69)-LOOKUP(C11,68:68,69:69)+100</f>
        <v>100.5</v>
      </c>
      <c r="G11" s="428">
        <v>1.3</v>
      </c>
      <c r="H11" s="135">
        <f>LOOKUP(G11,68:68,69:69)-LOOKUP(C11,68:68,69:69)+100</f>
        <v>100.5</v>
      </c>
      <c r="I11" s="428">
        <v>0.68</v>
      </c>
      <c r="J11" s="135">
        <f>LOOKUP(I11,68:68,69:69)-LOOKUP(C11,68:68,69:69)+100</f>
        <v>101</v>
      </c>
      <c r="K11" s="425">
        <v>0.5</v>
      </c>
      <c r="L11" s="1134"/>
      <c r="M11" s="1127"/>
      <c r="N11" s="1127"/>
      <c r="O11" s="1127"/>
      <c r="P11" s="3255"/>
      <c r="Q11" s="1789" t="str">
        <f t="shared" si="6"/>
        <v>容积率</v>
      </c>
      <c r="R11" s="769" t="s">
        <v>21</v>
      </c>
      <c r="S11" s="770">
        <f t="shared" si="0"/>
        <v>100.5</v>
      </c>
      <c r="T11" s="769" t="s">
        <v>21</v>
      </c>
      <c r="U11" s="770">
        <f t="shared" si="1"/>
        <v>100.5</v>
      </c>
      <c r="V11" s="769" t="s">
        <v>21</v>
      </c>
      <c r="W11" s="770">
        <f t="shared" si="2"/>
        <v>101</v>
      </c>
      <c r="X11" s="771"/>
      <c r="Y11" s="3039"/>
      <c r="Z11" s="55" t="str">
        <f t="shared" si="7"/>
        <v>容积率</v>
      </c>
      <c r="AA11" s="772">
        <f t="shared" si="3"/>
        <v>0.99502487562189057</v>
      </c>
      <c r="AB11" s="772">
        <f t="shared" si="4"/>
        <v>0.99502487562189057</v>
      </c>
      <c r="AC11" s="772">
        <f t="shared" si="5"/>
        <v>0.99009900990099009</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55"/>
      <c r="Q12" s="1789">
        <f t="shared" si="6"/>
        <v>111</v>
      </c>
      <c r="R12" s="769" t="s">
        <v>21</v>
      </c>
      <c r="S12" s="770">
        <f t="shared" si="0"/>
        <v>100</v>
      </c>
      <c r="T12" s="769" t="s">
        <v>21</v>
      </c>
      <c r="U12" s="770">
        <f t="shared" si="1"/>
        <v>100</v>
      </c>
      <c r="V12" s="769" t="s">
        <v>21</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55"/>
      <c r="Q13" s="1789">
        <f t="shared" si="6"/>
        <v>111</v>
      </c>
      <c r="R13" s="769" t="s">
        <v>21</v>
      </c>
      <c r="S13" s="770">
        <f t="shared" si="0"/>
        <v>100</v>
      </c>
      <c r="T13" s="769" t="s">
        <v>21</v>
      </c>
      <c r="U13" s="770">
        <f t="shared" si="1"/>
        <v>100</v>
      </c>
      <c r="V13" s="769" t="s">
        <v>21</v>
      </c>
      <c r="W13" s="770">
        <f t="shared" si="2"/>
        <v>100</v>
      </c>
      <c r="X13" s="771"/>
      <c r="Y13" s="3039"/>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55"/>
      <c r="Q14" s="1789">
        <f t="shared" si="6"/>
        <v>111</v>
      </c>
      <c r="R14" s="769" t="s">
        <v>21</v>
      </c>
      <c r="S14" s="770">
        <f t="shared" si="0"/>
        <v>100</v>
      </c>
      <c r="T14" s="769" t="s">
        <v>21</v>
      </c>
      <c r="U14" s="770">
        <f t="shared" si="1"/>
        <v>100</v>
      </c>
      <c r="V14" s="769" t="s">
        <v>21</v>
      </c>
      <c r="W14" s="770">
        <f t="shared" si="2"/>
        <v>100</v>
      </c>
      <c r="X14" s="771"/>
      <c r="Y14" s="3039"/>
      <c r="Z14" s="55">
        <f t="shared" si="7"/>
        <v>111</v>
      </c>
      <c r="AA14" s="772">
        <f t="shared" si="3"/>
        <v>1</v>
      </c>
      <c r="AB14" s="772">
        <f t="shared" si="4"/>
        <v>1</v>
      </c>
      <c r="AC14" s="772">
        <f t="shared" si="5"/>
        <v>1</v>
      </c>
    </row>
    <row r="15" spans="1:29" ht="85.5">
      <c r="A15" s="439" t="s">
        <v>2554</v>
      </c>
      <c r="B15" s="69" t="s">
        <v>2084</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6"/>
      <c r="M15" s="1127"/>
      <c r="N15" s="1127"/>
      <c r="O15" s="1127"/>
      <c r="P15" s="3256" t="s">
        <v>2555</v>
      </c>
      <c r="Q15" s="1804" t="str">
        <f t="shared" si="6"/>
        <v>居住社区成熟度</v>
      </c>
      <c r="R15" s="773" t="s">
        <v>21</v>
      </c>
      <c r="S15" s="774">
        <f t="shared" si="0"/>
        <v>100</v>
      </c>
      <c r="T15" s="773" t="s">
        <v>21</v>
      </c>
      <c r="U15" s="774">
        <f t="shared" si="1"/>
        <v>100</v>
      </c>
      <c r="V15" s="773" t="s">
        <v>21</v>
      </c>
      <c r="W15" s="774">
        <f t="shared" si="2"/>
        <v>100</v>
      </c>
      <c r="X15" s="1807"/>
      <c r="Y15" s="3258" t="s">
        <v>2555</v>
      </c>
      <c r="Z15" s="1808" t="str">
        <f t="shared" si="7"/>
        <v>居住社区成熟度</v>
      </c>
      <c r="AA15" s="1805">
        <f t="shared" si="3"/>
        <v>1</v>
      </c>
      <c r="AB15" s="1805">
        <f t="shared" si="4"/>
        <v>1</v>
      </c>
      <c r="AC15" s="1805">
        <f t="shared" si="5"/>
        <v>1</v>
      </c>
    </row>
    <row r="16" spans="1:29" ht="15">
      <c r="A16" s="427"/>
      <c r="B16" s="445"/>
      <c r="C16" s="446" t="s">
        <v>3048</v>
      </c>
      <c r="D16" s="447"/>
      <c r="E16" s="2597" t="s">
        <v>3048</v>
      </c>
      <c r="F16" s="447"/>
      <c r="G16" s="2598" t="s">
        <v>3048</v>
      </c>
      <c r="H16" s="449"/>
      <c r="I16" s="2598" t="s">
        <v>3048</v>
      </c>
      <c r="J16" s="447"/>
      <c r="K16" s="2599"/>
      <c r="L16" s="1136"/>
      <c r="M16" s="1127"/>
      <c r="N16" s="1127"/>
      <c r="O16" s="1127"/>
      <c r="P16" s="3257"/>
      <c r="Q16" s="1804"/>
      <c r="R16" s="773"/>
      <c r="S16" s="774"/>
      <c r="T16" s="773"/>
      <c r="U16" s="774"/>
      <c r="V16" s="773"/>
      <c r="W16" s="774"/>
      <c r="X16" s="1807"/>
      <c r="Y16" s="3259"/>
      <c r="Z16" s="1808"/>
      <c r="AA16" s="1805">
        <v>1</v>
      </c>
      <c r="AB16" s="1805">
        <v>1</v>
      </c>
      <c r="AC16" s="1805">
        <v>1</v>
      </c>
    </row>
    <row r="17" spans="1:29" ht="71.25">
      <c r="A17" s="427"/>
      <c r="B17" s="450" t="s">
        <v>2096</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6"/>
      <c r="M17" s="1127"/>
      <c r="N17" s="1127"/>
      <c r="O17" s="1127"/>
      <c r="P17" s="3257"/>
      <c r="Q17" s="1804" t="str">
        <f>B17</f>
        <v>交通便捷度</v>
      </c>
      <c r="R17" s="773" t="s">
        <v>21</v>
      </c>
      <c r="S17" s="774">
        <f>F17</f>
        <v>100</v>
      </c>
      <c r="T17" s="773" t="s">
        <v>21</v>
      </c>
      <c r="U17" s="774">
        <f>H17</f>
        <v>100</v>
      </c>
      <c r="V17" s="773" t="s">
        <v>21</v>
      </c>
      <c r="W17" s="774">
        <f>J17</f>
        <v>100</v>
      </c>
      <c r="X17" s="1807"/>
      <c r="Y17" s="3259"/>
      <c r="Z17" s="1808" t="str">
        <f>Q17</f>
        <v>交通便捷度</v>
      </c>
      <c r="AA17" s="1805">
        <f t="shared" si="3"/>
        <v>1</v>
      </c>
      <c r="AB17" s="1805">
        <f t="shared" si="4"/>
        <v>1</v>
      </c>
      <c r="AC17" s="1805">
        <f t="shared" si="5"/>
        <v>1</v>
      </c>
    </row>
    <row r="18" spans="1:29" ht="15">
      <c r="A18" s="427"/>
      <c r="B18" s="455"/>
      <c r="C18" s="2601" t="s">
        <v>3048</v>
      </c>
      <c r="D18" s="449"/>
      <c r="E18" s="2602" t="s">
        <v>3048</v>
      </c>
      <c r="F18" s="449"/>
      <c r="G18" s="2603" t="s">
        <v>3048</v>
      </c>
      <c r="H18" s="447"/>
      <c r="I18" s="2603" t="s">
        <v>3048</v>
      </c>
      <c r="J18" s="447"/>
      <c r="K18" s="2599"/>
      <c r="L18" s="1136"/>
      <c r="M18" s="1127"/>
      <c r="N18" s="1127"/>
      <c r="O18" s="1127"/>
      <c r="P18" s="3257"/>
      <c r="Q18" s="1804"/>
      <c r="R18" s="773"/>
      <c r="S18" s="774"/>
      <c r="T18" s="773"/>
      <c r="U18" s="774"/>
      <c r="V18" s="773"/>
      <c r="W18" s="774"/>
      <c r="X18" s="1807"/>
      <c r="Y18" s="3259"/>
      <c r="Z18" s="1808"/>
      <c r="AA18" s="1805">
        <v>1</v>
      </c>
      <c r="AB18" s="1805">
        <v>1</v>
      </c>
      <c r="AC18" s="1805">
        <v>1</v>
      </c>
    </row>
    <row r="19" spans="1:29" ht="42.75">
      <c r="A19" s="427"/>
      <c r="B19" s="450" t="s">
        <v>2094</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6"/>
      <c r="M19" s="1127"/>
      <c r="N19" s="1127"/>
      <c r="O19" s="1127"/>
      <c r="P19" s="3257"/>
      <c r="Q19" s="1804" t="str">
        <f>B19</f>
        <v>公共配套设施</v>
      </c>
      <c r="R19" s="773" t="s">
        <v>21</v>
      </c>
      <c r="S19" s="774">
        <f>F19</f>
        <v>100</v>
      </c>
      <c r="T19" s="773" t="s">
        <v>21</v>
      </c>
      <c r="U19" s="774">
        <f>H19</f>
        <v>100</v>
      </c>
      <c r="V19" s="773" t="s">
        <v>21</v>
      </c>
      <c r="W19" s="774">
        <f>J19</f>
        <v>100</v>
      </c>
      <c r="X19" s="1807"/>
      <c r="Y19" s="3259"/>
      <c r="Z19" s="1808" t="str">
        <f>Q19</f>
        <v>公共配套设施</v>
      </c>
      <c r="AA19" s="1805">
        <f t="shared" si="3"/>
        <v>1</v>
      </c>
      <c r="AB19" s="1805">
        <f t="shared" si="4"/>
        <v>1</v>
      </c>
      <c r="AC19" s="1805">
        <f t="shared" si="5"/>
        <v>1</v>
      </c>
    </row>
    <row r="20" spans="1:29" ht="15">
      <c r="A20" s="427"/>
      <c r="B20" s="455"/>
      <c r="C20" s="446" t="s">
        <v>3048</v>
      </c>
      <c r="D20" s="447"/>
      <c r="E20" s="446" t="s">
        <v>3048</v>
      </c>
      <c r="F20" s="447"/>
      <c r="G20" s="2598" t="s">
        <v>3048</v>
      </c>
      <c r="H20" s="447"/>
      <c r="I20" s="2598" t="s">
        <v>3048</v>
      </c>
      <c r="J20" s="447"/>
      <c r="K20" s="2599"/>
      <c r="L20" s="1136"/>
      <c r="M20" s="1127"/>
      <c r="N20" s="1127"/>
      <c r="O20" s="1127"/>
      <c r="P20" s="3257"/>
      <c r="Q20" s="1804"/>
      <c r="R20" s="773"/>
      <c r="S20" s="774"/>
      <c r="T20" s="773"/>
      <c r="U20" s="774"/>
      <c r="V20" s="773"/>
      <c r="W20" s="774"/>
      <c r="X20" s="1807"/>
      <c r="Y20" s="3259"/>
      <c r="Z20" s="1808"/>
      <c r="AA20" s="1805">
        <v>1</v>
      </c>
      <c r="AB20" s="1805">
        <v>1</v>
      </c>
      <c r="AC20" s="1805">
        <v>1</v>
      </c>
    </row>
    <row r="21" spans="1:29" ht="28.5">
      <c r="A21" s="427"/>
      <c r="B21" s="1380" t="s">
        <v>2097</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6"/>
      <c r="M21" s="1127"/>
      <c r="N21" s="1127"/>
      <c r="O21" s="1127"/>
      <c r="P21" s="3257"/>
      <c r="Q21" s="1804" t="str">
        <f>B21</f>
        <v>基础设施水平</v>
      </c>
      <c r="R21" s="773" t="s">
        <v>17</v>
      </c>
      <c r="S21" s="774">
        <f>F21</f>
        <v>100</v>
      </c>
      <c r="T21" s="773" t="s">
        <v>17</v>
      </c>
      <c r="U21" s="774">
        <f>H21</f>
        <v>100</v>
      </c>
      <c r="V21" s="773" t="s">
        <v>17</v>
      </c>
      <c r="W21" s="774">
        <f>J21</f>
        <v>100</v>
      </c>
      <c r="X21" s="1807"/>
      <c r="Y21" s="3259"/>
      <c r="Z21" s="1808" t="str">
        <f>Q21</f>
        <v>基础设施水平</v>
      </c>
      <c r="AA21" s="1805">
        <f t="shared" ref="AA21" si="8">D21/F21</f>
        <v>1</v>
      </c>
      <c r="AB21" s="1805">
        <f t="shared" ref="AB21" si="9">D21/H21</f>
        <v>1</v>
      </c>
      <c r="AC21" s="1805">
        <f t="shared" ref="AC21" si="10">D21/J21</f>
        <v>1</v>
      </c>
    </row>
    <row r="22" spans="1:29" ht="15">
      <c r="A22" s="427"/>
      <c r="B22" s="1380"/>
      <c r="C22" s="2601" t="s">
        <v>3116</v>
      </c>
      <c r="D22" s="447"/>
      <c r="E22" s="446" t="s">
        <v>3116</v>
      </c>
      <c r="F22" s="447"/>
      <c r="G22" s="2604" t="s">
        <v>3116</v>
      </c>
      <c r="H22" s="447"/>
      <c r="I22" s="446" t="s">
        <v>3116</v>
      </c>
      <c r="J22" s="447"/>
      <c r="K22" s="2605"/>
      <c r="L22" s="1136"/>
      <c r="M22" s="1127"/>
      <c r="N22" s="1127"/>
      <c r="O22" s="1127"/>
      <c r="P22" s="3257"/>
      <c r="Q22" s="1804"/>
      <c r="R22" s="773"/>
      <c r="S22" s="774"/>
      <c r="T22" s="773"/>
      <c r="U22" s="774"/>
      <c r="V22" s="773"/>
      <c r="W22" s="774"/>
      <c r="X22" s="1807"/>
      <c r="Y22" s="3259"/>
      <c r="Z22" s="1808"/>
      <c r="AA22" s="1805">
        <v>1</v>
      </c>
      <c r="AB22" s="1805">
        <v>1</v>
      </c>
      <c r="AC22" s="1805">
        <v>1</v>
      </c>
    </row>
    <row r="23" spans="1:29" ht="42.75">
      <c r="A23" s="427"/>
      <c r="B23" s="450" t="s">
        <v>2101</v>
      </c>
      <c r="C23" s="2600" t="str">
        <f>估价对象房地状况!C9</f>
        <v>区域自然环境：；人文环境；综合评价环境状况一般</v>
      </c>
      <c r="D23" s="449">
        <v>100</v>
      </c>
      <c r="E23" s="453"/>
      <c r="F23" s="449">
        <f>SUMIF(84:84,E24,85:85)-SUMIF(84:84,C24,85:85)+100</f>
        <v>100</v>
      </c>
      <c r="G23" s="451"/>
      <c r="H23" s="449">
        <f>SUMIF(84:84,G24,85:85)-SUMIF(84:84,C24,85:85)+100</f>
        <v>101</v>
      </c>
      <c r="I23" s="451"/>
      <c r="J23" s="449">
        <f>SUMIF(84:84,I24,85:85)-SUMIF(84:84,C24,85:85)+100</f>
        <v>101</v>
      </c>
      <c r="K23" s="444">
        <v>1</v>
      </c>
      <c r="L23" s="1136"/>
      <c r="M23" s="1127"/>
      <c r="N23" s="1127"/>
      <c r="O23" s="1127"/>
      <c r="P23" s="3257"/>
      <c r="Q23" s="1804" t="str">
        <f>B23</f>
        <v>自然及人文环境</v>
      </c>
      <c r="R23" s="773" t="s">
        <v>21</v>
      </c>
      <c r="S23" s="774">
        <f>F23</f>
        <v>100</v>
      </c>
      <c r="T23" s="773" t="s">
        <v>21</v>
      </c>
      <c r="U23" s="774">
        <f>H23</f>
        <v>101</v>
      </c>
      <c r="V23" s="773" t="s">
        <v>21</v>
      </c>
      <c r="W23" s="774">
        <f>J23</f>
        <v>101</v>
      </c>
      <c r="X23" s="1807"/>
      <c r="Y23" s="3259"/>
      <c r="Z23" s="1808" t="str">
        <f>Q23</f>
        <v>自然及人文环境</v>
      </c>
      <c r="AA23" s="1805">
        <f>D23/F23</f>
        <v>1</v>
      </c>
      <c r="AB23" s="1805">
        <f>D23/H23</f>
        <v>0.99009900990099009</v>
      </c>
      <c r="AC23" s="1805">
        <f>D23/J23</f>
        <v>0.99009900990099009</v>
      </c>
    </row>
    <row r="24" spans="1:29" ht="15">
      <c r="A24" s="427"/>
      <c r="B24" s="455"/>
      <c r="C24" s="446" t="s">
        <v>3115</v>
      </c>
      <c r="D24" s="447"/>
      <c r="E24" s="2597" t="s">
        <v>3115</v>
      </c>
      <c r="F24" s="447"/>
      <c r="G24" s="2597" t="s">
        <v>3048</v>
      </c>
      <c r="H24" s="447"/>
      <c r="I24" s="2597" t="s">
        <v>3048</v>
      </c>
      <c r="J24" s="447"/>
      <c r="K24" s="2599"/>
      <c r="L24" s="1136"/>
      <c r="M24" s="1127"/>
      <c r="N24" s="1127"/>
      <c r="O24" s="1127"/>
      <c r="P24" s="3257"/>
      <c r="Q24" s="1804"/>
      <c r="R24" s="773"/>
      <c r="S24" s="774"/>
      <c r="T24" s="773"/>
      <c r="U24" s="774"/>
      <c r="V24" s="773"/>
      <c r="W24" s="774"/>
      <c r="X24" s="1807"/>
      <c r="Y24" s="3259"/>
      <c r="Z24" s="1808"/>
      <c r="AA24" s="1805">
        <v>1</v>
      </c>
      <c r="AB24" s="1805">
        <v>1</v>
      </c>
      <c r="AC24" s="1805">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6"/>
      <c r="M25" s="1127"/>
      <c r="N25" s="1127"/>
      <c r="O25" s="1127"/>
      <c r="P25" s="3257"/>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59"/>
      <c r="Z25" s="1808" t="str">
        <f>Q25</f>
        <v>楼层-1</v>
      </c>
      <c r="AA25" s="1805">
        <f t="shared" ref="AA25:AA46" si="15">D25/F25</f>
        <v>1</v>
      </c>
      <c r="AB25" s="1805">
        <f t="shared" ref="AB25:AB46" si="16">D25/H25</f>
        <v>1</v>
      </c>
      <c r="AC25" s="1805">
        <f t="shared" ref="AC25:AC46" si="17">D25/J25</f>
        <v>1</v>
      </c>
    </row>
    <row r="26" spans="1:29" ht="15">
      <c r="A26" s="427"/>
      <c r="B26" s="421" t="s">
        <v>2557</v>
      </c>
      <c r="C26" s="459"/>
      <c r="D26" s="434">
        <v>100</v>
      </c>
      <c r="E26" s="2606"/>
      <c r="F26" s="434">
        <f>SUMIF(88:88,E26,89:89)-SUMIF(88:88,C26,89:89)+100</f>
        <v>100</v>
      </c>
      <c r="G26" s="2607"/>
      <c r="H26" s="434">
        <f>SUMIF(88:88,G26,89:89)-SUMIF(88:88,C26,89:89)+100</f>
        <v>100</v>
      </c>
      <c r="I26" s="2607"/>
      <c r="J26" s="434">
        <f>SUMIF(88:88,I26,89:89)-SUMIF(88:88,C26,89:89)+100</f>
        <v>100</v>
      </c>
      <c r="K26" s="425">
        <v>0</v>
      </c>
      <c r="L26" s="1136"/>
      <c r="M26" s="1127"/>
      <c r="N26" s="1127"/>
      <c r="O26" s="1127"/>
      <c r="P26" s="3257"/>
      <c r="Q26" s="1804" t="str">
        <f t="shared" si="11"/>
        <v>朝向</v>
      </c>
      <c r="R26" s="773" t="s">
        <v>21</v>
      </c>
      <c r="S26" s="774">
        <f t="shared" si="12"/>
        <v>100</v>
      </c>
      <c r="T26" s="773" t="s">
        <v>21</v>
      </c>
      <c r="U26" s="774">
        <f t="shared" si="13"/>
        <v>100</v>
      </c>
      <c r="V26" s="773" t="s">
        <v>21</v>
      </c>
      <c r="W26" s="774">
        <f t="shared" si="14"/>
        <v>100</v>
      </c>
      <c r="X26" s="1807"/>
      <c r="Y26" s="3259"/>
      <c r="Z26" s="1808" t="str">
        <f>Q26</f>
        <v>朝向</v>
      </c>
      <c r="AA26" s="1805">
        <f t="shared" si="15"/>
        <v>1</v>
      </c>
      <c r="AB26" s="1805">
        <f t="shared" si="16"/>
        <v>1</v>
      </c>
      <c r="AC26" s="1805">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57"/>
      <c r="Q27" s="1789">
        <f t="shared" si="11"/>
        <v>111</v>
      </c>
      <c r="R27" s="769" t="s">
        <v>21</v>
      </c>
      <c r="S27" s="770">
        <f t="shared" si="12"/>
        <v>100</v>
      </c>
      <c r="T27" s="769" t="s">
        <v>21</v>
      </c>
      <c r="U27" s="770">
        <f t="shared" si="13"/>
        <v>100</v>
      </c>
      <c r="V27" s="769" t="s">
        <v>21</v>
      </c>
      <c r="W27" s="770">
        <f t="shared" si="14"/>
        <v>100</v>
      </c>
      <c r="X27" s="771"/>
      <c r="Y27" s="3259"/>
      <c r="Z27" s="55">
        <f>Q27</f>
        <v>111</v>
      </c>
      <c r="AA27" s="1805">
        <f t="shared" si="15"/>
        <v>1</v>
      </c>
      <c r="AB27" s="1805">
        <f t="shared" si="16"/>
        <v>1</v>
      </c>
      <c r="AC27" s="1805">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57"/>
      <c r="Q28" s="1804">
        <f t="shared" si="11"/>
        <v>111</v>
      </c>
      <c r="R28" s="773" t="s">
        <v>21</v>
      </c>
      <c r="S28" s="774">
        <f t="shared" si="12"/>
        <v>100</v>
      </c>
      <c r="T28" s="773" t="s">
        <v>21</v>
      </c>
      <c r="U28" s="774">
        <f t="shared" si="13"/>
        <v>100</v>
      </c>
      <c r="V28" s="773" t="s">
        <v>21</v>
      </c>
      <c r="W28" s="774">
        <f t="shared" si="14"/>
        <v>100</v>
      </c>
      <c r="X28" s="1807"/>
      <c r="Y28" s="3259"/>
      <c r="Z28" s="1808">
        <f t="shared" ref="Z28:Z46" si="18">Q28</f>
        <v>111</v>
      </c>
      <c r="AA28" s="1805">
        <f t="shared" si="15"/>
        <v>1</v>
      </c>
      <c r="AB28" s="1805">
        <f t="shared" si="16"/>
        <v>1</v>
      </c>
      <c r="AC28" s="1805">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57"/>
      <c r="Q29" s="1804">
        <f t="shared" si="11"/>
        <v>111</v>
      </c>
      <c r="R29" s="773" t="s">
        <v>21</v>
      </c>
      <c r="S29" s="774">
        <f t="shared" si="12"/>
        <v>100</v>
      </c>
      <c r="T29" s="773" t="s">
        <v>21</v>
      </c>
      <c r="U29" s="774">
        <f t="shared" si="13"/>
        <v>100</v>
      </c>
      <c r="V29" s="773" t="s">
        <v>21</v>
      </c>
      <c r="W29" s="774">
        <f t="shared" si="14"/>
        <v>100</v>
      </c>
      <c r="X29" s="1807"/>
      <c r="Y29" s="3259"/>
      <c r="Z29" s="1808">
        <f t="shared" si="18"/>
        <v>111</v>
      </c>
      <c r="AA29" s="1805">
        <f t="shared" si="15"/>
        <v>1</v>
      </c>
      <c r="AB29" s="1805">
        <f t="shared" si="16"/>
        <v>1</v>
      </c>
      <c r="AC29" s="1805">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57"/>
      <c r="Q30" s="1804">
        <f t="shared" si="11"/>
        <v>111</v>
      </c>
      <c r="R30" s="773" t="s">
        <v>21</v>
      </c>
      <c r="S30" s="774">
        <f t="shared" si="12"/>
        <v>100</v>
      </c>
      <c r="T30" s="773" t="s">
        <v>21</v>
      </c>
      <c r="U30" s="774">
        <f t="shared" si="13"/>
        <v>100</v>
      </c>
      <c r="V30" s="773" t="s">
        <v>21</v>
      </c>
      <c r="W30" s="774">
        <f t="shared" si="14"/>
        <v>100</v>
      </c>
      <c r="X30" s="1807"/>
      <c r="Y30" s="3259"/>
      <c r="Z30" s="1808">
        <f t="shared" si="18"/>
        <v>111</v>
      </c>
      <c r="AA30" s="1805">
        <f t="shared" si="15"/>
        <v>1</v>
      </c>
      <c r="AB30" s="1805">
        <f t="shared" si="16"/>
        <v>1</v>
      </c>
      <c r="AC30" s="1805">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57"/>
      <c r="Q31" s="1804">
        <f t="shared" si="11"/>
        <v>111</v>
      </c>
      <c r="R31" s="773" t="s">
        <v>21</v>
      </c>
      <c r="S31" s="774">
        <f t="shared" si="12"/>
        <v>100</v>
      </c>
      <c r="T31" s="773" t="s">
        <v>21</v>
      </c>
      <c r="U31" s="774">
        <f t="shared" si="13"/>
        <v>100</v>
      </c>
      <c r="V31" s="773" t="s">
        <v>21</v>
      </c>
      <c r="W31" s="774">
        <f t="shared" si="14"/>
        <v>100</v>
      </c>
      <c r="X31" s="1807"/>
      <c r="Y31" s="3259"/>
      <c r="Z31" s="1808">
        <f t="shared" si="18"/>
        <v>111</v>
      </c>
      <c r="AA31" s="1805">
        <f t="shared" si="15"/>
        <v>1</v>
      </c>
      <c r="AB31" s="1805">
        <f t="shared" si="16"/>
        <v>1</v>
      </c>
      <c r="AC31" s="1805">
        <f t="shared" si="17"/>
        <v>1</v>
      </c>
    </row>
    <row r="32" spans="1:29" ht="15">
      <c r="A32" s="439" t="s">
        <v>2558</v>
      </c>
      <c r="B32" s="71" t="s">
        <v>2559</v>
      </c>
      <c r="C32" s="2610" t="s">
        <v>3052</v>
      </c>
      <c r="D32" s="466">
        <v>100</v>
      </c>
      <c r="E32" s="2611" t="s">
        <v>3052</v>
      </c>
      <c r="F32" s="460">
        <f>SUMIF(100:100,E32,101:101)-SUMIF(100:100,C32,101:101)+100</f>
        <v>100</v>
      </c>
      <c r="G32" s="2611" t="s">
        <v>3052</v>
      </c>
      <c r="H32" s="466">
        <f>SUMIF(100:100,G32,101:101)-SUMIF(100:100,C32,101:101)+100</f>
        <v>100</v>
      </c>
      <c r="I32" s="2611" t="s">
        <v>3208</v>
      </c>
      <c r="J32" s="434">
        <f>SUMIF(100:100,I32,101:101)-SUMIF(100:100,C32,101:101)+100</f>
        <v>108</v>
      </c>
      <c r="K32" s="425">
        <v>2</v>
      </c>
      <c r="L32" s="1136"/>
      <c r="M32" s="1127"/>
      <c r="N32" s="1127"/>
      <c r="O32" s="1127"/>
      <c r="P32" s="3260" t="s">
        <v>2560</v>
      </c>
      <c r="Q32" s="1804" t="str">
        <f t="shared" si="11"/>
        <v>建筑类型</v>
      </c>
      <c r="R32" s="773" t="s">
        <v>21</v>
      </c>
      <c r="S32" s="774">
        <f t="shared" si="12"/>
        <v>100</v>
      </c>
      <c r="T32" s="773" t="s">
        <v>21</v>
      </c>
      <c r="U32" s="774">
        <f t="shared" si="13"/>
        <v>100</v>
      </c>
      <c r="V32" s="773" t="s">
        <v>21</v>
      </c>
      <c r="W32" s="774">
        <f t="shared" si="14"/>
        <v>108</v>
      </c>
      <c r="X32" s="1807"/>
      <c r="Y32" s="3263" t="s">
        <v>2560</v>
      </c>
      <c r="Z32" s="1808" t="str">
        <f t="shared" si="18"/>
        <v>建筑类型</v>
      </c>
      <c r="AA32" s="1805">
        <f t="shared" si="15"/>
        <v>1</v>
      </c>
      <c r="AB32" s="1805">
        <f t="shared" si="16"/>
        <v>1</v>
      </c>
      <c r="AC32" s="1805">
        <f t="shared" si="17"/>
        <v>0.92592592592592593</v>
      </c>
    </row>
    <row r="33" spans="1:29" s="470" customFormat="1" ht="15">
      <c r="A33" s="467"/>
      <c r="B33" s="421" t="s">
        <v>2561</v>
      </c>
      <c r="C33" s="2958">
        <v>375000</v>
      </c>
      <c r="D33" s="135">
        <v>100</v>
      </c>
      <c r="E33" s="429">
        <v>82754</v>
      </c>
      <c r="F33" s="424">
        <f>LOOKUP(E33,103:103,104:104)-LOOKUP(C33,103:103,104:104)+100</f>
        <v>95</v>
      </c>
      <c r="G33" s="428">
        <v>55000</v>
      </c>
      <c r="H33" s="135">
        <f>LOOKUP(G33,103:103,104:104)-LOOKUP(C33,103:103,104:104)+100</f>
        <v>95</v>
      </c>
      <c r="I33" s="429">
        <v>61800</v>
      </c>
      <c r="J33" s="135">
        <f>LOOKUP(I33,103:103,104:104)-LOOKUP(C33,103:103,104:104)+100</f>
        <v>95</v>
      </c>
      <c r="K33" s="2594"/>
      <c r="L33" s="1134"/>
      <c r="M33" s="1137"/>
      <c r="N33" s="1137"/>
      <c r="O33" s="1137"/>
      <c r="P33" s="3261"/>
      <c r="Q33" s="775" t="str">
        <f t="shared" si="11"/>
        <v>项目建筑规模</v>
      </c>
      <c r="R33" s="776" t="s">
        <v>21</v>
      </c>
      <c r="S33" s="777">
        <f t="shared" si="12"/>
        <v>95</v>
      </c>
      <c r="T33" s="776" t="s">
        <v>21</v>
      </c>
      <c r="U33" s="777">
        <f t="shared" si="13"/>
        <v>95</v>
      </c>
      <c r="V33" s="776" t="s">
        <v>21</v>
      </c>
      <c r="W33" s="777">
        <f t="shared" si="14"/>
        <v>95</v>
      </c>
      <c r="X33" s="778"/>
      <c r="Y33" s="3263"/>
      <c r="Z33" s="779" t="str">
        <f t="shared" si="18"/>
        <v>项目建筑规模</v>
      </c>
      <c r="AA33" s="1805">
        <f t="shared" si="15"/>
        <v>1.0526315789473684</v>
      </c>
      <c r="AB33" s="1805">
        <f t="shared" si="16"/>
        <v>1.0526315789473684</v>
      </c>
      <c r="AC33" s="1805">
        <f t="shared" si="17"/>
        <v>1.0526315789473684</v>
      </c>
    </row>
    <row r="34" spans="1:29" ht="15">
      <c r="A34" s="471"/>
      <c r="B34" s="421" t="s">
        <v>2562</v>
      </c>
      <c r="C34" s="2612" t="s">
        <v>3156</v>
      </c>
      <c r="D34" s="434">
        <v>100</v>
      </c>
      <c r="E34" s="2612" t="s">
        <v>3156</v>
      </c>
      <c r="F34" s="460">
        <f>SUMIF(105:105,E34,106:106)-SUMIF(105:105,C34,106:106)+100</f>
        <v>100</v>
      </c>
      <c r="G34" s="2612" t="s">
        <v>3156</v>
      </c>
      <c r="H34" s="434">
        <f>SUMIF(105:105,G34,106:106)-SUMIF(105:105,C34,106:106)+100</f>
        <v>100</v>
      </c>
      <c r="I34" s="2612" t="s">
        <v>3156</v>
      </c>
      <c r="J34" s="434">
        <f>SUMIF(105:105,I34,106:106)-SUMIF(105:105,C34,106:106)+100</f>
        <v>100</v>
      </c>
      <c r="K34" s="425">
        <v>2</v>
      </c>
      <c r="L34" s="1136"/>
      <c r="M34" s="1127"/>
      <c r="N34" s="1127"/>
      <c r="O34" s="1127"/>
      <c r="P34" s="3261"/>
      <c r="Q34" s="1804" t="str">
        <f t="shared" si="11"/>
        <v>建筑结构</v>
      </c>
      <c r="R34" s="773" t="s">
        <v>21</v>
      </c>
      <c r="S34" s="774">
        <f t="shared" si="12"/>
        <v>100</v>
      </c>
      <c r="T34" s="773" t="s">
        <v>21</v>
      </c>
      <c r="U34" s="774">
        <f t="shared" si="13"/>
        <v>100</v>
      </c>
      <c r="V34" s="773" t="s">
        <v>21</v>
      </c>
      <c r="W34" s="774">
        <f t="shared" si="14"/>
        <v>100</v>
      </c>
      <c r="X34" s="1807"/>
      <c r="Y34" s="3263"/>
      <c r="Z34" s="1808" t="str">
        <f t="shared" si="18"/>
        <v>建筑结构</v>
      </c>
      <c r="AA34" s="1805">
        <f t="shared" si="15"/>
        <v>1</v>
      </c>
      <c r="AB34" s="1805">
        <f t="shared" si="16"/>
        <v>1</v>
      </c>
      <c r="AC34" s="1805">
        <f t="shared" si="17"/>
        <v>1</v>
      </c>
    </row>
    <row r="35" spans="1:29" ht="15">
      <c r="A35" s="471"/>
      <c r="B35" s="421" t="s">
        <v>2563</v>
      </c>
      <c r="C35" s="2606" t="s">
        <v>3181</v>
      </c>
      <c r="D35" s="434">
        <v>100</v>
      </c>
      <c r="E35" s="2606" t="s">
        <v>3181</v>
      </c>
      <c r="F35" s="460">
        <f>SUMIF(107:107,E35,108:108)-SUMIF(107:107,C35,108:108)+100</f>
        <v>100</v>
      </c>
      <c r="G35" s="2606" t="s">
        <v>3181</v>
      </c>
      <c r="H35" s="434">
        <f>SUMIF(107:107,G35,108:108)-SUMIF(107:107,C35,108:108)+100</f>
        <v>100</v>
      </c>
      <c r="I35" s="2606" t="s">
        <v>3181</v>
      </c>
      <c r="J35" s="434">
        <f>SUMIF(107:107,I35,108:108)-SUMIF(107:107,C35,108:108)+100</f>
        <v>100</v>
      </c>
      <c r="K35" s="425">
        <v>2</v>
      </c>
      <c r="L35" s="1136"/>
      <c r="M35" s="1127"/>
      <c r="N35" s="1127"/>
      <c r="O35" s="1127"/>
      <c r="P35" s="3261"/>
      <c r="Q35" s="1804" t="str">
        <f t="shared" si="11"/>
        <v>建筑品质</v>
      </c>
      <c r="R35" s="773" t="s">
        <v>21</v>
      </c>
      <c r="S35" s="774">
        <f t="shared" si="12"/>
        <v>100</v>
      </c>
      <c r="T35" s="773" t="s">
        <v>21</v>
      </c>
      <c r="U35" s="774">
        <f t="shared" si="13"/>
        <v>100</v>
      </c>
      <c r="V35" s="773" t="s">
        <v>21</v>
      </c>
      <c r="W35" s="774">
        <f t="shared" si="14"/>
        <v>100</v>
      </c>
      <c r="X35" s="1807"/>
      <c r="Y35" s="3263"/>
      <c r="Z35" s="1808" t="str">
        <f t="shared" si="18"/>
        <v>建筑品质</v>
      </c>
      <c r="AA35" s="1805">
        <f t="shared" si="15"/>
        <v>1</v>
      </c>
      <c r="AB35" s="1805">
        <f t="shared" si="16"/>
        <v>1</v>
      </c>
      <c r="AC35" s="1805">
        <f t="shared" si="17"/>
        <v>1</v>
      </c>
    </row>
    <row r="36" spans="1:29" ht="15">
      <c r="A36" s="471"/>
      <c r="B36" s="421" t="s">
        <v>2564</v>
      </c>
      <c r="C36" s="2606" t="s">
        <v>3180</v>
      </c>
      <c r="D36" s="434">
        <v>100</v>
      </c>
      <c r="E36" s="2606" t="s">
        <v>3180</v>
      </c>
      <c r="F36" s="460">
        <f>SUMIF(109:109,E36,110:110)-SUMIF(109:109,C36,110:110)+100</f>
        <v>100</v>
      </c>
      <c r="G36" s="2606" t="s">
        <v>3180</v>
      </c>
      <c r="H36" s="434">
        <f>SUMIF(109:109,G36,110:110)-SUMIF(109:109,C36,110:110)+100</f>
        <v>100</v>
      </c>
      <c r="I36" s="2606" t="s">
        <v>3180</v>
      </c>
      <c r="J36" s="434">
        <f>SUMIF(109:109,I36,110:110)-SUMIF(109:109,C36,110:110)+100</f>
        <v>100</v>
      </c>
      <c r="K36" s="425">
        <v>2</v>
      </c>
      <c r="L36" s="1136"/>
      <c r="M36" s="1127"/>
      <c r="N36" s="1127"/>
      <c r="O36" s="1127"/>
      <c r="P36" s="3261"/>
      <c r="Q36" s="1804" t="str">
        <f t="shared" si="11"/>
        <v>公共部分装修</v>
      </c>
      <c r="R36" s="773" t="s">
        <v>21</v>
      </c>
      <c r="S36" s="774">
        <f t="shared" si="12"/>
        <v>100</v>
      </c>
      <c r="T36" s="773" t="s">
        <v>21</v>
      </c>
      <c r="U36" s="774">
        <f t="shared" si="13"/>
        <v>100</v>
      </c>
      <c r="V36" s="773" t="s">
        <v>21</v>
      </c>
      <c r="W36" s="774">
        <f t="shared" si="14"/>
        <v>100</v>
      </c>
      <c r="X36" s="1807"/>
      <c r="Y36" s="3263"/>
      <c r="Z36" s="1808" t="str">
        <f t="shared" si="18"/>
        <v>公共部分装修</v>
      </c>
      <c r="AA36" s="1805">
        <f t="shared" si="15"/>
        <v>1</v>
      </c>
      <c r="AB36" s="1805">
        <f t="shared" si="16"/>
        <v>1</v>
      </c>
      <c r="AC36" s="1805">
        <f t="shared" si="17"/>
        <v>1</v>
      </c>
    </row>
    <row r="37" spans="1:29" s="116" customFormat="1" ht="15">
      <c r="A37" s="472"/>
      <c r="B37" s="421" t="s">
        <v>2565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8"/>
      <c r="M37" s="1129"/>
      <c r="N37" s="1129"/>
      <c r="O37" s="1129"/>
      <c r="P37" s="3261"/>
      <c r="Q37" s="1789" t="str">
        <f t="shared" si="11"/>
        <v>成新度</v>
      </c>
      <c r="R37" s="769" t="s">
        <v>21</v>
      </c>
      <c r="S37" s="770">
        <f t="shared" si="12"/>
        <v>100</v>
      </c>
      <c r="T37" s="769" t="s">
        <v>21</v>
      </c>
      <c r="U37" s="770">
        <f t="shared" si="13"/>
        <v>100</v>
      </c>
      <c r="V37" s="769" t="s">
        <v>21</v>
      </c>
      <c r="W37" s="770">
        <f t="shared" si="14"/>
        <v>100</v>
      </c>
      <c r="X37" s="771"/>
      <c r="Y37" s="3263"/>
      <c r="Z37" s="55" t="str">
        <f t="shared" si="18"/>
        <v>成新度</v>
      </c>
      <c r="AA37" s="772">
        <f t="shared" si="15"/>
        <v>1</v>
      </c>
      <c r="AB37" s="772">
        <f t="shared" si="16"/>
        <v>1</v>
      </c>
      <c r="AC37" s="772">
        <f t="shared" si="17"/>
        <v>1</v>
      </c>
    </row>
    <row r="38" spans="1:29" ht="15">
      <c r="A38" s="471"/>
      <c r="B38" s="421" t="s">
        <v>2566</v>
      </c>
      <c r="C38" s="2606" t="s">
        <v>3182</v>
      </c>
      <c r="D38" s="434">
        <v>100</v>
      </c>
      <c r="E38" s="2606" t="s">
        <v>3182</v>
      </c>
      <c r="F38" s="460">
        <f>SUMIF(114:114,E38,115:115)-SUMIF(114:114,C38,115:115)+100</f>
        <v>100</v>
      </c>
      <c r="G38" s="2606" t="s">
        <v>3182</v>
      </c>
      <c r="H38" s="434">
        <f>SUMIF(114:114,G38,115:115)-SUMIF(114:114,C38,115:115)+100</f>
        <v>100</v>
      </c>
      <c r="I38" s="2606" t="s">
        <v>3182</v>
      </c>
      <c r="J38" s="434">
        <f>SUMIF(114:114,I38,115:115)-SUMIF(114:114,C38,115:115)+100</f>
        <v>100</v>
      </c>
      <c r="K38" s="425"/>
      <c r="L38" s="1136"/>
      <c r="M38" s="1127"/>
      <c r="N38" s="1127"/>
      <c r="O38" s="1127"/>
      <c r="P38" s="3261" t="s">
        <v>2560</v>
      </c>
      <c r="Q38" s="1804" t="str">
        <f t="shared" si="11"/>
        <v>物业管理</v>
      </c>
      <c r="R38" s="773" t="s">
        <v>21</v>
      </c>
      <c r="S38" s="774">
        <f t="shared" si="12"/>
        <v>100</v>
      </c>
      <c r="T38" s="773" t="s">
        <v>21</v>
      </c>
      <c r="U38" s="774">
        <f t="shared" si="13"/>
        <v>100</v>
      </c>
      <c r="V38" s="773" t="s">
        <v>21</v>
      </c>
      <c r="W38" s="774">
        <f t="shared" si="14"/>
        <v>100</v>
      </c>
      <c r="X38" s="1807"/>
      <c r="Y38" s="3263" t="s">
        <v>2560</v>
      </c>
      <c r="Z38" s="1808" t="str">
        <f t="shared" si="18"/>
        <v>物业管理</v>
      </c>
      <c r="AA38" s="1805">
        <f t="shared" si="15"/>
        <v>1</v>
      </c>
      <c r="AB38" s="1805">
        <f t="shared" si="16"/>
        <v>1</v>
      </c>
      <c r="AC38" s="1805">
        <f t="shared" si="17"/>
        <v>1</v>
      </c>
    </row>
    <row r="39" spans="1:29" ht="15">
      <c r="A39" s="471"/>
      <c r="B39" s="421" t="s">
        <v>2567</v>
      </c>
      <c r="C39" s="2606" t="s">
        <v>3116</v>
      </c>
      <c r="D39" s="434">
        <v>100</v>
      </c>
      <c r="E39" s="2606" t="s">
        <v>3116</v>
      </c>
      <c r="F39" s="460">
        <f>SUMIF(116:116,E39,117:117)-SUMIF(116:116,C39,117:117)+100</f>
        <v>100</v>
      </c>
      <c r="G39" s="2606" t="s">
        <v>3116</v>
      </c>
      <c r="H39" s="434">
        <f>SUMIF(116:116,G39,117:117)-SUMIF(116:116,C39,117:117)+100</f>
        <v>100</v>
      </c>
      <c r="I39" s="2606" t="s">
        <v>3116</v>
      </c>
      <c r="J39" s="434">
        <f>SUMIF(116:116,I39,117:117)-SUMIF(116:116,C39,117:117)+100</f>
        <v>100</v>
      </c>
      <c r="K39" s="425"/>
      <c r="L39" s="1136"/>
      <c r="M39" s="1127"/>
      <c r="N39" s="1127"/>
      <c r="O39" s="1127"/>
      <c r="P39" s="3261"/>
      <c r="Q39" s="1804" t="str">
        <f t="shared" si="11"/>
        <v>市政基础设施</v>
      </c>
      <c r="R39" s="773" t="s">
        <v>21</v>
      </c>
      <c r="S39" s="774">
        <f t="shared" si="12"/>
        <v>100</v>
      </c>
      <c r="T39" s="773" t="s">
        <v>21</v>
      </c>
      <c r="U39" s="774">
        <f t="shared" si="13"/>
        <v>100</v>
      </c>
      <c r="V39" s="773" t="s">
        <v>21</v>
      </c>
      <c r="W39" s="774">
        <f t="shared" si="14"/>
        <v>100</v>
      </c>
      <c r="X39" s="1807"/>
      <c r="Y39" s="3263"/>
      <c r="Z39" s="1808" t="str">
        <f t="shared" si="18"/>
        <v>市政基础设施</v>
      </c>
      <c r="AA39" s="1805">
        <f t="shared" si="15"/>
        <v>1</v>
      </c>
      <c r="AB39" s="1805">
        <f t="shared" si="16"/>
        <v>1</v>
      </c>
      <c r="AC39" s="1805">
        <f t="shared" si="17"/>
        <v>1</v>
      </c>
    </row>
    <row r="40" spans="1:29" ht="15">
      <c r="A40" s="471"/>
      <c r="B40" s="421"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v>5</v>
      </c>
      <c r="L40" s="1136"/>
      <c r="M40" s="1127"/>
      <c r="N40" s="1127"/>
      <c r="O40" s="1127"/>
      <c r="P40" s="3261"/>
      <c r="Q40" s="1804" t="str">
        <f t="shared" si="11"/>
        <v>房型</v>
      </c>
      <c r="R40" s="773" t="s">
        <v>21</v>
      </c>
      <c r="S40" s="774">
        <f t="shared" si="12"/>
        <v>100</v>
      </c>
      <c r="T40" s="773" t="s">
        <v>21</v>
      </c>
      <c r="U40" s="774">
        <f t="shared" si="13"/>
        <v>100</v>
      </c>
      <c r="V40" s="773" t="s">
        <v>21</v>
      </c>
      <c r="W40" s="774">
        <f t="shared" si="14"/>
        <v>100</v>
      </c>
      <c r="X40" s="1807"/>
      <c r="Y40" s="3263"/>
      <c r="Z40" s="1808" t="str">
        <f t="shared" si="18"/>
        <v>房型</v>
      </c>
      <c r="AA40" s="1805">
        <f t="shared" si="15"/>
        <v>1</v>
      </c>
      <c r="AB40" s="1805">
        <f t="shared" si="16"/>
        <v>1</v>
      </c>
      <c r="AC40" s="1805">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61"/>
      <c r="Q41" s="775" t="str">
        <f t="shared" si="11"/>
        <v>单套/主力户型建筑面积</v>
      </c>
      <c r="R41" s="776" t="s">
        <v>21</v>
      </c>
      <c r="S41" s="777">
        <f t="shared" si="12"/>
        <v>100</v>
      </c>
      <c r="T41" s="776" t="s">
        <v>21</v>
      </c>
      <c r="U41" s="777">
        <f t="shared" si="13"/>
        <v>100</v>
      </c>
      <c r="V41" s="776" t="s">
        <v>21</v>
      </c>
      <c r="W41" s="777">
        <f t="shared" si="14"/>
        <v>100</v>
      </c>
      <c r="X41" s="778"/>
      <c r="Y41" s="3263"/>
      <c r="Z41" s="779" t="str">
        <f t="shared" si="18"/>
        <v>单套/主力户型建筑面积</v>
      </c>
      <c r="AA41" s="1805">
        <f t="shared" si="15"/>
        <v>1</v>
      </c>
      <c r="AB41" s="1805">
        <f t="shared" si="16"/>
        <v>1</v>
      </c>
      <c r="AC41" s="1805">
        <f t="shared" si="17"/>
        <v>1</v>
      </c>
    </row>
    <row r="42" spans="1:29" ht="15">
      <c r="A42" s="471"/>
      <c r="B42" s="421" t="s">
        <v>2570</v>
      </c>
      <c r="C42" s="2606" t="s">
        <v>3180</v>
      </c>
      <c r="D42" s="434">
        <v>100</v>
      </c>
      <c r="E42" s="2606" t="s">
        <v>3262</v>
      </c>
      <c r="F42" s="460">
        <f>SUMIF(122:122,E42,123:123)-SUMIF(122:122,C42,123:123)+100</f>
        <v>97</v>
      </c>
      <c r="G42" s="2606" t="s">
        <v>3262</v>
      </c>
      <c r="H42" s="434">
        <f>SUMIF(122:122,G42,123:123)-SUMIF(122:122,C42,123:123)+100</f>
        <v>97</v>
      </c>
      <c r="I42" s="2606" t="s">
        <v>3262</v>
      </c>
      <c r="J42" s="434">
        <f>SUMIF(122:122,I42,123:123)-SUMIF(122:122,C42,123:123)+100</f>
        <v>97</v>
      </c>
      <c r="K42" s="425">
        <v>1</v>
      </c>
      <c r="L42" s="1136"/>
      <c r="M42" s="1127"/>
      <c r="N42" s="1127"/>
      <c r="O42" s="1127"/>
      <c r="P42" s="3261"/>
      <c r="Q42" s="1804" t="str">
        <f t="shared" si="11"/>
        <v>内部装修</v>
      </c>
      <c r="R42" s="773" t="s">
        <v>21</v>
      </c>
      <c r="S42" s="774">
        <f t="shared" si="12"/>
        <v>97</v>
      </c>
      <c r="T42" s="773" t="s">
        <v>21</v>
      </c>
      <c r="U42" s="774">
        <f t="shared" si="13"/>
        <v>97</v>
      </c>
      <c r="V42" s="773" t="s">
        <v>21</v>
      </c>
      <c r="W42" s="774">
        <f t="shared" si="14"/>
        <v>97</v>
      </c>
      <c r="X42" s="1807"/>
      <c r="Y42" s="3263"/>
      <c r="Z42" s="1808" t="str">
        <f t="shared" si="18"/>
        <v>内部装修</v>
      </c>
      <c r="AA42" s="1805">
        <f t="shared" si="15"/>
        <v>1.0309278350515463</v>
      </c>
      <c r="AB42" s="1805">
        <f t="shared" si="16"/>
        <v>1.0309278350515463</v>
      </c>
      <c r="AC42" s="1805">
        <f t="shared" si="17"/>
        <v>1.0309278350515463</v>
      </c>
    </row>
    <row r="43" spans="1:29" ht="15">
      <c r="A43" s="471"/>
      <c r="B43" s="421" t="s">
        <v>2571</v>
      </c>
      <c r="C43" s="2606" t="s">
        <v>3048</v>
      </c>
      <c r="D43" s="434">
        <v>100</v>
      </c>
      <c r="E43" s="2606" t="s">
        <v>3048</v>
      </c>
      <c r="F43" s="460">
        <f>SUMIF(124:124,E43,125:125)-SUMIF(124:124,C43,125:125)+100</f>
        <v>100</v>
      </c>
      <c r="G43" s="2606" t="s">
        <v>3048</v>
      </c>
      <c r="H43" s="434">
        <f>SUMIF(124:124,G43,125:125)-SUMIF(124:124,C43,125:125)+100</f>
        <v>100</v>
      </c>
      <c r="I43" s="2606" t="s">
        <v>3048</v>
      </c>
      <c r="J43" s="434">
        <f>SUMIF(124:124,I43,125:125)-SUMIF(124:124,C43,125:125)+100</f>
        <v>100</v>
      </c>
      <c r="K43" s="425">
        <v>2</v>
      </c>
      <c r="L43" s="1136"/>
      <c r="M43" s="1127"/>
      <c r="N43" s="1127"/>
      <c r="O43" s="1127"/>
      <c r="P43" s="3261"/>
      <c r="Q43" s="1804" t="str">
        <f t="shared" si="11"/>
        <v>内部装修维护情况</v>
      </c>
      <c r="R43" s="773" t="s">
        <v>21</v>
      </c>
      <c r="S43" s="774">
        <f t="shared" si="12"/>
        <v>100</v>
      </c>
      <c r="T43" s="773" t="s">
        <v>21</v>
      </c>
      <c r="U43" s="774">
        <f t="shared" si="13"/>
        <v>100</v>
      </c>
      <c r="V43" s="773" t="s">
        <v>21</v>
      </c>
      <c r="W43" s="774">
        <f t="shared" si="14"/>
        <v>100</v>
      </c>
      <c r="X43" s="1807"/>
      <c r="Y43" s="3263"/>
      <c r="Z43" s="1808" t="str">
        <f t="shared" si="18"/>
        <v>内部装修维护情况</v>
      </c>
      <c r="AA43" s="1805">
        <f t="shared" si="15"/>
        <v>1</v>
      </c>
      <c r="AB43" s="1805">
        <f t="shared" si="16"/>
        <v>1</v>
      </c>
      <c r="AC43" s="1805">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61"/>
      <c r="Q44" s="1789">
        <f t="shared" si="11"/>
        <v>111</v>
      </c>
      <c r="R44" s="769" t="s">
        <v>21</v>
      </c>
      <c r="S44" s="770">
        <f t="shared" si="12"/>
        <v>100</v>
      </c>
      <c r="T44" s="769" t="s">
        <v>21</v>
      </c>
      <c r="U44" s="770">
        <f t="shared" si="13"/>
        <v>100</v>
      </c>
      <c r="V44" s="769" t="s">
        <v>21</v>
      </c>
      <c r="W44" s="770">
        <f t="shared" si="14"/>
        <v>100</v>
      </c>
      <c r="X44" s="771"/>
      <c r="Y44" s="3263"/>
      <c r="Z44" s="55">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61"/>
      <c r="Q45" s="1804">
        <f t="shared" si="11"/>
        <v>111</v>
      </c>
      <c r="R45" s="773" t="s">
        <v>21</v>
      </c>
      <c r="S45" s="774">
        <f t="shared" si="12"/>
        <v>100</v>
      </c>
      <c r="T45" s="773" t="s">
        <v>21</v>
      </c>
      <c r="U45" s="774">
        <f t="shared" si="13"/>
        <v>100</v>
      </c>
      <c r="V45" s="773" t="s">
        <v>21</v>
      </c>
      <c r="W45" s="774">
        <f t="shared" si="14"/>
        <v>100</v>
      </c>
      <c r="X45" s="1807"/>
      <c r="Y45" s="3263"/>
      <c r="Z45" s="1808">
        <f t="shared" si="18"/>
        <v>111</v>
      </c>
      <c r="AA45" s="1805">
        <f t="shared" si="15"/>
        <v>1</v>
      </c>
      <c r="AB45" s="1805">
        <f t="shared" si="16"/>
        <v>1</v>
      </c>
      <c r="AC45" s="1805">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62"/>
      <c r="Q46" s="1804">
        <f t="shared" si="11"/>
        <v>111</v>
      </c>
      <c r="R46" s="773" t="s">
        <v>20</v>
      </c>
      <c r="S46" s="774">
        <f t="shared" si="12"/>
        <v>100</v>
      </c>
      <c r="T46" s="773" t="s">
        <v>20</v>
      </c>
      <c r="U46" s="774">
        <f t="shared" si="13"/>
        <v>100</v>
      </c>
      <c r="V46" s="773" t="s">
        <v>20</v>
      </c>
      <c r="W46" s="774">
        <f t="shared" si="14"/>
        <v>100</v>
      </c>
      <c r="X46" s="1807"/>
      <c r="Y46" s="3264"/>
      <c r="Z46" s="1808">
        <f t="shared" si="18"/>
        <v>111</v>
      </c>
      <c r="AA46" s="1805">
        <f t="shared" si="15"/>
        <v>1</v>
      </c>
      <c r="AB46" s="1805">
        <f t="shared" si="16"/>
        <v>1</v>
      </c>
      <c r="AC46" s="1805">
        <f t="shared" si="17"/>
        <v>1</v>
      </c>
    </row>
    <row r="47" spans="1:29" ht="15">
      <c r="A47" s="478" t="s">
        <v>2572</v>
      </c>
      <c r="B47" s="479"/>
      <c r="C47" s="1402" t="s">
        <v>19</v>
      </c>
      <c r="D47" s="1403"/>
      <c r="E47" s="1404">
        <v>56690</v>
      </c>
      <c r="F47" s="1405"/>
      <c r="G47" s="1406">
        <v>65459</v>
      </c>
      <c r="H47" s="1407"/>
      <c r="I47" s="1404">
        <v>63830</v>
      </c>
      <c r="J47" s="1407"/>
      <c r="K47" s="2613"/>
      <c r="L47" s="1139"/>
      <c r="M47" s="1140"/>
      <c r="N47" s="1127"/>
      <c r="O47" s="1140"/>
      <c r="P47" s="3265" t="str">
        <f>A47</f>
        <v>成交单价（元/平方米）</v>
      </c>
      <c r="Q47" s="3265"/>
      <c r="R47" s="3266">
        <f>E47</f>
        <v>56690</v>
      </c>
      <c r="S47" s="3266"/>
      <c r="T47" s="3266">
        <f>G47</f>
        <v>65459</v>
      </c>
      <c r="U47" s="3266"/>
      <c r="V47" s="3266">
        <f>I47</f>
        <v>63830</v>
      </c>
      <c r="W47" s="3266"/>
      <c r="X47" s="758"/>
      <c r="Y47" s="780"/>
      <c r="Z47" s="758"/>
      <c r="AA47" s="758"/>
      <c r="AB47" s="758"/>
      <c r="AC47" s="758"/>
    </row>
    <row r="48" spans="1:29" ht="15.75" thickBot="1">
      <c r="A48" s="485" t="s">
        <v>2573</v>
      </c>
      <c r="B48" s="486"/>
      <c r="C48" s="1408">
        <f>R49</f>
        <v>64689</v>
      </c>
      <c r="D48" s="1409"/>
      <c r="E48" s="1410">
        <f>R48</f>
        <v>61213</v>
      </c>
      <c r="F48" s="1410"/>
      <c r="G48" s="1408">
        <f>T48</f>
        <v>69982</v>
      </c>
      <c r="H48" s="1409"/>
      <c r="I48" s="1410">
        <f>V48</f>
        <v>62873</v>
      </c>
      <c r="J48" s="1409"/>
      <c r="K48" s="2614"/>
      <c r="L48" s="1139"/>
      <c r="M48" s="1140"/>
      <c r="N48" s="1140"/>
      <c r="O48" s="1140"/>
      <c r="P48" s="3265" t="str">
        <f>A48</f>
        <v>比较价值（元/平方米）</v>
      </c>
      <c r="Q48" s="3265"/>
      <c r="R48" s="3266">
        <f>IF(F1="售价",ROUND(PRODUCT(R47,AA7:AA46),0),ROUND(PRODUCT(R47,AA7:AA46),1))</f>
        <v>61213</v>
      </c>
      <c r="S48" s="3266"/>
      <c r="T48" s="3266">
        <f>IF(F1="售价",ROUND(PRODUCT(T47,AB7:AB46),0),ROUND(PRODUCT(T47,AB7:AB46),1))</f>
        <v>69982</v>
      </c>
      <c r="U48" s="3266"/>
      <c r="V48" s="3266">
        <f>IF(F1="售价",ROUND(PRODUCT(V47,AC7:AC46),0),ROUND(PRODUCT(V47,AC7:AC46),1))</f>
        <v>62873</v>
      </c>
      <c r="W48" s="3266"/>
      <c r="X48" s="758"/>
      <c r="Y48" s="758"/>
      <c r="Z48" s="758"/>
      <c r="AA48" s="758"/>
      <c r="AB48" s="758"/>
      <c r="AC48" s="758"/>
    </row>
    <row r="49" spans="1:29" ht="15.75" thickBot="1">
      <c r="A49" s="491" t="s">
        <v>2574</v>
      </c>
      <c r="B49" s="492"/>
      <c r="C49" s="1411">
        <f>R49</f>
        <v>64689</v>
      </c>
      <c r="D49" s="1412"/>
      <c r="E49" s="1412"/>
      <c r="F49" s="1412"/>
      <c r="G49" s="1412"/>
      <c r="H49" s="1412"/>
      <c r="I49" s="1412"/>
      <c r="J49" s="1412"/>
      <c r="K49" s="2615"/>
      <c r="L49" s="1139"/>
      <c r="M49" s="1140"/>
      <c r="N49" s="1140"/>
      <c r="O49" s="1140"/>
      <c r="P49" s="3267" t="str">
        <f>A49</f>
        <v>估价对象XX用房的比较价值（楼面单价，元/平方米）</v>
      </c>
      <c r="Q49" s="3268"/>
      <c r="R49" s="3269">
        <f>IF(F1="售价",ROUND(AVERAGE(R48:V48),0),ROUND(AVERAGE(R48:V48),1))</f>
        <v>64689</v>
      </c>
      <c r="S49" s="3269"/>
      <c r="T49" s="3269"/>
      <c r="U49" s="3269"/>
      <c r="V49" s="3269"/>
      <c r="W49" s="3269"/>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2575</v>
      </c>
      <c r="D52" s="497"/>
      <c r="E52" s="498">
        <f>IF(E47&lt;E48,E48/E47-1,E47/E48-1)</f>
        <v>7.9784794496383871E-2</v>
      </c>
      <c r="F52" s="499" t="str">
        <f>IF(OR(E52&gt;=0.3,E52&lt;=-0.3),"超过30%","")</f>
        <v/>
      </c>
      <c r="G52" s="498">
        <f>IF(G47&lt;G48,G48/G47-1,G47/G48-1)</f>
        <v>6.9096686475503821E-2</v>
      </c>
      <c r="H52" s="499" t="str">
        <f>IF(OR(G52&gt;=0.3,G52&lt;=-0.3),"超过30%","")</f>
        <v/>
      </c>
      <c r="I52" s="498">
        <f>IF(I47&lt;I48,I48/I47-1,I47/I48-1)</f>
        <v>1.5221160116425159E-2</v>
      </c>
      <c r="J52" s="499" t="str">
        <f>IF(OR(I52&gt;=0.3,I52&lt;=-0.3),"超过30%","")</f>
        <v/>
      </c>
      <c r="K52" s="1101"/>
      <c r="L52" s="1102"/>
      <c r="M52" s="1140"/>
      <c r="N52" s="1140"/>
      <c r="O52" s="1140"/>
    </row>
    <row r="53" spans="1:29" ht="13.5" customHeight="1">
      <c r="A53" s="1140"/>
      <c r="B53" s="1140"/>
      <c r="C53" s="496" t="s">
        <v>2576</v>
      </c>
      <c r="D53" s="500"/>
      <c r="E53" s="498">
        <f>IF(E48&lt;G48,G48/E48-1,E48/G48-1)</f>
        <v>0.14325388397889327</v>
      </c>
      <c r="F53" s="499" t="str">
        <f>IF(OR(E53&gt;=0.2,E53&lt;=-0.2),"超过20%","")</f>
        <v/>
      </c>
      <c r="G53" s="498">
        <f>IF(G48&lt;I48,I48/G48-1,G48/I48-1)</f>
        <v>0.11306920299651679</v>
      </c>
      <c r="H53" s="499" t="str">
        <f>IF(OR(G53&gt;=0.2,G53&lt;=-0.2),"超过20%","")</f>
        <v/>
      </c>
      <c r="I53" s="498">
        <f>IF(I48&lt;E48,E48/I48-1,I48/E48-1)</f>
        <v>2.7118422557300015E-2</v>
      </c>
      <c r="J53" s="499" t="str">
        <f>IF(OR(I53&gt;=0.2,I53&lt;=-0.2),"超过20%","")</f>
        <v/>
      </c>
      <c r="K53" s="1101"/>
      <c r="L53" s="1102"/>
      <c r="M53" s="1140"/>
      <c r="N53" s="1140"/>
      <c r="O53" s="1140"/>
    </row>
    <row r="54" spans="1:29" s="501" customFormat="1" ht="13.5" customHeight="1">
      <c r="A54" s="1141"/>
      <c r="B54" s="1141"/>
      <c r="C54" s="496" t="s">
        <v>2577</v>
      </c>
      <c r="D54" s="500"/>
      <c r="E54" s="498">
        <f>IF(E47&lt;G47,G47/E47-1,E47/G47-1)</f>
        <v>0.15468336567295826</v>
      </c>
      <c r="F54" s="499" t="str">
        <f>IF(OR(E54&gt;=0.3,E54&lt;=-0.3),"超过30%","")</f>
        <v/>
      </c>
      <c r="G54" s="498">
        <f>IF(G47&lt;I47,I47/G47-1,G47/I47-1)</f>
        <v>2.5520914930283523E-2</v>
      </c>
      <c r="H54" s="499" t="str">
        <f>IF(OR(G54&gt;=0.3,G54&lt;=-0.3),"超过30%","")</f>
        <v/>
      </c>
      <c r="I54" s="498">
        <f>IF(I47&lt;E47,E47/I47-1,I47/E47-1)</f>
        <v>0.12594813900158752</v>
      </c>
      <c r="J54" s="499" t="str">
        <f>IF(OR(I54&gt;=0.3,I54&lt;=-0.3),"超过30%","")</f>
        <v/>
      </c>
      <c r="K54" s="1144"/>
      <c r="L54" s="1145"/>
      <c r="M54" s="1141"/>
      <c r="N54" s="1141"/>
      <c r="O54" s="1141"/>
      <c r="P54" s="2617"/>
    </row>
    <row r="55" spans="1:29" s="501" customFormat="1">
      <c r="A55" s="1141"/>
      <c r="B55" s="1142"/>
      <c r="C55" s="1146"/>
      <c r="D55" s="1141"/>
      <c r="E55" s="1141"/>
      <c r="F55" s="1141"/>
      <c r="G55" s="1141"/>
      <c r="H55" s="1141"/>
      <c r="I55" s="1141"/>
      <c r="J55" s="1141"/>
      <c r="K55" s="1144"/>
      <c r="L55" s="1145"/>
      <c r="M55" s="1141"/>
      <c r="N55" s="1141"/>
      <c r="O55" s="1141"/>
      <c r="P55" s="2617"/>
    </row>
    <row r="56" spans="1:29">
      <c r="A56" s="1140"/>
      <c r="B56" s="1142"/>
      <c r="C56" s="1146"/>
      <c r="D56" s="1140"/>
      <c r="E56" s="1140"/>
      <c r="F56" s="1140"/>
      <c r="G56" s="1140"/>
      <c r="H56" s="1140"/>
      <c r="I56" s="1140"/>
      <c r="J56" s="1140"/>
      <c r="K56" s="1101"/>
      <c r="L56" s="1102"/>
      <c r="M56" s="1140"/>
      <c r="N56" s="1140"/>
      <c r="O56" s="1140"/>
    </row>
    <row r="57" spans="1:29" ht="21.75" thickBot="1">
      <c r="A57" s="762" t="s">
        <v>2578</v>
      </c>
      <c r="B57" s="758"/>
      <c r="C57" s="763"/>
      <c r="D57" s="763"/>
      <c r="E57" s="763"/>
      <c r="F57" s="764"/>
      <c r="G57" s="764"/>
      <c r="H57" s="763"/>
      <c r="I57" s="763"/>
      <c r="J57" s="763"/>
      <c r="K57" s="1156"/>
      <c r="L57" s="1157"/>
      <c r="M57" s="1155"/>
      <c r="N57" s="1155"/>
      <c r="O57" s="1155"/>
      <c r="P57" s="2618"/>
      <c r="Q57" s="503"/>
    </row>
    <row r="58" spans="1:29" s="507" customFormat="1" ht="15">
      <c r="A58" s="504" t="s">
        <v>2579</v>
      </c>
      <c r="B58" s="505"/>
      <c r="C58" s="1570" t="str">
        <f>YEAR(C7)&amp;"-"&amp;MONTH(C7)</f>
        <v>2019-6</v>
      </c>
      <c r="D58" s="1569">
        <f>EDATE(C58,-1)</f>
        <v>43586</v>
      </c>
      <c r="E58" s="1569">
        <f>EDATE(D58,-1)</f>
        <v>43556</v>
      </c>
      <c r="F58" s="1569">
        <f t="shared" ref="F58:O58" si="19">EDATE(E58,-1)</f>
        <v>43525</v>
      </c>
      <c r="G58" s="1569">
        <f t="shared" si="19"/>
        <v>43497</v>
      </c>
      <c r="H58" s="1569">
        <f t="shared" si="19"/>
        <v>43466</v>
      </c>
      <c r="I58" s="1569">
        <f t="shared" si="19"/>
        <v>43435</v>
      </c>
      <c r="J58" s="1569">
        <f t="shared" si="19"/>
        <v>43405</v>
      </c>
      <c r="K58" s="1569">
        <f t="shared" si="19"/>
        <v>43374</v>
      </c>
      <c r="L58" s="1569">
        <f t="shared" si="19"/>
        <v>43344</v>
      </c>
      <c r="M58" s="1569">
        <f t="shared" si="19"/>
        <v>43313</v>
      </c>
      <c r="N58" s="1569">
        <f t="shared" si="19"/>
        <v>43282</v>
      </c>
      <c r="O58" s="1569">
        <f t="shared" si="19"/>
        <v>43252</v>
      </c>
      <c r="P58" s="1564"/>
    </row>
    <row r="59" spans="1:29" s="116" customFormat="1" ht="15">
      <c r="A59" s="508"/>
      <c r="B59" s="2619"/>
      <c r="C59" s="1567">
        <v>100</v>
      </c>
      <c r="D59" s="510">
        <v>100</v>
      </c>
      <c r="E59" s="511">
        <v>100</v>
      </c>
      <c r="F59" s="511">
        <v>99.5</v>
      </c>
      <c r="G59" s="511">
        <v>99.5</v>
      </c>
      <c r="H59" s="511">
        <v>99.5</v>
      </c>
      <c r="I59" s="511">
        <v>99</v>
      </c>
      <c r="J59" s="511">
        <v>99</v>
      </c>
      <c r="K59" s="511">
        <v>99</v>
      </c>
      <c r="L59" s="511"/>
      <c r="M59" s="512"/>
      <c r="N59" s="511"/>
      <c r="O59" s="512"/>
      <c r="P59" s="2620"/>
    </row>
    <row r="60" spans="1:29" s="116" customFormat="1" ht="15.75" thickBot="1">
      <c r="A60" s="514" t="s">
        <v>2580</v>
      </c>
      <c r="B60" s="515"/>
      <c r="C60" s="516"/>
      <c r="D60" s="517"/>
      <c r="E60" s="517"/>
      <c r="F60" s="517"/>
      <c r="G60" s="517"/>
      <c r="H60" s="517"/>
      <c r="I60" s="517"/>
      <c r="J60" s="517"/>
      <c r="K60" s="517"/>
      <c r="L60" s="517"/>
      <c r="M60" s="518"/>
      <c r="N60" s="517"/>
      <c r="O60" s="518"/>
      <c r="P60" s="2620"/>
      <c r="Q60" s="503"/>
    </row>
    <row r="61" spans="1:29" s="116" customFormat="1" ht="15">
      <c r="A61" s="520" t="s">
        <v>2581</v>
      </c>
      <c r="B61" s="509"/>
      <c r="C61" s="521" t="s">
        <v>2582</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2583</v>
      </c>
      <c r="B63" s="527" t="s">
        <v>2549</v>
      </c>
      <c r="C63" s="528" t="str">
        <f>C9</f>
        <v>住宅</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2"/>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9"/>
      <c r="O67" s="1149"/>
      <c r="P67" s="2622"/>
      <c r="Q67" s="503"/>
    </row>
    <row r="68" spans="1:17" ht="15">
      <c r="A68" s="533"/>
      <c r="B68" s="547"/>
      <c r="C68" s="548">
        <v>0</v>
      </c>
      <c r="D68" s="548">
        <v>1</v>
      </c>
      <c r="E68" s="548">
        <v>2</v>
      </c>
      <c r="F68" s="548">
        <v>3</v>
      </c>
      <c r="G68" s="548">
        <v>4</v>
      </c>
      <c r="H68" s="548">
        <v>5</v>
      </c>
      <c r="I68" s="548"/>
      <c r="J68" s="548"/>
      <c r="K68" s="549"/>
      <c r="L68" s="550"/>
      <c r="M68" s="551"/>
      <c r="N68" s="1148"/>
      <c r="O68" s="1148"/>
      <c r="P68" s="2622"/>
      <c r="Q68" s="503"/>
    </row>
    <row r="69" spans="1:17" ht="15.75" thickBot="1">
      <c r="A69" s="533"/>
      <c r="B69" s="534"/>
      <c r="C69" s="543">
        <v>100</v>
      </c>
      <c r="D69" s="543">
        <f t="shared" ref="D69:M69" si="22">C69-$K11</f>
        <v>99.5</v>
      </c>
      <c r="E69" s="543">
        <f t="shared" si="22"/>
        <v>99</v>
      </c>
      <c r="F69" s="543">
        <f t="shared" si="22"/>
        <v>98.5</v>
      </c>
      <c r="G69" s="543">
        <f t="shared" si="22"/>
        <v>98</v>
      </c>
      <c r="H69" s="543">
        <f t="shared" si="22"/>
        <v>97.5</v>
      </c>
      <c r="I69" s="543">
        <f t="shared" si="22"/>
        <v>97</v>
      </c>
      <c r="J69" s="543">
        <f t="shared" si="22"/>
        <v>96.5</v>
      </c>
      <c r="K69" s="543">
        <f t="shared" si="22"/>
        <v>96</v>
      </c>
      <c r="L69" s="543">
        <f t="shared" si="22"/>
        <v>95.5</v>
      </c>
      <c r="M69" s="544">
        <f t="shared" si="22"/>
        <v>95</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59"/>
      <c r="E73" s="559"/>
      <c r="F73" s="559"/>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2"/>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2"/>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2"/>
      <c r="Q81" s="503"/>
    </row>
    <row r="82" spans="1:17" ht="15.75" thickTop="1">
      <c r="A82" s="533"/>
      <c r="B82" s="545" t="s">
        <v>2097</v>
      </c>
      <c r="C82" s="538" t="s">
        <v>2599</v>
      </c>
      <c r="D82" s="538" t="s">
        <v>2600</v>
      </c>
      <c r="E82" s="538" t="s">
        <v>2601</v>
      </c>
      <c r="F82" s="538" t="s">
        <v>2602</v>
      </c>
      <c r="G82" s="538" t="s">
        <v>2603</v>
      </c>
      <c r="H82" s="538"/>
      <c r="I82" s="538"/>
      <c r="J82" s="538"/>
      <c r="K82" s="538"/>
      <c r="L82" s="538"/>
      <c r="M82" s="1378"/>
      <c r="N82" s="1149"/>
      <c r="O82" s="1149"/>
      <c r="P82" s="262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2"/>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49"/>
      <c r="O85" s="1149"/>
      <c r="P85" s="2622"/>
      <c r="Q85" s="503"/>
    </row>
    <row r="86" spans="1:17" s="116" customFormat="1" ht="15.75" thickTop="1">
      <c r="A86" s="578"/>
      <c r="B86" s="537" t="s">
        <v>2605</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2"/>
      <c r="Q87" s="503"/>
    </row>
    <row r="88" spans="1:17" s="116" customFormat="1" ht="15.75" thickTop="1">
      <c r="A88" s="578"/>
      <c r="B88" s="537" t="s">
        <v>2606</v>
      </c>
      <c r="C88" s="553"/>
      <c r="D88" s="553"/>
      <c r="E88" s="553"/>
      <c r="F88" s="2627"/>
      <c r="G88" s="553"/>
      <c r="H88" s="553"/>
      <c r="I88" s="553"/>
      <c r="J88" s="553"/>
      <c r="K88" s="553"/>
      <c r="L88" s="553"/>
      <c r="M88" s="580"/>
      <c r="N88" s="1147"/>
      <c r="O88" s="1147"/>
      <c r="P88" s="262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2"/>
      <c r="Q89" s="503"/>
    </row>
    <row r="90" spans="1:17" s="470" customFormat="1" ht="15.75" thickTop="1">
      <c r="A90" s="552"/>
      <c r="B90" s="537">
        <f>B27</f>
        <v>111</v>
      </c>
      <c r="C90" s="553"/>
      <c r="D90" s="553"/>
      <c r="E90" s="553"/>
      <c r="F90" s="553"/>
      <c r="G90" s="553"/>
      <c r="H90" s="554"/>
      <c r="I90" s="554"/>
      <c r="J90" s="554"/>
      <c r="K90" s="554"/>
      <c r="L90" s="555"/>
      <c r="M90" s="556"/>
      <c r="N90" s="1150"/>
      <c r="O90" s="1150"/>
      <c r="P90" s="2623"/>
      <c r="Q90" s="558"/>
    </row>
    <row r="91" spans="1:17" s="470" customFormat="1" ht="15.75" thickBot="1">
      <c r="A91" s="552"/>
      <c r="B91" s="542"/>
      <c r="C91" s="559"/>
      <c r="D91" s="559"/>
      <c r="E91" s="559"/>
      <c r="F91" s="559"/>
      <c r="G91" s="559"/>
      <c r="H91" s="561"/>
      <c r="I91" s="561"/>
      <c r="J91" s="561"/>
      <c r="K91" s="561"/>
      <c r="L91" s="561"/>
      <c r="M91" s="562"/>
      <c r="N91" s="1150"/>
      <c r="O91" s="1150"/>
      <c r="P91" s="2623"/>
      <c r="Q91" s="558"/>
    </row>
    <row r="92" spans="1:17" ht="15.75" thickTop="1">
      <c r="A92" s="533"/>
      <c r="B92" s="537">
        <f>B28</f>
        <v>111</v>
      </c>
      <c r="C92" s="553"/>
      <c r="D92" s="553"/>
      <c r="E92" s="553"/>
      <c r="F92" s="553"/>
      <c r="G92" s="582"/>
      <c r="H92" s="582"/>
      <c r="I92" s="582"/>
      <c r="J92" s="582"/>
      <c r="K92" s="583"/>
      <c r="L92" s="584"/>
      <c r="M92" s="585"/>
      <c r="N92" s="1148"/>
      <c r="O92" s="1148"/>
      <c r="P92" s="2622"/>
      <c r="Q92" s="503"/>
    </row>
    <row r="93" spans="1:17" ht="15.75" thickBot="1">
      <c r="A93" s="533"/>
      <c r="B93" s="542"/>
      <c r="C93" s="559"/>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59"/>
      <c r="E95" s="559"/>
      <c r="F95" s="559"/>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69"/>
      <c r="D97" s="569"/>
      <c r="E97" s="569"/>
      <c r="F97" s="569"/>
      <c r="G97" s="535"/>
      <c r="H97" s="535"/>
      <c r="I97" s="535"/>
      <c r="J97" s="535"/>
      <c r="K97" s="535"/>
      <c r="L97" s="535"/>
      <c r="M97" s="536"/>
      <c r="N97" s="1149"/>
      <c r="O97" s="1149"/>
      <c r="P97" s="2622"/>
      <c r="Q97" s="503"/>
    </row>
    <row r="98" spans="1:17" ht="15.75" thickTop="1">
      <c r="A98" s="533"/>
      <c r="B98" s="545">
        <f>B31</f>
        <v>111</v>
      </c>
      <c r="C98" s="586"/>
      <c r="D98" s="586"/>
      <c r="E98" s="586"/>
      <c r="F98" s="586"/>
      <c r="G98" s="586"/>
      <c r="H98" s="586"/>
      <c r="I98" s="586"/>
      <c r="J98" s="586"/>
      <c r="K98" s="587"/>
      <c r="L98" s="588"/>
      <c r="M98" s="589"/>
      <c r="N98" s="1148"/>
      <c r="O98" s="1148"/>
      <c r="P98" s="2622"/>
      <c r="Q98" s="503"/>
    </row>
    <row r="99" spans="1:17" ht="15.75" thickBot="1">
      <c r="A99" s="2628"/>
      <c r="B99" s="568"/>
      <c r="C99" s="590"/>
      <c r="D99" s="590"/>
      <c r="E99" s="590"/>
      <c r="F99" s="590"/>
      <c r="G99" s="590"/>
      <c r="H99" s="590"/>
      <c r="I99" s="590"/>
      <c r="J99" s="590"/>
      <c r="K99" s="590"/>
      <c r="L99" s="590"/>
      <c r="M99" s="591"/>
      <c r="N99" s="1149"/>
      <c r="O99" s="1149"/>
      <c r="P99" s="2622"/>
      <c r="Q99" s="503"/>
    </row>
    <row r="100" spans="1:17">
      <c r="A100" s="526" t="s">
        <v>2558</v>
      </c>
      <c r="B100" s="527" t="s">
        <v>2607</v>
      </c>
      <c r="C100" s="2938" t="s">
        <v>3203</v>
      </c>
      <c r="D100" s="2938" t="s">
        <v>3204</v>
      </c>
      <c r="E100" s="2938" t="s">
        <v>3205</v>
      </c>
      <c r="F100" s="2938" t="s">
        <v>3206</v>
      </c>
      <c r="G100" s="2938" t="s">
        <v>3207</v>
      </c>
      <c r="H100" s="2938" t="s">
        <v>3260</v>
      </c>
      <c r="I100" s="529"/>
      <c r="J100" s="529"/>
      <c r="K100" s="530"/>
      <c r="L100" s="531"/>
      <c r="M100" s="532"/>
      <c r="N100" s="1148"/>
      <c r="O100" s="1148"/>
      <c r="P100" s="2622"/>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2"/>
      <c r="Q101" s="503"/>
    </row>
    <row r="102" spans="1:17" ht="23.25" customHeight="1" thickTop="1">
      <c r="A102" s="533"/>
      <c r="B102" s="537" t="s">
        <v>2608</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47"/>
      <c r="O102" s="1147"/>
      <c r="P102" s="2622"/>
      <c r="Q102" s="503"/>
    </row>
    <row r="103" spans="1:17" s="470" customFormat="1">
      <c r="A103" s="592"/>
      <c r="B103" s="593"/>
      <c r="C103" s="2948">
        <v>0</v>
      </c>
      <c r="D103" s="2948">
        <v>50000</v>
      </c>
      <c r="E103" s="2948">
        <v>100000</v>
      </c>
      <c r="F103" s="2948">
        <v>1500000</v>
      </c>
      <c r="G103" s="2948">
        <v>200000</v>
      </c>
      <c r="H103" s="594">
        <v>250000</v>
      </c>
      <c r="I103" s="594">
        <v>300000</v>
      </c>
      <c r="J103" s="595"/>
      <c r="K103" s="595"/>
      <c r="L103" s="596"/>
      <c r="M103" s="597"/>
      <c r="N103" s="1150"/>
      <c r="O103" s="1150"/>
      <c r="P103" s="2623"/>
      <c r="Q103" s="558"/>
    </row>
    <row r="104" spans="1:17" s="470" customFormat="1" ht="15.75" thickBot="1">
      <c r="A104" s="552"/>
      <c r="B104" s="542"/>
      <c r="C104" s="2949">
        <v>100</v>
      </c>
      <c r="D104" s="2950">
        <v>101</v>
      </c>
      <c r="E104" s="2950">
        <v>102</v>
      </c>
      <c r="F104" s="2950">
        <v>103</v>
      </c>
      <c r="G104" s="2950">
        <v>104</v>
      </c>
      <c r="H104" s="535">
        <v>105</v>
      </c>
      <c r="I104" s="535">
        <v>106</v>
      </c>
      <c r="J104" s="535"/>
      <c r="K104" s="535"/>
      <c r="L104" s="535"/>
      <c r="M104" s="535"/>
      <c r="N104" s="1149"/>
      <c r="O104" s="1149"/>
      <c r="P104" s="2623"/>
      <c r="Q104" s="558"/>
    </row>
    <row r="105" spans="1:17" ht="15" thickTop="1">
      <c r="A105" s="598"/>
      <c r="B105" s="537" t="s">
        <v>2609</v>
      </c>
      <c r="C105" s="553" t="s">
        <v>3162</v>
      </c>
      <c r="D105" s="553" t="s">
        <v>3163</v>
      </c>
      <c r="E105" s="582" t="s">
        <v>3164</v>
      </c>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9"/>
      <c r="O106" s="1149"/>
      <c r="P106" s="2622"/>
      <c r="Q106" s="503"/>
    </row>
    <row r="107" spans="1:17" ht="15" thickTop="1">
      <c r="A107" s="598"/>
      <c r="B107" s="537" t="s">
        <v>2610</v>
      </c>
      <c r="C107" s="582" t="s">
        <v>3165</v>
      </c>
      <c r="D107" s="582" t="s">
        <v>3166</v>
      </c>
      <c r="E107" s="582"/>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2"/>
      <c r="Q108" s="503"/>
    </row>
    <row r="109" spans="1:17" ht="15" thickTop="1">
      <c r="A109" s="598"/>
      <c r="B109" s="537" t="s">
        <v>2611</v>
      </c>
      <c r="C109" s="553" t="s">
        <v>3167</v>
      </c>
      <c r="D109" s="553" t="s">
        <v>3168</v>
      </c>
      <c r="E109" s="553" t="s">
        <v>3169</v>
      </c>
      <c r="F109" s="582" t="s">
        <v>3170</v>
      </c>
      <c r="G109" s="582"/>
      <c r="H109" s="582"/>
      <c r="I109" s="582"/>
      <c r="J109" s="582"/>
      <c r="K109" s="583"/>
      <c r="L109" s="584"/>
      <c r="M109" s="585"/>
      <c r="N109" s="1148"/>
      <c r="O109" s="1148"/>
      <c r="P109" s="2622"/>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2"/>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0"/>
      <c r="O113" s="1150"/>
      <c r="P113" s="2623"/>
      <c r="Q113" s="558"/>
    </row>
    <row r="114" spans="1:17" ht="15" thickTop="1">
      <c r="A114" s="598"/>
      <c r="B114" s="537" t="s">
        <v>2612</v>
      </c>
      <c r="C114" s="553" t="s">
        <v>3171</v>
      </c>
      <c r="D114" s="553" t="s">
        <v>3172</v>
      </c>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2"/>
      <c r="Q115" s="503"/>
    </row>
    <row r="116" spans="1:17" ht="15" thickTop="1">
      <c r="A116" s="598"/>
      <c r="B116" s="537" t="s">
        <v>2613</v>
      </c>
      <c r="C116" s="553" t="s">
        <v>3173</v>
      </c>
      <c r="D116" s="553" t="s">
        <v>3174</v>
      </c>
      <c r="E116" s="553" t="s">
        <v>3175</v>
      </c>
      <c r="F116" s="553" t="s">
        <v>3176</v>
      </c>
      <c r="G116" s="553" t="s">
        <v>3177</v>
      </c>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2614</v>
      </c>
      <c r="C118" s="2944" t="s">
        <v>3178</v>
      </c>
      <c r="D118" s="582" t="s">
        <v>3179</v>
      </c>
      <c r="E118" s="582"/>
      <c r="F118" s="582"/>
      <c r="G118" s="582"/>
      <c r="H118" s="582"/>
      <c r="I118" s="582"/>
      <c r="J118" s="582"/>
      <c r="K118" s="583"/>
      <c r="L118" s="584"/>
      <c r="M118" s="585"/>
      <c r="N118" s="1148"/>
      <c r="O118" s="1148"/>
      <c r="P118" s="2622"/>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49"/>
      <c r="O119" s="1149"/>
      <c r="P119" s="2622"/>
      <c r="Q119" s="503"/>
    </row>
    <row r="120" spans="1:17" s="470" customFormat="1" ht="28.5" thickTop="1">
      <c r="A120" s="592"/>
      <c r="B120" s="537" t="s">
        <v>2569</v>
      </c>
      <c r="C120" s="553"/>
      <c r="D120" s="553"/>
      <c r="E120" s="553"/>
      <c r="F120" s="553"/>
      <c r="G120" s="553"/>
      <c r="H120" s="553"/>
      <c r="I120" s="553"/>
      <c r="J120" s="553"/>
      <c r="K120" s="553"/>
      <c r="L120" s="579"/>
      <c r="M120" s="580"/>
      <c r="N120" s="1150"/>
      <c r="O120" s="1150"/>
      <c r="P120" s="2623"/>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3"/>
      <c r="Q121" s="558"/>
    </row>
    <row r="122" spans="1:17" ht="15" thickTop="1">
      <c r="A122" s="598"/>
      <c r="B122" s="537" t="s">
        <v>2615</v>
      </c>
      <c r="C122" s="553" t="s">
        <v>3167</v>
      </c>
      <c r="D122" s="553" t="s">
        <v>3168</v>
      </c>
      <c r="E122" s="553" t="s">
        <v>3169</v>
      </c>
      <c r="F122" s="582" t="s">
        <v>3170</v>
      </c>
      <c r="G122" s="582"/>
      <c r="H122" s="582"/>
      <c r="I122" s="582"/>
      <c r="J122" s="582"/>
      <c r="K122" s="583"/>
      <c r="L122" s="584"/>
      <c r="M122" s="585"/>
      <c r="N122" s="1148"/>
      <c r="O122" s="1148"/>
      <c r="P122" s="2622"/>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2"/>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59"/>
      <c r="E129" s="559"/>
      <c r="F129" s="559"/>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5" t="s">
        <v>2620</v>
      </c>
      <c r="D138" s="145" t="s">
        <v>2621</v>
      </c>
      <c r="E138" s="2637" t="s">
        <v>2622</v>
      </c>
      <c r="F138" s="2638" t="s">
        <v>2623</v>
      </c>
      <c r="G138" s="145" t="s">
        <v>2621</v>
      </c>
      <c r="H138" s="146" t="s">
        <v>2622</v>
      </c>
      <c r="I138" s="2639"/>
      <c r="J138" s="145" t="s">
        <v>2624</v>
      </c>
      <c r="K138" s="146" t="s">
        <v>2625</v>
      </c>
    </row>
    <row r="139" spans="1:17" ht="15">
      <c r="B139" s="1080">
        <v>6</v>
      </c>
      <c r="C139" s="1081">
        <v>96</v>
      </c>
      <c r="D139" s="2640" t="s">
        <v>2626</v>
      </c>
      <c r="E139" s="1082">
        <v>100</v>
      </c>
      <c r="F139" s="1083">
        <v>102.5</v>
      </c>
      <c r="G139" s="2640" t="s">
        <v>2626</v>
      </c>
      <c r="H139" s="1084">
        <v>105</v>
      </c>
      <c r="I139" s="2641" t="s">
        <v>2627</v>
      </c>
      <c r="J139" s="1081">
        <v>20</v>
      </c>
      <c r="K139" s="1085">
        <f>C145/(J139-2)</f>
        <v>4.0555555555555553E-3</v>
      </c>
    </row>
    <row r="140" spans="1:17" ht="15">
      <c r="B140" s="1086">
        <v>5</v>
      </c>
      <c r="C140" s="1087">
        <v>100</v>
      </c>
      <c r="D140" s="1087"/>
      <c r="E140" s="1088"/>
      <c r="F140" s="1089">
        <v>102</v>
      </c>
      <c r="G140" s="1087"/>
      <c r="H140" s="1090"/>
      <c r="I140" s="2642" t="s">
        <v>2628</v>
      </c>
      <c r="J140" s="314">
        <f>ROUNDUP((J139-1)/2,0)</f>
        <v>10</v>
      </c>
      <c r="K140" s="1091">
        <v>100</v>
      </c>
    </row>
    <row r="141" spans="1:17" ht="15">
      <c r="B141" s="1086">
        <v>4</v>
      </c>
      <c r="C141" s="1087">
        <v>102</v>
      </c>
      <c r="D141" s="1087"/>
      <c r="E141" s="1088"/>
      <c r="F141" s="1089">
        <v>101.5</v>
      </c>
      <c r="G141" s="1087"/>
      <c r="H141" s="1090"/>
      <c r="I141" s="2642" t="s">
        <v>2629</v>
      </c>
      <c r="J141" s="314">
        <v>1</v>
      </c>
      <c r="K141" s="1092">
        <f>ROUND(100+(J141-J140)*K139*100,1)</f>
        <v>96.4</v>
      </c>
    </row>
    <row r="142" spans="1:17" ht="15">
      <c r="B142" s="1086">
        <v>3</v>
      </c>
      <c r="C142" s="1087">
        <v>103</v>
      </c>
      <c r="D142" s="1087"/>
      <c r="E142" s="1088"/>
      <c r="F142" s="1089">
        <v>101</v>
      </c>
      <c r="G142" s="1087"/>
      <c r="H142" s="1090"/>
      <c r="I142" s="2642" t="s">
        <v>2630</v>
      </c>
      <c r="J142" s="314">
        <f>J139</f>
        <v>20</v>
      </c>
      <c r="K142" s="1093">
        <v>95</v>
      </c>
    </row>
    <row r="143" spans="1:17" ht="15">
      <c r="B143" s="1086">
        <v>2</v>
      </c>
      <c r="C143" s="1087">
        <v>100</v>
      </c>
      <c r="D143" s="1087"/>
      <c r="E143" s="1088"/>
      <c r="F143" s="1089">
        <v>100.5</v>
      </c>
      <c r="G143" s="1087"/>
      <c r="H143" s="1090"/>
      <c r="I143" s="2642" t="s">
        <v>2631</v>
      </c>
      <c r="J143" s="1087">
        <v>15</v>
      </c>
      <c r="K143" s="1092">
        <f>ROUND(100+(J143-J140)*K139*100,1)</f>
        <v>102</v>
      </c>
    </row>
    <row r="144" spans="1:17" ht="15">
      <c r="B144" s="1086">
        <v>1</v>
      </c>
      <c r="C144" s="1087">
        <v>98</v>
      </c>
      <c r="D144" s="2643" t="s">
        <v>2632</v>
      </c>
      <c r="E144" s="1088">
        <v>102</v>
      </c>
      <c r="F144" s="1094">
        <v>100</v>
      </c>
      <c r="G144" s="2643" t="s">
        <v>2632</v>
      </c>
      <c r="H144" s="1090">
        <v>105</v>
      </c>
      <c r="I144" s="2642" t="s">
        <v>2631</v>
      </c>
      <c r="J144" s="1087">
        <v>18</v>
      </c>
      <c r="K144" s="1092">
        <f>ROUND(100+(J144-J140)*K139*100,1)</f>
        <v>103.2</v>
      </c>
    </row>
    <row r="145" spans="2:11" ht="15.75" thickBot="1">
      <c r="B145" s="2644" t="s">
        <v>2633</v>
      </c>
      <c r="C145" s="1095">
        <f>ROUND(MAX(C139:C144)/MIN(C139:C144)-1,3)</f>
        <v>7.2999999999999995E-2</v>
      </c>
      <c r="D145" s="1096"/>
      <c r="E145" s="1096"/>
      <c r="F145" s="2645" t="s">
        <v>2634</v>
      </c>
      <c r="G145" s="2646"/>
      <c r="H145" s="2647"/>
      <c r="I145" s="2648" t="s">
        <v>2631</v>
      </c>
      <c r="J145" s="1097">
        <v>8</v>
      </c>
      <c r="K145" s="1098">
        <f>ROUND(100+(J145-J140)*K139*100,1)</f>
        <v>99.2</v>
      </c>
    </row>
    <row r="147" spans="2:11">
      <c r="B147" s="2629" t="s">
        <v>2635</v>
      </c>
    </row>
    <row r="148" spans="2:11">
      <c r="B148" s="2629" t="s">
        <v>2636</v>
      </c>
    </row>
  </sheetData>
  <sheetProtection algorithmName="SHA-512" hashValue="aTK1Y8xtDK5JmxrzX9hq/1YnZNbZxndeicV/ZIfHa+Ck2QPSU6IyZLCtYmaKCHzbxjTFxOItCBkHDac+7uT2hQ==" saltValue="AhgGaW0ng5AYbl1cLCd44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2523</v>
      </c>
      <c r="B1" s="2575" t="s">
        <v>2637</v>
      </c>
      <c r="C1" s="1628" t="s">
        <v>2525</v>
      </c>
      <c r="D1" s="1615"/>
      <c r="E1" s="2649"/>
      <c r="F1" s="2577"/>
      <c r="G1" s="1625" t="s">
        <v>2638</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7" customFormat="1" ht="28.5" customHeight="1" thickTop="1">
      <c r="A2" s="1611" t="s">
        <v>2325</v>
      </c>
      <c r="B2" s="1413" t="e">
        <f ca="1">IF(C2="——",ROUND(C49*D3/10000,0),ROUND(C49*D3/10000,0)-D2)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2653"/>
      <c r="Q2" s="1125"/>
      <c r="R2" s="1125"/>
      <c r="S2" s="1125"/>
      <c r="T2" s="1125"/>
      <c r="U2" s="1125"/>
      <c r="V2" s="1125"/>
      <c r="W2" s="1125"/>
      <c r="X2" s="1125"/>
      <c r="Y2" s="1125"/>
      <c r="Z2" s="1125"/>
      <c r="AA2" s="1125"/>
      <c r="AB2" s="1125"/>
      <c r="AC2" s="2654"/>
    </row>
    <row r="3" spans="1:29" s="397" customFormat="1" ht="28.5" customHeight="1" thickBot="1">
      <c r="A3" s="246" t="s">
        <v>2327</v>
      </c>
      <c r="B3" s="608" t="e">
        <f ca="1">IF(C2="——",C49,ROUND(B2*10000/D3,0))</f>
        <v>#DIV/0!</v>
      </c>
      <c r="C3" s="399" t="s">
        <v>2639</v>
      </c>
      <c r="D3" s="398">
        <f>IF(D1="",'数据-汇总表'!E3,SUMIF('数据-汇总表'!$C19:$C33,D1,'数据-汇总表'!$E19:$E33))</f>
        <v>63702.12999999999</v>
      </c>
      <c r="E3" s="2655"/>
      <c r="F3" s="1122"/>
      <c r="G3" s="1121"/>
      <c r="H3" s="1121"/>
      <c r="I3" s="1121"/>
      <c r="J3" s="1121"/>
      <c r="K3" s="1123"/>
      <c r="L3" s="1124"/>
      <c r="M3" s="1125"/>
      <c r="N3" s="1125"/>
      <c r="O3" s="1125"/>
      <c r="P3" s="2653"/>
      <c r="Q3" s="1125"/>
      <c r="R3" s="1125"/>
      <c r="S3" s="1125"/>
      <c r="T3" s="1125"/>
      <c r="U3" s="1125"/>
      <c r="V3" s="1125"/>
      <c r="W3" s="1125"/>
      <c r="X3" s="1125"/>
      <c r="Y3" s="1125"/>
      <c r="Z3" s="1125"/>
      <c r="AA3" s="1125"/>
      <c r="AB3" s="1125"/>
      <c r="AC3" s="2655"/>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51" t="s">
        <v>2643</v>
      </c>
      <c r="AC4" s="3224" t="s">
        <v>2644</v>
      </c>
    </row>
    <row r="5" spans="1:29" ht="15">
      <c r="A5" s="403"/>
      <c r="B5" s="404"/>
      <c r="C5" s="3270" t="s">
        <v>2537</v>
      </c>
      <c r="D5" s="3242"/>
      <c r="E5" s="3272" t="s">
        <v>2538</v>
      </c>
      <c r="F5" s="3244"/>
      <c r="G5" s="3270" t="s">
        <v>2539</v>
      </c>
      <c r="H5" s="3242"/>
      <c r="I5" s="3270" t="s">
        <v>2540</v>
      </c>
      <c r="J5" s="3242"/>
      <c r="K5" s="609"/>
      <c r="L5" s="1126"/>
      <c r="M5" s="1127"/>
      <c r="N5" s="1127"/>
      <c r="O5" s="1127"/>
      <c r="P5" s="3233"/>
      <c r="Q5" s="3234"/>
      <c r="R5" s="3239"/>
      <c r="S5" s="3240"/>
      <c r="T5" s="3239"/>
      <c r="U5" s="3240"/>
      <c r="V5" s="3251"/>
      <c r="W5" s="3251"/>
      <c r="X5" s="1807"/>
      <c r="Y5" s="3239"/>
      <c r="Z5" s="3240"/>
      <c r="AA5" s="3225"/>
      <c r="AB5" s="3251"/>
      <c r="AC5" s="3225"/>
    </row>
    <row r="6" spans="1:29" ht="15.75" thickBot="1">
      <c r="A6" s="405"/>
      <c r="B6" s="406"/>
      <c r="C6" s="3245" t="s">
        <v>2541</v>
      </c>
      <c r="D6" s="3246"/>
      <c r="E6" s="3271" t="s">
        <v>2541</v>
      </c>
      <c r="F6" s="3248"/>
      <c r="G6" s="3245" t="s">
        <v>2541</v>
      </c>
      <c r="H6" s="3246"/>
      <c r="I6" s="3245" t="s">
        <v>2541</v>
      </c>
      <c r="J6" s="3246"/>
      <c r="K6" s="609" t="s">
        <v>2542</v>
      </c>
      <c r="L6" s="1126"/>
      <c r="M6" s="1127"/>
      <c r="N6" s="1127"/>
      <c r="O6" s="1127"/>
      <c r="P6" s="3235"/>
      <c r="Q6" s="3236"/>
      <c r="R6" s="3239"/>
      <c r="S6" s="3240"/>
      <c r="T6" s="3249"/>
      <c r="U6" s="3250"/>
      <c r="V6" s="3251"/>
      <c r="W6" s="3251"/>
      <c r="X6" s="1807"/>
      <c r="Y6" s="3249"/>
      <c r="Z6" s="3250"/>
      <c r="AA6" s="3226"/>
      <c r="AB6" s="3251"/>
      <c r="AC6" s="3226"/>
    </row>
    <row r="7" spans="1:29" s="116" customFormat="1" ht="15.75" thickBot="1">
      <c r="A7" s="407" t="s">
        <v>2543</v>
      </c>
      <c r="B7" s="408"/>
      <c r="C7" s="409">
        <f>'数据-取费表'!B2</f>
        <v>43633</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52" t="s">
        <v>2544</v>
      </c>
      <c r="Q7" s="3253"/>
      <c r="R7" s="769" t="s">
        <v>17</v>
      </c>
      <c r="S7" s="770">
        <f t="shared" ref="S7:S15" si="0">F7</f>
        <v>0</v>
      </c>
      <c r="T7" s="769" t="s">
        <v>17</v>
      </c>
      <c r="U7" s="770">
        <f t="shared" ref="U7:U15" si="1">H7</f>
        <v>0</v>
      </c>
      <c r="V7" s="769" t="s">
        <v>17</v>
      </c>
      <c r="W7" s="770">
        <f t="shared" ref="W7:W15" si="2">J7</f>
        <v>0</v>
      </c>
      <c r="X7" s="771"/>
      <c r="Y7" s="3252" t="s">
        <v>2544</v>
      </c>
      <c r="Z7" s="3254"/>
      <c r="AA7" s="772" t="e">
        <f>D7/F7</f>
        <v>#DIV/0!</v>
      </c>
      <c r="AB7" s="772" t="e">
        <f>D7/H7</f>
        <v>#DIV/0!</v>
      </c>
      <c r="AC7" s="772" t="e">
        <f>D7/J7</f>
        <v>#DIV/0!</v>
      </c>
    </row>
    <row r="8" spans="1:29" s="116"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52" t="s">
        <v>2547</v>
      </c>
      <c r="Q8" s="3254"/>
      <c r="R8" s="769" t="s">
        <v>17</v>
      </c>
      <c r="S8" s="770">
        <f t="shared" si="0"/>
        <v>0</v>
      </c>
      <c r="T8" s="769" t="s">
        <v>17</v>
      </c>
      <c r="U8" s="770">
        <f t="shared" si="1"/>
        <v>0</v>
      </c>
      <c r="V8" s="769" t="s">
        <v>17</v>
      </c>
      <c r="W8" s="770">
        <f t="shared" si="2"/>
        <v>0</v>
      </c>
      <c r="X8" s="771"/>
      <c r="Y8" s="3252" t="s">
        <v>2547</v>
      </c>
      <c r="Z8" s="3254"/>
      <c r="AA8" s="772" t="e">
        <f t="shared" ref="AA8:AA46" si="3">D8/F8</f>
        <v>#DIV/0!</v>
      </c>
      <c r="AB8" s="772" t="e">
        <f t="shared" ref="AB8:AB46" si="4">D8/H8</f>
        <v>#DIV/0!</v>
      </c>
      <c r="AC8" s="772" t="e">
        <f t="shared" ref="AC8:AC46" si="5">D8/J8</f>
        <v>#DIV/0!</v>
      </c>
    </row>
    <row r="9" spans="1:29" s="116"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5" t="s">
        <v>2550</v>
      </c>
      <c r="Q9" s="1789" t="str">
        <f t="shared" ref="Q9:Q15" si="6">B9</f>
        <v>用途</v>
      </c>
      <c r="R9" s="769" t="s">
        <v>17</v>
      </c>
      <c r="S9" s="770">
        <f t="shared" si="0"/>
        <v>100</v>
      </c>
      <c r="T9" s="769" t="s">
        <v>17</v>
      </c>
      <c r="U9" s="770">
        <f t="shared" si="1"/>
        <v>100</v>
      </c>
      <c r="V9" s="769" t="s">
        <v>17</v>
      </c>
      <c r="W9" s="770">
        <f t="shared" si="2"/>
        <v>100</v>
      </c>
      <c r="X9" s="771"/>
      <c r="Y9" s="3039"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5"/>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5"/>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71.25">
      <c r="A15" s="439" t="s">
        <v>2554</v>
      </c>
      <c r="B15" s="69" t="s">
        <v>2648</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56" t="s">
        <v>2555</v>
      </c>
      <c r="Q15" s="1804" t="str">
        <f t="shared" si="6"/>
        <v>商业繁华度</v>
      </c>
      <c r="R15" s="773" t="s">
        <v>17</v>
      </c>
      <c r="S15" s="774">
        <f t="shared" si="0"/>
        <v>100</v>
      </c>
      <c r="T15" s="773" t="s">
        <v>17</v>
      </c>
      <c r="U15" s="774">
        <f t="shared" si="1"/>
        <v>100</v>
      </c>
      <c r="V15" s="773" t="s">
        <v>17</v>
      </c>
      <c r="W15" s="774">
        <f t="shared" si="2"/>
        <v>100</v>
      </c>
      <c r="X15" s="1807"/>
      <c r="Y15" s="3258" t="s">
        <v>2555</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27"/>
      <c r="P16" s="3257"/>
      <c r="Q16" s="1804"/>
      <c r="R16" s="773"/>
      <c r="S16" s="774"/>
      <c r="T16" s="773"/>
      <c r="U16" s="774"/>
      <c r="V16" s="773"/>
      <c r="W16" s="774"/>
      <c r="X16" s="1807"/>
      <c r="Y16" s="3259"/>
      <c r="Z16" s="1808"/>
      <c r="AA16" s="1805">
        <v>1</v>
      </c>
      <c r="AB16" s="1805">
        <v>1</v>
      </c>
      <c r="AC16" s="1805">
        <v>1</v>
      </c>
    </row>
    <row r="17" spans="1:29" ht="85.5">
      <c r="A17" s="427"/>
      <c r="B17" s="450" t="s">
        <v>2096</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57"/>
      <c r="Q17" s="1804" t="str">
        <f>B17</f>
        <v>交通便捷度</v>
      </c>
      <c r="R17" s="773" t="s">
        <v>17</v>
      </c>
      <c r="S17" s="774">
        <f>F17</f>
        <v>100</v>
      </c>
      <c r="T17" s="773" t="s">
        <v>17</v>
      </c>
      <c r="U17" s="774">
        <f>H17</f>
        <v>100</v>
      </c>
      <c r="V17" s="773" t="s">
        <v>17</v>
      </c>
      <c r="W17" s="774">
        <f>J17</f>
        <v>100</v>
      </c>
      <c r="X17" s="1807"/>
      <c r="Y17" s="3259"/>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27"/>
      <c r="P18" s="3257"/>
      <c r="Q18" s="1804"/>
      <c r="R18" s="773"/>
      <c r="S18" s="774"/>
      <c r="T18" s="773"/>
      <c r="U18" s="774"/>
      <c r="V18" s="773"/>
      <c r="W18" s="774"/>
      <c r="X18" s="1807"/>
      <c r="Y18" s="3259"/>
      <c r="Z18" s="1808"/>
      <c r="AA18" s="1805">
        <v>1</v>
      </c>
      <c r="AB18" s="1805">
        <v>1</v>
      </c>
      <c r="AC18" s="1805">
        <v>1</v>
      </c>
    </row>
    <row r="19" spans="1:29" ht="42.75">
      <c r="A19" s="427"/>
      <c r="B19" s="450" t="s">
        <v>2649</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57"/>
      <c r="Q19" s="1804" t="str">
        <f>B19</f>
        <v>公共配套设施</v>
      </c>
      <c r="R19" s="773" t="s">
        <v>17</v>
      </c>
      <c r="S19" s="774">
        <f>F19</f>
        <v>100</v>
      </c>
      <c r="T19" s="773" t="s">
        <v>17</v>
      </c>
      <c r="U19" s="774">
        <f>H19</f>
        <v>100</v>
      </c>
      <c r="V19" s="773" t="s">
        <v>17</v>
      </c>
      <c r="W19" s="774">
        <f>J19</f>
        <v>100</v>
      </c>
      <c r="X19" s="1807"/>
      <c r="Y19" s="3259"/>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27"/>
      <c r="P20" s="3257"/>
      <c r="Q20" s="1804"/>
      <c r="R20" s="773"/>
      <c r="S20" s="774"/>
      <c r="T20" s="773"/>
      <c r="U20" s="774"/>
      <c r="V20" s="773"/>
      <c r="W20" s="774"/>
      <c r="X20" s="1807"/>
      <c r="Y20" s="3259"/>
      <c r="Z20" s="1808"/>
      <c r="AA20" s="1805">
        <v>1</v>
      </c>
      <c r="AB20" s="1805">
        <v>1</v>
      </c>
      <c r="AC20" s="1805">
        <v>1</v>
      </c>
    </row>
    <row r="21" spans="1:29" ht="28.5">
      <c r="A21" s="427"/>
      <c r="B21" s="1380" t="s">
        <v>2650</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57"/>
      <c r="Q21" s="1804" t="str">
        <f>B21</f>
        <v>基础设施水平</v>
      </c>
      <c r="R21" s="773" t="s">
        <v>17</v>
      </c>
      <c r="S21" s="774">
        <f>F21</f>
        <v>100</v>
      </c>
      <c r="T21" s="773" t="s">
        <v>17</v>
      </c>
      <c r="U21" s="774">
        <f>H21</f>
        <v>100</v>
      </c>
      <c r="V21" s="773" t="s">
        <v>17</v>
      </c>
      <c r="W21" s="774">
        <f>J21</f>
        <v>100</v>
      </c>
      <c r="X21" s="1807"/>
      <c r="Y21" s="3259"/>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27"/>
      <c r="P22" s="3257"/>
      <c r="Q22" s="1804"/>
      <c r="R22" s="773"/>
      <c r="S22" s="774"/>
      <c r="T22" s="773"/>
      <c r="U22" s="774"/>
      <c r="V22" s="773"/>
      <c r="W22" s="774"/>
      <c r="X22" s="1807"/>
      <c r="Y22" s="3259"/>
      <c r="Z22" s="1808"/>
      <c r="AA22" s="1805">
        <v>1</v>
      </c>
      <c r="AB22" s="1805">
        <v>1</v>
      </c>
      <c r="AC22" s="1805">
        <v>1</v>
      </c>
    </row>
    <row r="23" spans="1:29" ht="57">
      <c r="A23" s="427"/>
      <c r="B23" s="450" t="s">
        <v>2101</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57"/>
      <c r="Q23" s="1804" t="str">
        <f>B23</f>
        <v>自然及人文环境</v>
      </c>
      <c r="R23" s="773" t="s">
        <v>17</v>
      </c>
      <c r="S23" s="774">
        <f>F23</f>
        <v>100</v>
      </c>
      <c r="T23" s="773" t="s">
        <v>17</v>
      </c>
      <c r="U23" s="774">
        <f>H23</f>
        <v>100</v>
      </c>
      <c r="V23" s="773" t="s">
        <v>17</v>
      </c>
      <c r="W23" s="774">
        <f>J23</f>
        <v>100</v>
      </c>
      <c r="X23" s="1807"/>
      <c r="Y23" s="3259"/>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6"/>
      <c r="M24" s="1127"/>
      <c r="N24" s="1127"/>
      <c r="O24" s="1127"/>
      <c r="P24" s="3257"/>
      <c r="Q24" s="1804"/>
      <c r="R24" s="773"/>
      <c r="S24" s="774"/>
      <c r="T24" s="773"/>
      <c r="U24" s="774"/>
      <c r="V24" s="773"/>
      <c r="W24" s="774"/>
      <c r="X24" s="1807"/>
      <c r="Y24" s="3259"/>
      <c r="Z24" s="1808"/>
      <c r="AA24" s="1805">
        <v>1</v>
      </c>
      <c r="AB24" s="1805">
        <v>1</v>
      </c>
      <c r="AC24" s="1805">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57"/>
      <c r="Q25" s="1804" t="str">
        <f t="shared" ref="Q25:Q46" si="11">B25</f>
        <v>临街状况</v>
      </c>
      <c r="R25" s="773" t="s">
        <v>17</v>
      </c>
      <c r="S25" s="774">
        <f>F25</f>
        <v>100</v>
      </c>
      <c r="T25" s="773" t="s">
        <v>17</v>
      </c>
      <c r="U25" s="774">
        <f>H25</f>
        <v>100</v>
      </c>
      <c r="V25" s="773" t="s">
        <v>17</v>
      </c>
      <c r="W25" s="774">
        <f>J25</f>
        <v>100</v>
      </c>
      <c r="X25" s="1807"/>
      <c r="Y25" s="3259"/>
      <c r="Z25" s="1808" t="str">
        <f>Q25</f>
        <v>临街状况</v>
      </c>
      <c r="AA25" s="1805">
        <f t="shared" si="3"/>
        <v>1</v>
      </c>
      <c r="AB25" s="1805">
        <f t="shared" si="4"/>
        <v>1</v>
      </c>
      <c r="AC25" s="1805">
        <f t="shared" si="5"/>
        <v>1</v>
      </c>
    </row>
    <row r="26" spans="1:29" ht="15">
      <c r="A26" s="427"/>
      <c r="B26" s="1382" t="s">
        <v>2652</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57"/>
      <c r="Q26" s="1804" t="str">
        <f t="shared" si="11"/>
        <v>平面位置/可视性</v>
      </c>
      <c r="R26" s="773" t="s">
        <v>17</v>
      </c>
      <c r="S26" s="774">
        <f>F26</f>
        <v>100</v>
      </c>
      <c r="T26" s="773" t="s">
        <v>17</v>
      </c>
      <c r="U26" s="774">
        <f>H26</f>
        <v>100</v>
      </c>
      <c r="V26" s="773" t="s">
        <v>17</v>
      </c>
      <c r="W26" s="774">
        <f>J26</f>
        <v>100</v>
      </c>
      <c r="X26" s="1807"/>
      <c r="Y26" s="3259"/>
      <c r="Z26" s="1808" t="str">
        <f>Q26</f>
        <v>平面位置/可视性</v>
      </c>
      <c r="AA26" s="1805">
        <f t="shared" si="3"/>
        <v>1</v>
      </c>
      <c r="AB26" s="1805">
        <f t="shared" si="4"/>
        <v>1</v>
      </c>
      <c r="AC26" s="1805">
        <f t="shared" si="5"/>
        <v>1</v>
      </c>
    </row>
    <row r="27" spans="1:29" s="116" customFormat="1" ht="15">
      <c r="A27" s="430"/>
      <c r="B27" s="450" t="s">
        <v>2653</v>
      </c>
      <c r="C27" s="2657"/>
      <c r="D27" s="461">
        <v>100</v>
      </c>
      <c r="E27" s="2657"/>
      <c r="F27" s="463">
        <f>SUMIF(90:90,E27,91:91)-SUMIF(90:90,C27,91:91)+100</f>
        <v>100</v>
      </c>
      <c r="G27" s="2657"/>
      <c r="H27" s="461">
        <f>SUMIF(90:90,G27,91:91)-SUMIF(90:90,C27,91:91)+100</f>
        <v>100</v>
      </c>
      <c r="I27" s="2657"/>
      <c r="J27" s="461">
        <f>SUMIF(90:90,I27,91:91)-SUMIF(90:90,C27,91:91)+100</f>
        <v>100</v>
      </c>
      <c r="K27" s="611"/>
      <c r="L27" s="1128"/>
      <c r="M27" s="1129"/>
      <c r="N27" s="1129"/>
      <c r="O27" s="1129"/>
      <c r="P27" s="3257"/>
      <c r="Q27" s="1789" t="str">
        <f t="shared" si="11"/>
        <v>人流量</v>
      </c>
      <c r="R27" s="769" t="s">
        <v>17</v>
      </c>
      <c r="S27" s="770">
        <f>F27</f>
        <v>100</v>
      </c>
      <c r="T27" s="769" t="s">
        <v>17</v>
      </c>
      <c r="U27" s="770">
        <f>H27</f>
        <v>100</v>
      </c>
      <c r="V27" s="769" t="s">
        <v>17</v>
      </c>
      <c r="W27" s="770">
        <f>J27</f>
        <v>100</v>
      </c>
      <c r="X27" s="771"/>
      <c r="Y27" s="3259"/>
      <c r="Z27" s="55" t="str">
        <f>Q27</f>
        <v>人流量</v>
      </c>
      <c r="AA27" s="1805">
        <f>D27/F27</f>
        <v>1</v>
      </c>
      <c r="AB27" s="1805">
        <f>D27/H27</f>
        <v>1</v>
      </c>
      <c r="AC27" s="1805">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57"/>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59"/>
      <c r="Z28" s="1808" t="str">
        <f t="shared" ref="Z28:Z46" si="15">Q28</f>
        <v>楼层</v>
      </c>
      <c r="AA28" s="1805">
        <f t="shared" si="3"/>
        <v>1</v>
      </c>
      <c r="AB28" s="1805">
        <f t="shared" si="4"/>
        <v>1</v>
      </c>
      <c r="AC28" s="1805">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57"/>
      <c r="Q29" s="1804">
        <f t="shared" si="11"/>
        <v>111</v>
      </c>
      <c r="R29" s="773" t="s">
        <v>17</v>
      </c>
      <c r="S29" s="774">
        <f t="shared" si="12"/>
        <v>100</v>
      </c>
      <c r="T29" s="773" t="s">
        <v>17</v>
      </c>
      <c r="U29" s="774">
        <f t="shared" si="13"/>
        <v>100</v>
      </c>
      <c r="V29" s="773" t="s">
        <v>17</v>
      </c>
      <c r="W29" s="774">
        <f t="shared" si="14"/>
        <v>100</v>
      </c>
      <c r="X29" s="1807"/>
      <c r="Y29" s="3259"/>
      <c r="Z29" s="1808">
        <f t="shared" si="15"/>
        <v>111</v>
      </c>
      <c r="AA29" s="1805">
        <f t="shared" si="3"/>
        <v>1</v>
      </c>
      <c r="AB29" s="1805">
        <f t="shared" si="4"/>
        <v>1</v>
      </c>
      <c r="AC29" s="1805">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57"/>
      <c r="Q30" s="1804">
        <f t="shared" si="11"/>
        <v>111</v>
      </c>
      <c r="R30" s="773" t="s">
        <v>17</v>
      </c>
      <c r="S30" s="774">
        <f t="shared" si="12"/>
        <v>100</v>
      </c>
      <c r="T30" s="773" t="s">
        <v>17</v>
      </c>
      <c r="U30" s="774">
        <f t="shared" si="13"/>
        <v>100</v>
      </c>
      <c r="V30" s="773" t="s">
        <v>17</v>
      </c>
      <c r="W30" s="774">
        <f t="shared" si="14"/>
        <v>100</v>
      </c>
      <c r="X30" s="1807"/>
      <c r="Y30" s="3259"/>
      <c r="Z30" s="1808">
        <f t="shared" si="15"/>
        <v>111</v>
      </c>
      <c r="AA30" s="1805">
        <f t="shared" si="3"/>
        <v>1</v>
      </c>
      <c r="AB30" s="1805">
        <f t="shared" si="4"/>
        <v>1</v>
      </c>
      <c r="AC30" s="1805">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57"/>
      <c r="Q31" s="1804">
        <f t="shared" si="11"/>
        <v>111</v>
      </c>
      <c r="R31" s="773" t="s">
        <v>17</v>
      </c>
      <c r="S31" s="774">
        <f t="shared" si="12"/>
        <v>100</v>
      </c>
      <c r="T31" s="773" t="s">
        <v>17</v>
      </c>
      <c r="U31" s="774">
        <f t="shared" si="13"/>
        <v>100</v>
      </c>
      <c r="V31" s="773" t="s">
        <v>17</v>
      </c>
      <c r="W31" s="774">
        <f t="shared" si="14"/>
        <v>100</v>
      </c>
      <c r="X31" s="1807"/>
      <c r="Y31" s="3259"/>
      <c r="Z31" s="1808">
        <f t="shared" si="15"/>
        <v>111</v>
      </c>
      <c r="AA31" s="1805">
        <f t="shared" si="3"/>
        <v>1</v>
      </c>
      <c r="AB31" s="1805">
        <f t="shared" si="4"/>
        <v>1</v>
      </c>
      <c r="AC31" s="1805">
        <f t="shared" si="5"/>
        <v>1</v>
      </c>
    </row>
    <row r="32" spans="1:29" ht="15">
      <c r="A32" s="439" t="s">
        <v>2558</v>
      </c>
      <c r="B32" s="71" t="s">
        <v>2655</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60" t="s">
        <v>2560</v>
      </c>
      <c r="Q32" s="1804" t="str">
        <f t="shared" si="11"/>
        <v>商业类型</v>
      </c>
      <c r="R32" s="773" t="s">
        <v>17</v>
      </c>
      <c r="S32" s="774">
        <f t="shared" si="12"/>
        <v>100</v>
      </c>
      <c r="T32" s="773" t="s">
        <v>17</v>
      </c>
      <c r="U32" s="774">
        <f t="shared" si="13"/>
        <v>100</v>
      </c>
      <c r="V32" s="773" t="s">
        <v>17</v>
      </c>
      <c r="W32" s="774">
        <f t="shared" si="14"/>
        <v>100</v>
      </c>
      <c r="X32" s="1807"/>
      <c r="Y32" s="3263" t="s">
        <v>2560</v>
      </c>
      <c r="Z32" s="1808" t="str">
        <f t="shared" si="15"/>
        <v>商业类型</v>
      </c>
      <c r="AA32" s="1805">
        <f t="shared" si="3"/>
        <v>1</v>
      </c>
      <c r="AB32" s="1805">
        <f t="shared" si="4"/>
        <v>1</v>
      </c>
      <c r="AC32" s="1805">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61"/>
      <c r="Q33" s="775" t="str">
        <f t="shared" si="11"/>
        <v>项目建筑规模</v>
      </c>
      <c r="R33" s="776" t="s">
        <v>17</v>
      </c>
      <c r="S33" s="777" t="e">
        <f t="shared" si="12"/>
        <v>#N/A</v>
      </c>
      <c r="T33" s="776" t="s">
        <v>17</v>
      </c>
      <c r="U33" s="777" t="e">
        <f t="shared" si="13"/>
        <v>#N/A</v>
      </c>
      <c r="V33" s="776" t="s">
        <v>17</v>
      </c>
      <c r="W33" s="777" t="e">
        <f t="shared" si="14"/>
        <v>#N/A</v>
      </c>
      <c r="X33" s="778"/>
      <c r="Y33" s="3263"/>
      <c r="Z33" s="779" t="str">
        <f t="shared" si="15"/>
        <v>项目建筑规模</v>
      </c>
      <c r="AA33" s="1805" t="e">
        <f t="shared" si="3"/>
        <v>#N/A</v>
      </c>
      <c r="AB33" s="1805" t="e">
        <f t="shared" si="4"/>
        <v>#N/A</v>
      </c>
      <c r="AC33" s="1805" t="e">
        <f t="shared" si="5"/>
        <v>#N/A</v>
      </c>
    </row>
    <row r="34" spans="1:29" ht="15">
      <c r="A34" s="471"/>
      <c r="B34" s="421" t="s">
        <v>2562</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61"/>
      <c r="Q34" s="1804" t="str">
        <f t="shared" si="11"/>
        <v>建筑结构</v>
      </c>
      <c r="R34" s="773" t="s">
        <v>17</v>
      </c>
      <c r="S34" s="774">
        <f t="shared" si="12"/>
        <v>100</v>
      </c>
      <c r="T34" s="773" t="s">
        <v>17</v>
      </c>
      <c r="U34" s="774">
        <f t="shared" si="13"/>
        <v>100</v>
      </c>
      <c r="V34" s="773" t="s">
        <v>17</v>
      </c>
      <c r="W34" s="774">
        <f t="shared" si="14"/>
        <v>100</v>
      </c>
      <c r="X34" s="1807"/>
      <c r="Y34" s="3263"/>
      <c r="Z34" s="1808" t="str">
        <f t="shared" si="15"/>
        <v>建筑结构</v>
      </c>
      <c r="AA34" s="1805">
        <f t="shared" si="3"/>
        <v>1</v>
      </c>
      <c r="AB34" s="1805">
        <f t="shared" si="4"/>
        <v>1</v>
      </c>
      <c r="AC34" s="1805">
        <f t="shared" si="5"/>
        <v>1</v>
      </c>
    </row>
    <row r="35" spans="1:29" ht="15">
      <c r="A35" s="471"/>
      <c r="B35" s="421" t="s">
        <v>2656</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61"/>
      <c r="Q35" s="1804" t="str">
        <f t="shared" si="11"/>
        <v>公共部分装修</v>
      </c>
      <c r="R35" s="773" t="s">
        <v>17</v>
      </c>
      <c r="S35" s="774">
        <f t="shared" si="12"/>
        <v>100</v>
      </c>
      <c r="T35" s="773" t="s">
        <v>17</v>
      </c>
      <c r="U35" s="774">
        <f t="shared" si="13"/>
        <v>100</v>
      </c>
      <c r="V35" s="773" t="s">
        <v>17</v>
      </c>
      <c r="W35" s="774">
        <f t="shared" si="14"/>
        <v>100</v>
      </c>
      <c r="X35" s="1807"/>
      <c r="Y35" s="3263"/>
      <c r="Z35" s="1808" t="str">
        <f t="shared" si="15"/>
        <v>公共部分装修</v>
      </c>
      <c r="AA35" s="1805">
        <f t="shared" si="3"/>
        <v>1</v>
      </c>
      <c r="AB35" s="1805">
        <f t="shared" si="4"/>
        <v>1</v>
      </c>
      <c r="AC35" s="1805">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61"/>
      <c r="Q36" s="1804" t="str">
        <f t="shared" si="11"/>
        <v>成新度</v>
      </c>
      <c r="R36" s="773" t="s">
        <v>17</v>
      </c>
      <c r="S36" s="774" t="e">
        <f t="shared" si="12"/>
        <v>#N/A</v>
      </c>
      <c r="T36" s="773" t="s">
        <v>17</v>
      </c>
      <c r="U36" s="774" t="e">
        <f t="shared" si="13"/>
        <v>#N/A</v>
      </c>
      <c r="V36" s="773" t="s">
        <v>17</v>
      </c>
      <c r="W36" s="774" t="e">
        <f t="shared" si="14"/>
        <v>#N/A</v>
      </c>
      <c r="X36" s="1807"/>
      <c r="Y36" s="3263"/>
      <c r="Z36" s="1808" t="str">
        <f t="shared" si="15"/>
        <v>成新度</v>
      </c>
      <c r="AA36" s="1805" t="e">
        <f t="shared" si="3"/>
        <v>#N/A</v>
      </c>
      <c r="AB36" s="1805" t="e">
        <f t="shared" si="4"/>
        <v>#N/A</v>
      </c>
      <c r="AC36" s="1805" t="e">
        <f t="shared" si="5"/>
        <v>#N/A</v>
      </c>
    </row>
    <row r="37" spans="1:29" s="116" customFormat="1" ht="15">
      <c r="A37" s="472"/>
      <c r="B37" s="421" t="s">
        <v>2658</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61"/>
      <c r="Q37" s="1789" t="str">
        <f t="shared" si="11"/>
        <v>市政基础设施</v>
      </c>
      <c r="R37" s="769" t="s">
        <v>17</v>
      </c>
      <c r="S37" s="770">
        <f t="shared" si="12"/>
        <v>100</v>
      </c>
      <c r="T37" s="769" t="s">
        <v>17</v>
      </c>
      <c r="U37" s="770">
        <f t="shared" si="13"/>
        <v>100</v>
      </c>
      <c r="V37" s="769" t="s">
        <v>17</v>
      </c>
      <c r="W37" s="770">
        <f t="shared" si="14"/>
        <v>100</v>
      </c>
      <c r="X37" s="771"/>
      <c r="Y37" s="3263"/>
      <c r="Z37" s="55" t="str">
        <f t="shared" si="15"/>
        <v>市政基础设施</v>
      </c>
      <c r="AA37" s="772">
        <f t="shared" si="3"/>
        <v>1</v>
      </c>
      <c r="AB37" s="772">
        <f t="shared" si="4"/>
        <v>1</v>
      </c>
      <c r="AC37" s="772">
        <f t="shared" si="5"/>
        <v>1</v>
      </c>
    </row>
    <row r="38" spans="1:29" ht="15">
      <c r="A38" s="471"/>
      <c r="B38" s="421" t="s">
        <v>2659</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61" t="s">
        <v>2560</v>
      </c>
      <c r="Q38" s="1804" t="str">
        <f t="shared" si="11"/>
        <v>业态</v>
      </c>
      <c r="R38" s="773" t="s">
        <v>17</v>
      </c>
      <c r="S38" s="774">
        <f t="shared" si="12"/>
        <v>100</v>
      </c>
      <c r="T38" s="773" t="s">
        <v>17</v>
      </c>
      <c r="U38" s="774">
        <f t="shared" si="13"/>
        <v>100</v>
      </c>
      <c r="V38" s="773" t="s">
        <v>17</v>
      </c>
      <c r="W38" s="774">
        <f t="shared" si="14"/>
        <v>100</v>
      </c>
      <c r="X38" s="1807"/>
      <c r="Y38" s="3263" t="s">
        <v>2560</v>
      </c>
      <c r="Z38" s="1808" t="str">
        <f t="shared" si="15"/>
        <v>业态</v>
      </c>
      <c r="AA38" s="1805">
        <f t="shared" si="3"/>
        <v>1</v>
      </c>
      <c r="AB38" s="1805">
        <f t="shared" si="4"/>
        <v>1</v>
      </c>
      <c r="AC38" s="1805">
        <f t="shared" si="5"/>
        <v>1</v>
      </c>
    </row>
    <row r="39" spans="1:29" ht="15">
      <c r="A39" s="471"/>
      <c r="B39" s="421" t="s">
        <v>2660</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61"/>
      <c r="Q39" s="1804" t="str">
        <f t="shared" si="11"/>
        <v>层高</v>
      </c>
      <c r="R39" s="773" t="s">
        <v>17</v>
      </c>
      <c r="S39" s="774">
        <f t="shared" si="12"/>
        <v>100</v>
      </c>
      <c r="T39" s="773" t="s">
        <v>17</v>
      </c>
      <c r="U39" s="774">
        <f t="shared" si="13"/>
        <v>100</v>
      </c>
      <c r="V39" s="773" t="s">
        <v>17</v>
      </c>
      <c r="W39" s="774">
        <f t="shared" si="14"/>
        <v>100</v>
      </c>
      <c r="X39" s="1807"/>
      <c r="Y39" s="3263"/>
      <c r="Z39" s="1808" t="str">
        <f t="shared" si="15"/>
        <v>层高</v>
      </c>
      <c r="AA39" s="1805">
        <f t="shared" si="3"/>
        <v>1</v>
      </c>
      <c r="AB39" s="1805">
        <f t="shared" si="4"/>
        <v>1</v>
      </c>
      <c r="AC39" s="1805">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61"/>
      <c r="Q40" s="1804" t="str">
        <f t="shared" si="11"/>
        <v>单套建筑面积</v>
      </c>
      <c r="R40" s="773" t="s">
        <v>17</v>
      </c>
      <c r="S40" s="774">
        <f t="shared" si="12"/>
        <v>100</v>
      </c>
      <c r="T40" s="773" t="s">
        <v>17</v>
      </c>
      <c r="U40" s="774">
        <f t="shared" si="13"/>
        <v>100</v>
      </c>
      <c r="V40" s="773" t="s">
        <v>17</v>
      </c>
      <c r="W40" s="774">
        <f t="shared" si="14"/>
        <v>100</v>
      </c>
      <c r="X40" s="1807"/>
      <c r="Y40" s="3263"/>
      <c r="Z40" s="1808" t="str">
        <f t="shared" si="15"/>
        <v>单套建筑面积</v>
      </c>
      <c r="AA40" s="1805">
        <f t="shared" si="3"/>
        <v>1</v>
      </c>
      <c r="AB40" s="1805">
        <f t="shared" si="4"/>
        <v>1</v>
      </c>
      <c r="AC40" s="1805">
        <f t="shared" si="5"/>
        <v>1</v>
      </c>
    </row>
    <row r="41" spans="1:29" s="470" customFormat="1" ht="15">
      <c r="A41" s="467"/>
      <c r="B41" s="1806"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61"/>
      <c r="Q41" s="775" t="str">
        <f t="shared" si="11"/>
        <v>进深比</v>
      </c>
      <c r="R41" s="776" t="s">
        <v>17</v>
      </c>
      <c r="S41" s="777">
        <f t="shared" si="12"/>
        <v>100</v>
      </c>
      <c r="T41" s="776" t="s">
        <v>17</v>
      </c>
      <c r="U41" s="777">
        <f t="shared" si="13"/>
        <v>100</v>
      </c>
      <c r="V41" s="776" t="s">
        <v>17</v>
      </c>
      <c r="W41" s="777">
        <f t="shared" si="14"/>
        <v>100</v>
      </c>
      <c r="X41" s="778"/>
      <c r="Y41" s="3263"/>
      <c r="Z41" s="779" t="str">
        <f t="shared" si="15"/>
        <v>进深比</v>
      </c>
      <c r="AA41" s="1805">
        <f t="shared" si="3"/>
        <v>1</v>
      </c>
      <c r="AB41" s="1805">
        <f t="shared" si="4"/>
        <v>1</v>
      </c>
      <c r="AC41" s="1805">
        <f t="shared" si="5"/>
        <v>1</v>
      </c>
    </row>
    <row r="42" spans="1:29" ht="15">
      <c r="A42" s="471"/>
      <c r="B42" s="421" t="s">
        <v>2663</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61"/>
      <c r="Q42" s="1804" t="str">
        <f t="shared" si="11"/>
        <v>内部装修</v>
      </c>
      <c r="R42" s="773" t="s">
        <v>17</v>
      </c>
      <c r="S42" s="774">
        <f t="shared" si="12"/>
        <v>100</v>
      </c>
      <c r="T42" s="773" t="s">
        <v>17</v>
      </c>
      <c r="U42" s="774">
        <f t="shared" si="13"/>
        <v>100</v>
      </c>
      <c r="V42" s="773" t="s">
        <v>17</v>
      </c>
      <c r="W42" s="774">
        <f t="shared" si="14"/>
        <v>100</v>
      </c>
      <c r="X42" s="1807"/>
      <c r="Y42" s="3263"/>
      <c r="Z42" s="1808" t="str">
        <f t="shared" si="15"/>
        <v>内部装修</v>
      </c>
      <c r="AA42" s="1805">
        <f t="shared" si="3"/>
        <v>1</v>
      </c>
      <c r="AB42" s="1805">
        <f t="shared" si="4"/>
        <v>1</v>
      </c>
      <c r="AC42" s="1805">
        <f t="shared" si="5"/>
        <v>1</v>
      </c>
    </row>
    <row r="43" spans="1:29" ht="15">
      <c r="A43" s="471"/>
      <c r="B43" s="421" t="s">
        <v>2571</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61"/>
      <c r="Q43" s="1804" t="str">
        <f t="shared" si="11"/>
        <v>内部装修维护情况</v>
      </c>
      <c r="R43" s="773" t="s">
        <v>17</v>
      </c>
      <c r="S43" s="774">
        <f t="shared" si="12"/>
        <v>100</v>
      </c>
      <c r="T43" s="773" t="s">
        <v>17</v>
      </c>
      <c r="U43" s="774">
        <f t="shared" si="13"/>
        <v>100</v>
      </c>
      <c r="V43" s="773" t="s">
        <v>17</v>
      </c>
      <c r="W43" s="774">
        <f t="shared" si="14"/>
        <v>100</v>
      </c>
      <c r="X43" s="1807"/>
      <c r="Y43" s="3263"/>
      <c r="Z43" s="1808" t="str">
        <f t="shared" si="15"/>
        <v>内部装修维护情况</v>
      </c>
      <c r="AA43" s="1805">
        <f t="shared" si="3"/>
        <v>1</v>
      </c>
      <c r="AB43" s="1805">
        <f t="shared" si="4"/>
        <v>1</v>
      </c>
      <c r="AC43" s="1805">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61"/>
      <c r="Q44" s="1789">
        <f t="shared" si="11"/>
        <v>111</v>
      </c>
      <c r="R44" s="769" t="s">
        <v>17</v>
      </c>
      <c r="S44" s="770">
        <f t="shared" si="12"/>
        <v>100</v>
      </c>
      <c r="T44" s="769" t="s">
        <v>17</v>
      </c>
      <c r="U44" s="770">
        <f t="shared" si="13"/>
        <v>100</v>
      </c>
      <c r="V44" s="769" t="s">
        <v>17</v>
      </c>
      <c r="W44" s="770">
        <f t="shared" si="14"/>
        <v>100</v>
      </c>
      <c r="X44" s="771"/>
      <c r="Y44" s="3263"/>
      <c r="Z44" s="55">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61"/>
      <c r="Q45" s="1804">
        <f t="shared" si="11"/>
        <v>111</v>
      </c>
      <c r="R45" s="773" t="s">
        <v>17</v>
      </c>
      <c r="S45" s="774">
        <f t="shared" si="12"/>
        <v>100</v>
      </c>
      <c r="T45" s="773" t="s">
        <v>17</v>
      </c>
      <c r="U45" s="774">
        <f t="shared" si="13"/>
        <v>100</v>
      </c>
      <c r="V45" s="773" t="s">
        <v>17</v>
      </c>
      <c r="W45" s="774">
        <f t="shared" si="14"/>
        <v>100</v>
      </c>
      <c r="X45" s="1807"/>
      <c r="Y45" s="3263"/>
      <c r="Z45" s="1808">
        <f t="shared" si="15"/>
        <v>111</v>
      </c>
      <c r="AA45" s="1805">
        <f t="shared" si="3"/>
        <v>1</v>
      </c>
      <c r="AB45" s="1805">
        <f t="shared" si="4"/>
        <v>1</v>
      </c>
      <c r="AC45" s="1805">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62"/>
      <c r="Q46" s="1804">
        <f t="shared" si="11"/>
        <v>111</v>
      </c>
      <c r="R46" s="773" t="s">
        <v>17</v>
      </c>
      <c r="S46" s="774">
        <f t="shared" si="12"/>
        <v>100</v>
      </c>
      <c r="T46" s="773" t="s">
        <v>17</v>
      </c>
      <c r="U46" s="774">
        <f t="shared" si="13"/>
        <v>100</v>
      </c>
      <c r="V46" s="773" t="s">
        <v>17</v>
      </c>
      <c r="W46" s="774">
        <f t="shared" si="14"/>
        <v>100</v>
      </c>
      <c r="X46" s="1807"/>
      <c r="Y46" s="3264"/>
      <c r="Z46" s="1808">
        <f t="shared" si="15"/>
        <v>111</v>
      </c>
      <c r="AA46" s="1805">
        <f t="shared" si="3"/>
        <v>1</v>
      </c>
      <c r="AB46" s="1805">
        <f t="shared" si="4"/>
        <v>1</v>
      </c>
      <c r="AC46" s="1805">
        <f t="shared" si="5"/>
        <v>1</v>
      </c>
    </row>
    <row r="47" spans="1:29" ht="15">
      <c r="A47" s="478" t="s">
        <v>2572</v>
      </c>
      <c r="B47" s="479"/>
      <c r="C47" s="1402" t="s">
        <v>1</v>
      </c>
      <c r="D47" s="1403"/>
      <c r="E47" s="1404"/>
      <c r="F47" s="1405"/>
      <c r="G47" s="1406"/>
      <c r="H47" s="1407"/>
      <c r="I47" s="1404"/>
      <c r="J47" s="1407"/>
      <c r="K47" s="782"/>
      <c r="L47" s="1139"/>
      <c r="M47" s="1140"/>
      <c r="N47" s="1127"/>
      <c r="O47" s="1140"/>
      <c r="P47" s="3265" t="str">
        <f>A47</f>
        <v>成交单价（元/平方米）</v>
      </c>
      <c r="Q47" s="3265"/>
      <c r="R47" s="3251">
        <f>E47</f>
        <v>0</v>
      </c>
      <c r="S47" s="3251"/>
      <c r="T47" s="3251">
        <f>G47</f>
        <v>0</v>
      </c>
      <c r="U47" s="3251"/>
      <c r="V47" s="3251">
        <f>I47</f>
        <v>0</v>
      </c>
      <c r="W47" s="3251"/>
      <c r="X47" s="758"/>
      <c r="Y47" s="780"/>
      <c r="Z47" s="758"/>
      <c r="AA47" s="758"/>
      <c r="AB47" s="758"/>
      <c r="AC47" s="758"/>
    </row>
    <row r="48" spans="1:29" ht="15.75" thickBot="1">
      <c r="A48" s="485" t="s">
        <v>2664</v>
      </c>
      <c r="B48" s="486"/>
      <c r="C48" s="1408" t="e">
        <f>R49</f>
        <v>#DIV/0!</v>
      </c>
      <c r="D48" s="1409"/>
      <c r="E48" s="1410" t="e">
        <f>R48</f>
        <v>#DIV/0!</v>
      </c>
      <c r="F48" s="1410"/>
      <c r="G48" s="1408" t="e">
        <f>T48</f>
        <v>#DIV/0!</v>
      </c>
      <c r="H48" s="1409"/>
      <c r="I48" s="1410" t="e">
        <f>V48</f>
        <v>#DIV/0!</v>
      </c>
      <c r="J48" s="1409"/>
      <c r="K48" s="783"/>
      <c r="L48" s="1139"/>
      <c r="M48" s="1140"/>
      <c r="N48" s="1127"/>
      <c r="O48" s="1140"/>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8"/>
      <c r="Y48" s="758"/>
      <c r="Z48" s="758"/>
      <c r="AA48" s="758"/>
      <c r="AB48" s="758"/>
      <c r="AC48" s="758"/>
    </row>
    <row r="49" spans="1:29" ht="15.75" thickBot="1">
      <c r="A49" s="491" t="s">
        <v>2665</v>
      </c>
      <c r="B49" s="492"/>
      <c r="C49" s="1412" t="e">
        <f>R49</f>
        <v>#DIV/0!</v>
      </c>
      <c r="D49" s="1412"/>
      <c r="E49" s="1412"/>
      <c r="F49" s="1412"/>
      <c r="G49" s="1412"/>
      <c r="H49" s="1412"/>
      <c r="I49" s="1412"/>
      <c r="J49" s="1412"/>
      <c r="K49" s="784"/>
      <c r="L49" s="1139"/>
      <c r="M49" s="1140"/>
      <c r="N49" s="1127"/>
      <c r="O49" s="1140"/>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8"/>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8"/>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57"/>
      <c r="M57" s="1155"/>
      <c r="N57" s="1155"/>
      <c r="O57" s="1155"/>
      <c r="P57" s="2659"/>
      <c r="Q57" s="2660"/>
      <c r="R57" s="758"/>
      <c r="S57" s="758"/>
      <c r="T57" s="758"/>
      <c r="U57" s="758"/>
      <c r="V57" s="758"/>
      <c r="W57" s="758"/>
      <c r="X57" s="758"/>
      <c r="Y57" s="758"/>
      <c r="Z57" s="758"/>
      <c r="AA57" s="758"/>
      <c r="AB57" s="758"/>
      <c r="AC57" s="758"/>
    </row>
    <row r="58" spans="1:29" s="507" customFormat="1" ht="15">
      <c r="A58" s="504" t="s">
        <v>2543</v>
      </c>
      <c r="B58" s="505"/>
      <c r="C58" s="1568" t="str">
        <f>YEAR(C7)&amp;"-"&amp;MONTH(C7)</f>
        <v>2019-6</v>
      </c>
      <c r="D58" s="1569">
        <f>EDATE(C58,-1)</f>
        <v>43586</v>
      </c>
      <c r="E58" s="1569">
        <f t="shared" ref="E58:N58" si="16">EDATE(D58,-1)</f>
        <v>43556</v>
      </c>
      <c r="F58" s="1569">
        <f t="shared" si="16"/>
        <v>43525</v>
      </c>
      <c r="G58" s="1569">
        <f t="shared" si="16"/>
        <v>43497</v>
      </c>
      <c r="H58" s="1569">
        <f t="shared" si="16"/>
        <v>43466</v>
      </c>
      <c r="I58" s="1569">
        <f t="shared" si="16"/>
        <v>43435</v>
      </c>
      <c r="J58" s="1569">
        <f t="shared" si="16"/>
        <v>43405</v>
      </c>
      <c r="K58" s="1569">
        <f t="shared" si="16"/>
        <v>43374</v>
      </c>
      <c r="L58" s="1569">
        <f t="shared" si="16"/>
        <v>43344</v>
      </c>
      <c r="M58" s="1569">
        <f t="shared" si="16"/>
        <v>43313</v>
      </c>
      <c r="N58" s="1569">
        <f t="shared" si="16"/>
        <v>43282</v>
      </c>
      <c r="O58" s="1569">
        <f>EDATE(N58,-1)</f>
        <v>43252</v>
      </c>
      <c r="P58" s="1564"/>
    </row>
    <row r="59" spans="1:29" s="116" customFormat="1" ht="15">
      <c r="A59" s="508"/>
      <c r="B59" s="509"/>
      <c r="C59" s="1567">
        <v>100</v>
      </c>
      <c r="D59" s="511"/>
      <c r="E59" s="511"/>
      <c r="F59" s="511"/>
      <c r="G59" s="511"/>
      <c r="H59" s="511"/>
      <c r="I59" s="511"/>
      <c r="J59" s="511"/>
      <c r="K59" s="511"/>
      <c r="L59" s="511"/>
      <c r="M59" s="512"/>
      <c r="N59" s="511"/>
      <c r="O59" s="512"/>
      <c r="P59" s="2620"/>
    </row>
    <row r="60" spans="1:29" s="116" customFormat="1" ht="15.75" thickBot="1">
      <c r="A60" s="514" t="s">
        <v>2580</v>
      </c>
      <c r="B60" s="515"/>
      <c r="C60" s="516"/>
      <c r="D60" s="517"/>
      <c r="E60" s="517"/>
      <c r="F60" s="517"/>
      <c r="G60" s="517"/>
      <c r="H60" s="517"/>
      <c r="I60" s="517"/>
      <c r="J60" s="517"/>
      <c r="K60" s="517"/>
      <c r="L60" s="517"/>
      <c r="M60" s="518"/>
      <c r="N60" s="517"/>
      <c r="O60" s="518"/>
      <c r="P60" s="2620"/>
      <c r="Q60" s="503"/>
    </row>
    <row r="61" spans="1:29" s="116" customFormat="1" ht="15">
      <c r="A61" s="520" t="s">
        <v>2545</v>
      </c>
      <c r="B61" s="509"/>
      <c r="C61" s="521" t="s">
        <v>2647</v>
      </c>
      <c r="D61" s="522"/>
      <c r="E61" s="522"/>
      <c r="F61" s="522"/>
      <c r="G61" s="522"/>
      <c r="H61" s="522"/>
      <c r="I61" s="522"/>
      <c r="J61" s="522"/>
      <c r="K61" s="522"/>
      <c r="L61" s="523"/>
      <c r="M61" s="524"/>
      <c r="N61" s="1147"/>
      <c r="O61" s="1147"/>
      <c r="P61" s="2621"/>
      <c r="Q61" s="503"/>
    </row>
    <row r="62" spans="1:29" s="116" customFormat="1" ht="15.75" thickBot="1">
      <c r="A62" s="520"/>
      <c r="B62" s="509"/>
      <c r="C62" s="510">
        <v>100</v>
      </c>
      <c r="D62" s="511"/>
      <c r="E62" s="511"/>
      <c r="F62" s="511"/>
      <c r="G62" s="511"/>
      <c r="H62" s="511"/>
      <c r="I62" s="511"/>
      <c r="J62" s="511"/>
      <c r="K62" s="511"/>
      <c r="L62" s="511"/>
      <c r="M62" s="513"/>
      <c r="N62" s="1147"/>
      <c r="O62" s="1147"/>
      <c r="P62" s="2620"/>
      <c r="Q62" s="503"/>
    </row>
    <row r="63" spans="1:29">
      <c r="A63" s="526" t="s">
        <v>2583</v>
      </c>
      <c r="B63" s="527" t="s">
        <v>2549</v>
      </c>
      <c r="C63" s="528">
        <f>C9</f>
        <v>0</v>
      </c>
      <c r="D63" s="529"/>
      <c r="E63" s="529"/>
      <c r="F63" s="529"/>
      <c r="G63" s="529"/>
      <c r="H63" s="529"/>
      <c r="I63" s="529"/>
      <c r="J63" s="529"/>
      <c r="K63" s="530"/>
      <c r="L63" s="531"/>
      <c r="M63" s="532"/>
      <c r="N63" s="1148"/>
      <c r="O63" s="1148"/>
      <c r="P63" s="2622"/>
      <c r="Q63" s="503"/>
    </row>
    <row r="64" spans="1:29" ht="15.75" thickBot="1">
      <c r="A64" s="533"/>
      <c r="B64" s="534"/>
      <c r="C64" s="535">
        <v>100</v>
      </c>
      <c r="D64" s="535"/>
      <c r="E64" s="535"/>
      <c r="F64" s="535"/>
      <c r="G64" s="535"/>
      <c r="H64" s="535"/>
      <c r="I64" s="535"/>
      <c r="J64" s="535"/>
      <c r="K64" s="535"/>
      <c r="L64" s="535"/>
      <c r="M64" s="536"/>
      <c r="N64" s="1149"/>
      <c r="O64" s="1149"/>
      <c r="P64" s="2622"/>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8"/>
      <c r="O65" s="1148"/>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2"/>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2"/>
      <c r="Q67" s="503"/>
    </row>
    <row r="68" spans="1:17" ht="15">
      <c r="A68" s="533"/>
      <c r="B68" s="547"/>
      <c r="C68" s="548"/>
      <c r="D68" s="548"/>
      <c r="E68" s="548"/>
      <c r="F68" s="548"/>
      <c r="G68" s="548"/>
      <c r="H68" s="548"/>
      <c r="I68" s="548"/>
      <c r="J68" s="548"/>
      <c r="K68" s="549"/>
      <c r="L68" s="550"/>
      <c r="M68" s="551"/>
      <c r="N68" s="1148"/>
      <c r="O68" s="1148"/>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2"/>
      <c r="Q69" s="503"/>
    </row>
    <row r="70" spans="1:17" s="470" customFormat="1" ht="15.75" thickTop="1">
      <c r="A70" s="552"/>
      <c r="B70" s="537">
        <f>B12</f>
        <v>111</v>
      </c>
      <c r="C70" s="553"/>
      <c r="D70" s="553"/>
      <c r="E70" s="553"/>
      <c r="F70" s="553"/>
      <c r="G70" s="553"/>
      <c r="H70" s="554"/>
      <c r="I70" s="554"/>
      <c r="J70" s="554"/>
      <c r="K70" s="554"/>
      <c r="L70" s="555"/>
      <c r="M70" s="556"/>
      <c r="N70" s="1150"/>
      <c r="O70" s="1150"/>
      <c r="P70" s="2623"/>
      <c r="Q70" s="558"/>
    </row>
    <row r="71" spans="1:17" s="470" customFormat="1" ht="15.75" thickBot="1">
      <c r="A71" s="552"/>
      <c r="B71" s="542"/>
      <c r="C71" s="559"/>
      <c r="D71" s="535"/>
      <c r="E71" s="535"/>
      <c r="F71" s="535"/>
      <c r="G71" s="535"/>
      <c r="H71" s="535"/>
      <c r="I71" s="535"/>
      <c r="J71" s="535"/>
      <c r="K71" s="535"/>
      <c r="L71" s="535"/>
      <c r="M71" s="536"/>
      <c r="N71" s="1149"/>
      <c r="O71" s="1149"/>
      <c r="P71" s="2623"/>
      <c r="Q71" s="558"/>
    </row>
    <row r="72" spans="1:17" s="470" customFormat="1" ht="15.75" thickTop="1">
      <c r="A72" s="552"/>
      <c r="B72" s="537">
        <f>B13</f>
        <v>111</v>
      </c>
      <c r="C72" s="553"/>
      <c r="D72" s="553"/>
      <c r="E72" s="553"/>
      <c r="F72" s="553"/>
      <c r="G72" s="553"/>
      <c r="H72" s="554"/>
      <c r="I72" s="554"/>
      <c r="J72" s="554"/>
      <c r="K72" s="554"/>
      <c r="L72" s="555"/>
      <c r="M72" s="556"/>
      <c r="N72" s="1150"/>
      <c r="O72" s="1150"/>
      <c r="P72" s="2624"/>
      <c r="Q72" s="560"/>
    </row>
    <row r="73" spans="1:17" s="470" customFormat="1" ht="15.75" thickBot="1">
      <c r="A73" s="552"/>
      <c r="B73" s="542"/>
      <c r="C73" s="559"/>
      <c r="D73" s="535"/>
      <c r="E73" s="535"/>
      <c r="F73" s="535"/>
      <c r="G73" s="559"/>
      <c r="H73" s="561"/>
      <c r="I73" s="561"/>
      <c r="J73" s="561"/>
      <c r="K73" s="561"/>
      <c r="L73" s="561"/>
      <c r="M73" s="562"/>
      <c r="N73" s="1150"/>
      <c r="O73" s="1150"/>
      <c r="P73" s="2623"/>
      <c r="Q73" s="558"/>
    </row>
    <row r="74" spans="1:17" s="470" customFormat="1" ht="15.75" thickTop="1">
      <c r="A74" s="552"/>
      <c r="B74" s="545">
        <f>B14</f>
        <v>111</v>
      </c>
      <c r="C74" s="553"/>
      <c r="D74" s="553"/>
      <c r="E74" s="553"/>
      <c r="F74" s="553"/>
      <c r="G74" s="522"/>
      <c r="H74" s="563"/>
      <c r="I74" s="563"/>
      <c r="J74" s="563"/>
      <c r="K74" s="563"/>
      <c r="L74" s="564"/>
      <c r="M74" s="565"/>
      <c r="N74" s="1150"/>
      <c r="O74" s="1150"/>
      <c r="P74" s="2625"/>
      <c r="Q74" s="558"/>
    </row>
    <row r="75" spans="1:17" s="470" customFormat="1" ht="15.75" thickBot="1">
      <c r="A75" s="567"/>
      <c r="B75" s="568"/>
      <c r="C75" s="569"/>
      <c r="D75" s="569"/>
      <c r="E75" s="569"/>
      <c r="F75" s="569"/>
      <c r="G75" s="569"/>
      <c r="H75" s="570"/>
      <c r="I75" s="570"/>
      <c r="J75" s="570"/>
      <c r="K75" s="570"/>
      <c r="L75" s="570"/>
      <c r="M75" s="571"/>
      <c r="N75" s="1150"/>
      <c r="O75" s="1150"/>
      <c r="P75" s="2623"/>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8"/>
      <c r="O76" s="1148"/>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2"/>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8"/>
      <c r="O78" s="1148"/>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2"/>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8"/>
      <c r="O80" s="1148"/>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2"/>
      <c r="Q81" s="503"/>
    </row>
    <row r="82" spans="1:17" ht="15.75" thickTop="1">
      <c r="A82" s="533"/>
      <c r="B82" s="545" t="s">
        <v>2650</v>
      </c>
      <c r="C82" s="659" t="s">
        <v>2670</v>
      </c>
      <c r="D82" s="659" t="s">
        <v>2671</v>
      </c>
      <c r="E82" s="659" t="s">
        <v>2672</v>
      </c>
      <c r="F82" s="659" t="s">
        <v>2673</v>
      </c>
      <c r="G82" s="659" t="s">
        <v>2674</v>
      </c>
      <c r="H82" s="538"/>
      <c r="I82" s="538"/>
      <c r="J82" s="538"/>
      <c r="K82" s="538"/>
      <c r="L82" s="538"/>
      <c r="M82" s="1378"/>
      <c r="N82" s="1149"/>
      <c r="O82" s="1149"/>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2"/>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8"/>
      <c r="O84" s="1148"/>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2"/>
      <c r="Q85" s="503"/>
    </row>
    <row r="86" spans="1:17" s="116" customFormat="1" ht="15.75" thickTop="1">
      <c r="A86" s="578"/>
      <c r="B86" s="537" t="s">
        <v>2675</v>
      </c>
      <c r="C86" s="553"/>
      <c r="D86" s="553"/>
      <c r="E86" s="553"/>
      <c r="F86" s="553"/>
      <c r="G86" s="553"/>
      <c r="H86" s="553"/>
      <c r="I86" s="553"/>
      <c r="J86" s="553"/>
      <c r="K86" s="553"/>
      <c r="L86" s="579"/>
      <c r="M86" s="580"/>
      <c r="N86" s="1147"/>
      <c r="O86" s="1147"/>
      <c r="P86" s="262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2"/>
      <c r="Q87" s="503"/>
    </row>
    <row r="88" spans="1:17" s="116" customFormat="1" ht="15.75" thickTop="1">
      <c r="A88" s="578"/>
      <c r="B88" s="537" t="str">
        <f>B26</f>
        <v>平面位置/可视性</v>
      </c>
      <c r="C88" s="553"/>
      <c r="D88" s="553"/>
      <c r="E88" s="553"/>
      <c r="F88" s="2627"/>
      <c r="G88" s="553"/>
      <c r="H88" s="553"/>
      <c r="I88" s="553"/>
      <c r="J88" s="553"/>
      <c r="K88" s="553"/>
      <c r="L88" s="553"/>
      <c r="M88" s="580"/>
      <c r="N88" s="1147"/>
      <c r="O88" s="1147"/>
      <c r="P88" s="2622"/>
      <c r="Q88" s="503"/>
    </row>
    <row r="89" spans="1:17" s="116" customFormat="1" ht="15.75" thickBot="1">
      <c r="A89" s="578"/>
      <c r="B89" s="542"/>
      <c r="C89" s="559"/>
      <c r="D89" s="535"/>
      <c r="E89" s="535"/>
      <c r="F89" s="535"/>
      <c r="G89" s="535"/>
      <c r="H89" s="535"/>
      <c r="I89" s="535"/>
      <c r="J89" s="535"/>
      <c r="K89" s="535"/>
      <c r="L89" s="535"/>
      <c r="M89" s="535"/>
      <c r="N89" s="1149"/>
      <c r="O89" s="1149"/>
      <c r="P89" s="2622"/>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3"/>
      <c r="Q91" s="558"/>
    </row>
    <row r="92" spans="1:17" ht="15.75" thickTop="1">
      <c r="A92" s="533"/>
      <c r="B92" s="537" t="str">
        <f>B28</f>
        <v>楼层</v>
      </c>
      <c r="C92" s="553"/>
      <c r="D92" s="553"/>
      <c r="E92" s="553"/>
      <c r="F92" s="553"/>
      <c r="G92" s="553"/>
      <c r="H92" s="553"/>
      <c r="I92" s="553"/>
      <c r="J92" s="553"/>
      <c r="K92" s="553"/>
      <c r="L92" s="579"/>
      <c r="M92" s="580"/>
      <c r="N92" s="1148"/>
      <c r="O92" s="1148"/>
      <c r="P92" s="2622"/>
      <c r="Q92" s="503"/>
    </row>
    <row r="93" spans="1:17" ht="15.75" thickBot="1">
      <c r="A93" s="533"/>
      <c r="B93" s="542"/>
      <c r="C93" s="535"/>
      <c r="D93" s="535"/>
      <c r="E93" s="535"/>
      <c r="F93" s="535"/>
      <c r="G93" s="535"/>
      <c r="H93" s="535"/>
      <c r="I93" s="535"/>
      <c r="J93" s="535"/>
      <c r="K93" s="535"/>
      <c r="L93" s="535"/>
      <c r="M93" s="536"/>
      <c r="N93" s="1149"/>
      <c r="O93" s="1149"/>
      <c r="P93" s="2622"/>
      <c r="Q93" s="503"/>
    </row>
    <row r="94" spans="1:17" ht="15.75" thickTop="1">
      <c r="A94" s="533"/>
      <c r="B94" s="537">
        <f>B29</f>
        <v>111</v>
      </c>
      <c r="C94" s="553"/>
      <c r="D94" s="553"/>
      <c r="E94" s="553"/>
      <c r="F94" s="553"/>
      <c r="G94" s="582"/>
      <c r="H94" s="582"/>
      <c r="I94" s="582"/>
      <c r="J94" s="582"/>
      <c r="K94" s="583"/>
      <c r="L94" s="584"/>
      <c r="M94" s="585"/>
      <c r="N94" s="1148"/>
      <c r="O94" s="1148"/>
      <c r="P94" s="2622"/>
      <c r="Q94" s="503"/>
    </row>
    <row r="95" spans="1:17" ht="15.75" thickBot="1">
      <c r="A95" s="533"/>
      <c r="B95" s="542"/>
      <c r="C95" s="559"/>
      <c r="D95" s="535"/>
      <c r="E95" s="535"/>
      <c r="F95" s="535"/>
      <c r="G95" s="535"/>
      <c r="H95" s="535"/>
      <c r="I95" s="535"/>
      <c r="J95" s="535"/>
      <c r="K95" s="535"/>
      <c r="L95" s="535"/>
      <c r="M95" s="536"/>
      <c r="N95" s="1149"/>
      <c r="O95" s="1149"/>
      <c r="P95" s="2622"/>
      <c r="Q95" s="503"/>
    </row>
    <row r="96" spans="1:17" ht="15.75" thickTop="1">
      <c r="A96" s="533"/>
      <c r="B96" s="537">
        <f>B30</f>
        <v>111</v>
      </c>
      <c r="C96" s="553"/>
      <c r="D96" s="553"/>
      <c r="E96" s="553"/>
      <c r="F96" s="553"/>
      <c r="G96" s="582"/>
      <c r="H96" s="582"/>
      <c r="I96" s="582"/>
      <c r="J96" s="582"/>
      <c r="K96" s="583"/>
      <c r="L96" s="584"/>
      <c r="M96" s="585"/>
      <c r="N96" s="1148"/>
      <c r="O96" s="1148"/>
      <c r="P96" s="2622"/>
      <c r="Q96" s="503"/>
    </row>
    <row r="97" spans="1:17" ht="15.75" thickBot="1">
      <c r="A97" s="533"/>
      <c r="B97" s="542"/>
      <c r="C97" s="559"/>
      <c r="D97" s="535"/>
      <c r="E97" s="535"/>
      <c r="F97" s="535"/>
      <c r="G97" s="535"/>
      <c r="H97" s="535"/>
      <c r="I97" s="535"/>
      <c r="J97" s="535"/>
      <c r="K97" s="535"/>
      <c r="L97" s="535"/>
      <c r="M97" s="536"/>
      <c r="N97" s="1149"/>
      <c r="O97" s="1149"/>
      <c r="P97" s="2622"/>
      <c r="Q97" s="503"/>
    </row>
    <row r="98" spans="1:17" ht="15.75" thickTop="1">
      <c r="A98" s="533"/>
      <c r="B98" s="545">
        <f>B31</f>
        <v>111</v>
      </c>
      <c r="C98" s="553"/>
      <c r="D98" s="553"/>
      <c r="E98" s="553"/>
      <c r="F98" s="553"/>
      <c r="G98" s="586"/>
      <c r="H98" s="586"/>
      <c r="I98" s="586"/>
      <c r="J98" s="586"/>
      <c r="K98" s="587"/>
      <c r="L98" s="588"/>
      <c r="M98" s="589"/>
      <c r="N98" s="1148"/>
      <c r="O98" s="1148"/>
      <c r="P98" s="2622"/>
      <c r="Q98" s="503"/>
    </row>
    <row r="99" spans="1:17" ht="15.75" thickBot="1">
      <c r="A99" s="2628"/>
      <c r="B99" s="568"/>
      <c r="C99" s="569"/>
      <c r="D99" s="569"/>
      <c r="E99" s="569"/>
      <c r="F99" s="569"/>
      <c r="G99" s="590"/>
      <c r="H99" s="590"/>
      <c r="I99" s="590"/>
      <c r="J99" s="590"/>
      <c r="K99" s="590"/>
      <c r="L99" s="590"/>
      <c r="M99" s="591"/>
      <c r="N99" s="1149"/>
      <c r="O99" s="1149"/>
      <c r="P99" s="2622"/>
      <c r="Q99" s="503"/>
    </row>
    <row r="100" spans="1:17">
      <c r="A100" s="526" t="s">
        <v>2558</v>
      </c>
      <c r="B100" s="527" t="s">
        <v>2676</v>
      </c>
      <c r="C100" s="529"/>
      <c r="D100" s="529"/>
      <c r="E100" s="529"/>
      <c r="F100" s="529"/>
      <c r="G100" s="529"/>
      <c r="H100" s="529"/>
      <c r="I100" s="529"/>
      <c r="J100" s="529"/>
      <c r="K100" s="530"/>
      <c r="L100" s="531"/>
      <c r="M100" s="532"/>
      <c r="N100" s="1148"/>
      <c r="O100" s="1148"/>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2"/>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2"/>
      <c r="Q102" s="503"/>
    </row>
    <row r="103" spans="1:17" s="470" customFormat="1">
      <c r="A103" s="592"/>
      <c r="B103" s="593"/>
      <c r="C103" s="594"/>
      <c r="D103" s="594"/>
      <c r="E103" s="594"/>
      <c r="F103" s="594"/>
      <c r="G103" s="594"/>
      <c r="H103" s="594"/>
      <c r="I103" s="594"/>
      <c r="J103" s="595"/>
      <c r="K103" s="595"/>
      <c r="L103" s="596"/>
      <c r="M103" s="597"/>
      <c r="N103" s="1150"/>
      <c r="O103" s="1150"/>
      <c r="P103" s="2623"/>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3"/>
      <c r="Q104" s="558"/>
    </row>
    <row r="105" spans="1:17" ht="15" thickTop="1">
      <c r="A105" s="598"/>
      <c r="B105" s="537" t="s">
        <v>2609</v>
      </c>
      <c r="C105" s="553"/>
      <c r="D105" s="553"/>
      <c r="E105" s="582"/>
      <c r="F105" s="582"/>
      <c r="G105" s="582"/>
      <c r="H105" s="582"/>
      <c r="I105" s="582"/>
      <c r="J105" s="582"/>
      <c r="K105" s="583"/>
      <c r="L105" s="584"/>
      <c r="M105" s="585"/>
      <c r="N105" s="1148"/>
      <c r="O105" s="1148"/>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2"/>
      <c r="Q106" s="503"/>
    </row>
    <row r="107" spans="1:17" ht="15" thickTop="1">
      <c r="A107" s="598"/>
      <c r="B107" s="537" t="s">
        <v>2611</v>
      </c>
      <c r="C107" s="553"/>
      <c r="D107" s="553"/>
      <c r="E107" s="553"/>
      <c r="F107" s="582"/>
      <c r="G107" s="582"/>
      <c r="H107" s="582"/>
      <c r="I107" s="582"/>
      <c r="J107" s="582"/>
      <c r="K107" s="583"/>
      <c r="L107" s="584"/>
      <c r="M107" s="585"/>
      <c r="N107" s="1148"/>
      <c r="O107" s="1148"/>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2"/>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2"/>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2"/>
      <c r="Q111" s="503"/>
    </row>
    <row r="112" spans="1:17" s="470" customFormat="1" ht="15" thickTop="1">
      <c r="A112" s="592"/>
      <c r="B112" s="537" t="s">
        <v>2613</v>
      </c>
      <c r="C112" s="553"/>
      <c r="D112" s="553"/>
      <c r="E112" s="553"/>
      <c r="F112" s="553"/>
      <c r="G112" s="553"/>
      <c r="H112" s="582"/>
      <c r="I112" s="582"/>
      <c r="J112" s="582"/>
      <c r="K112" s="583"/>
      <c r="L112" s="584"/>
      <c r="M112" s="585"/>
      <c r="N112" s="1150"/>
      <c r="O112" s="1150"/>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3"/>
      <c r="Q113" s="558"/>
    </row>
    <row r="114" spans="1:17" ht="15" thickTop="1">
      <c r="A114" s="598"/>
      <c r="B114" s="537" t="s">
        <v>2677</v>
      </c>
      <c r="C114" s="553"/>
      <c r="D114" s="553"/>
      <c r="E114" s="582"/>
      <c r="F114" s="582"/>
      <c r="G114" s="582"/>
      <c r="H114" s="582"/>
      <c r="I114" s="582"/>
      <c r="J114" s="582"/>
      <c r="K114" s="583"/>
      <c r="L114" s="584"/>
      <c r="M114" s="585"/>
      <c r="N114" s="1148"/>
      <c r="O114" s="1148"/>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2"/>
      <c r="Q115" s="503"/>
    </row>
    <row r="116" spans="1:17" ht="15" thickTop="1">
      <c r="A116" s="598"/>
      <c r="B116" s="537" t="s">
        <v>2678</v>
      </c>
      <c r="C116" s="553"/>
      <c r="D116" s="553"/>
      <c r="E116" s="553"/>
      <c r="F116" s="553"/>
      <c r="G116" s="553"/>
      <c r="H116" s="582"/>
      <c r="I116" s="582"/>
      <c r="J116" s="582"/>
      <c r="K116" s="583"/>
      <c r="L116" s="584"/>
      <c r="M116" s="585"/>
      <c r="N116" s="1148"/>
      <c r="O116" s="1148"/>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2"/>
      <c r="Q117" s="503"/>
    </row>
    <row r="118" spans="1:17" ht="15" thickTop="1">
      <c r="A118" s="598"/>
      <c r="B118" s="537" t="s">
        <v>2679</v>
      </c>
      <c r="C118" s="626"/>
      <c r="D118" s="626"/>
      <c r="E118" s="626"/>
      <c r="F118" s="626"/>
      <c r="G118" s="626"/>
      <c r="H118" s="554"/>
      <c r="I118" s="554"/>
      <c r="J118" s="554"/>
      <c r="K118" s="554"/>
      <c r="L118" s="555"/>
      <c r="M118" s="556"/>
      <c r="N118" s="1148"/>
      <c r="O118" s="1148"/>
      <c r="P118" s="2622"/>
      <c r="Q118" s="503"/>
    </row>
    <row r="119" spans="1:17" ht="15.75" thickBot="1">
      <c r="A119" s="533"/>
      <c r="B119" s="542"/>
      <c r="C119" s="559"/>
      <c r="D119" s="535"/>
      <c r="E119" s="535"/>
      <c r="F119" s="535"/>
      <c r="G119" s="535"/>
      <c r="H119" s="535"/>
      <c r="I119" s="535"/>
      <c r="J119" s="535"/>
      <c r="K119" s="535"/>
      <c r="L119" s="535"/>
      <c r="M119" s="536"/>
      <c r="N119" s="1149"/>
      <c r="O119" s="1149"/>
      <c r="P119" s="2622"/>
      <c r="Q119" s="503"/>
    </row>
    <row r="120" spans="1:17" s="470" customFormat="1" ht="15" thickTop="1">
      <c r="A120" s="592"/>
      <c r="B120" s="537" t="s">
        <v>2680</v>
      </c>
      <c r="C120" s="582"/>
      <c r="D120" s="582"/>
      <c r="E120" s="582"/>
      <c r="F120" s="582"/>
      <c r="G120" s="554"/>
      <c r="H120" s="554"/>
      <c r="I120" s="554"/>
      <c r="J120" s="554"/>
      <c r="K120" s="554"/>
      <c r="L120" s="555"/>
      <c r="M120" s="556"/>
      <c r="N120" s="1150"/>
      <c r="O120" s="1150"/>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3"/>
      <c r="Q121" s="558"/>
    </row>
    <row r="122" spans="1:17" ht="15" thickTop="1">
      <c r="A122" s="598"/>
      <c r="B122" s="537" t="s">
        <v>2615</v>
      </c>
      <c r="C122" s="553"/>
      <c r="D122" s="553"/>
      <c r="E122" s="553"/>
      <c r="F122" s="582"/>
      <c r="G122" s="582"/>
      <c r="H122" s="582"/>
      <c r="I122" s="582"/>
      <c r="J122" s="582"/>
      <c r="K122" s="583"/>
      <c r="L122" s="584"/>
      <c r="M122" s="585"/>
      <c r="N122" s="1148"/>
      <c r="O122" s="1148"/>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2"/>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8"/>
      <c r="O124" s="1148"/>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2"/>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3"/>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3"/>
      <c r="Q127" s="558"/>
    </row>
    <row r="128" spans="1:17" ht="15" thickTop="1">
      <c r="A128" s="598"/>
      <c r="B128" s="537">
        <f>B45</f>
        <v>111</v>
      </c>
      <c r="C128" s="553"/>
      <c r="D128" s="553"/>
      <c r="E128" s="553"/>
      <c r="F128" s="553"/>
      <c r="G128" s="582"/>
      <c r="H128" s="582"/>
      <c r="I128" s="582"/>
      <c r="J128" s="582"/>
      <c r="K128" s="583"/>
      <c r="L128" s="584"/>
      <c r="M128" s="585"/>
      <c r="N128" s="1148"/>
      <c r="O128" s="1148"/>
      <c r="P128" s="2622"/>
      <c r="Q128" s="503"/>
    </row>
    <row r="129" spans="1:17" ht="15.75" thickBot="1">
      <c r="A129" s="533"/>
      <c r="B129" s="542"/>
      <c r="C129" s="559"/>
      <c r="D129" s="535"/>
      <c r="E129" s="535"/>
      <c r="F129" s="535"/>
      <c r="G129" s="535"/>
      <c r="H129" s="535"/>
      <c r="I129" s="535"/>
      <c r="J129" s="535"/>
      <c r="K129" s="535"/>
      <c r="L129" s="535"/>
      <c r="M129" s="536"/>
      <c r="N129" s="1149"/>
      <c r="O129" s="1149"/>
      <c r="P129" s="2622"/>
      <c r="Q129" s="503"/>
    </row>
    <row r="130" spans="1:17" ht="15" thickTop="1">
      <c r="A130" s="598"/>
      <c r="B130" s="545">
        <f>B46</f>
        <v>111</v>
      </c>
      <c r="C130" s="553"/>
      <c r="D130" s="553"/>
      <c r="E130" s="553"/>
      <c r="F130" s="553"/>
      <c r="G130" s="586"/>
      <c r="H130" s="586"/>
      <c r="I130" s="586"/>
      <c r="J130" s="586"/>
      <c r="K130" s="522"/>
      <c r="L130" s="523"/>
      <c r="M130" s="589"/>
      <c r="N130" s="1148"/>
      <c r="O130" s="1148"/>
      <c r="P130" s="2622"/>
      <c r="Q130" s="503"/>
    </row>
    <row r="131" spans="1:17" ht="15.75" thickBot="1">
      <c r="A131" s="2628"/>
      <c r="B131" s="568"/>
      <c r="C131" s="569"/>
      <c r="D131" s="569"/>
      <c r="E131" s="569"/>
      <c r="F131" s="569"/>
      <c r="G131" s="590"/>
      <c r="H131" s="590"/>
      <c r="I131" s="590"/>
      <c r="J131" s="590"/>
      <c r="K131" s="590"/>
      <c r="L131" s="590"/>
      <c r="M131" s="591"/>
      <c r="N131" s="1149"/>
      <c r="O131" s="1149"/>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1612</v>
      </c>
    </row>
    <row r="2" spans="1:1">
      <c r="A2" s="1940"/>
    </row>
    <row r="3" spans="1:1" ht="18">
      <c r="A3" s="1941" t="str">
        <f>项目基本情况!B5&amp;"："</f>
        <v>北京泰禾嘉兴房地产开发有限公司：</v>
      </c>
    </row>
    <row r="4" spans="1:1" ht="54">
      <c r="A4" s="1942" t="str">
        <f>"受贵公司委托，我公司对"&amp;项目基本情况!S1&amp;"进行了预评估。"</f>
        <v>受贵公司委托，我公司对北京市昌平区南邵镇（中关村科技园昌平园东区二期）0303-54地块出让国有建设用地使用权及在建建筑物房地产抵押价值进行了预评估。</v>
      </c>
    </row>
    <row r="5" spans="1:1" ht="18.75">
      <c r="A5" s="1943" t="s">
        <v>1613</v>
      </c>
    </row>
    <row r="6" spans="1:1" ht="18.75">
      <c r="A6" s="1944" t="s">
        <v>1614</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及在建建筑物房地产，为北京泰禾嘉兴房地产开发有限公司所有。根据《国有土地使用证》、《测绘》，估价对象（分摊）出让国有建设用地使用权面积为14226.66平方米，建筑面积为63702.13平方米。</v>
      </c>
    </row>
    <row r="8" spans="1:1" ht="57.75">
      <c r="A8" s="1945" t="s">
        <v>1615</v>
      </c>
    </row>
    <row r="9" spans="1:1" ht="18.75">
      <c r="A9" s="1944" t="s">
        <v>1616</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及在建建筑物房地产,属北京泰禾嘉兴房地产开发有限公司开发建设的居住项目，该项目尚在开发建设中。根据《国有土地使用证》、《测绘》，估价对象（分摊）出让国有建设用地使用权面积为14226.66平方米，规划建筑面积为63702.13平方米。</v>
      </c>
    </row>
    <row r="11" spans="1:1" ht="76.5">
      <c r="A11" s="1945" t="s">
        <v>1617</v>
      </c>
    </row>
    <row r="12" spans="1:1" ht="18.75">
      <c r="A12" s="1943" t="s">
        <v>1618</v>
      </c>
    </row>
    <row r="13" spans="1:1" ht="38.25" customHeight="1">
      <c r="A13" s="1946"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8.75">
      <c r="A14" s="1947" t="s">
        <v>1619</v>
      </c>
    </row>
    <row r="15" spans="1:1" ht="18">
      <c r="A15" s="1948" t="str">
        <f>TEXT(项目基本情况!D3,"yyyy年m月d日;;")&amp;IF(项目基本情况!D3=项目基本情况!B3,"（评估专业人员实地查勘之日）","")</f>
        <v>2019年6月17日（评估专业人员实地查勘之日）</v>
      </c>
    </row>
    <row r="16" spans="1:1" ht="18.75">
      <c r="A16" s="1947" t="s">
        <v>1620</v>
      </c>
    </row>
    <row r="17" spans="1:1" ht="75">
      <c r="A17" s="1942" t="s">
        <v>1621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1610</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1611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2523</v>
      </c>
      <c r="B1" s="2661" t="s">
        <v>2681</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IF(C2="——",ROUND(C50*D3/10000,0),ROUND(C50*D3/10000,0)-D2)</f>
        <v>#DIV/0!</v>
      </c>
      <c r="C2" s="2579"/>
      <c r="D2" s="1361"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2639</v>
      </c>
      <c r="D3" s="398">
        <f>IF(D1="",'数据-汇总表'!E3,SUMIF('数据-汇总表'!$C19:$C33,D1,'数据-汇总表'!$E19:$E33))</f>
        <v>63702.12999999999</v>
      </c>
      <c r="E3" s="2655"/>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79" t="s">
        <v>2646</v>
      </c>
      <c r="Q4" s="3280"/>
      <c r="R4" s="3283" t="s">
        <v>2642</v>
      </c>
      <c r="S4" s="3284"/>
      <c r="T4" s="3283" t="s">
        <v>2643</v>
      </c>
      <c r="U4" s="3284"/>
      <c r="V4" s="3285" t="s">
        <v>2644</v>
      </c>
      <c r="W4" s="3285"/>
      <c r="X4" s="2662"/>
      <c r="Y4" s="3283" t="s">
        <v>2646</v>
      </c>
      <c r="Z4" s="3284"/>
      <c r="AA4" s="3287" t="s">
        <v>2642</v>
      </c>
      <c r="AB4" s="3287" t="s">
        <v>2643</v>
      </c>
      <c r="AC4" s="3276" t="s">
        <v>2644</v>
      </c>
    </row>
    <row r="5" spans="1:29" ht="15">
      <c r="A5" s="403"/>
      <c r="B5" s="404"/>
      <c r="C5" s="3270" t="s">
        <v>2537</v>
      </c>
      <c r="D5" s="3242"/>
      <c r="E5" s="3272" t="s">
        <v>2538</v>
      </c>
      <c r="F5" s="3244"/>
      <c r="G5" s="3270" t="s">
        <v>2539</v>
      </c>
      <c r="H5" s="3242"/>
      <c r="I5" s="3270" t="s">
        <v>2540</v>
      </c>
      <c r="J5" s="3242"/>
      <c r="K5" s="609"/>
      <c r="L5" s="1126"/>
      <c r="M5" s="1127"/>
      <c r="N5" s="1127"/>
      <c r="O5" s="1127"/>
      <c r="P5" s="3281"/>
      <c r="Q5" s="3234"/>
      <c r="R5" s="3239"/>
      <c r="S5" s="3240"/>
      <c r="T5" s="3239"/>
      <c r="U5" s="3240"/>
      <c r="V5" s="3251"/>
      <c r="W5" s="3251"/>
      <c r="X5" s="1807"/>
      <c r="Y5" s="3239"/>
      <c r="Z5" s="3240"/>
      <c r="AA5" s="3225"/>
      <c r="AB5" s="3225"/>
      <c r="AC5" s="3277"/>
    </row>
    <row r="6" spans="1:29" ht="15.75" thickBot="1">
      <c r="A6" s="405"/>
      <c r="B6" s="406"/>
      <c r="C6" s="3245" t="s">
        <v>2541</v>
      </c>
      <c r="D6" s="3246"/>
      <c r="E6" s="3271" t="s">
        <v>2541</v>
      </c>
      <c r="F6" s="3248"/>
      <c r="G6" s="3245" t="s">
        <v>2541</v>
      </c>
      <c r="H6" s="3246"/>
      <c r="I6" s="3245" t="s">
        <v>2541</v>
      </c>
      <c r="J6" s="3246"/>
      <c r="K6" s="609" t="s">
        <v>2542</v>
      </c>
      <c r="L6" s="1126"/>
      <c r="M6" s="1127"/>
      <c r="N6" s="1127"/>
      <c r="O6" s="1127"/>
      <c r="P6" s="3282"/>
      <c r="Q6" s="3236"/>
      <c r="R6" s="3239"/>
      <c r="S6" s="3240"/>
      <c r="T6" s="3249"/>
      <c r="U6" s="3250"/>
      <c r="V6" s="3251"/>
      <c r="W6" s="3251"/>
      <c r="X6" s="1807"/>
      <c r="Y6" s="3249"/>
      <c r="Z6" s="3250"/>
      <c r="AA6" s="3226"/>
      <c r="AB6" s="3226"/>
      <c r="AC6" s="3278"/>
    </row>
    <row r="7" spans="1:29" s="116" customFormat="1" ht="15.75" thickBot="1">
      <c r="A7" s="407" t="s">
        <v>2543</v>
      </c>
      <c r="B7" s="408"/>
      <c r="C7" s="409">
        <f>'数据-取费表'!B2</f>
        <v>43633</v>
      </c>
      <c r="D7" s="410">
        <v>100</v>
      </c>
      <c r="E7" s="411"/>
      <c r="F7" s="412">
        <f>SUMIF(59:59,YEAR(E7)&amp;"-"&amp;MONTH(E7),60:60)</f>
        <v>0</v>
      </c>
      <c r="G7" s="411"/>
      <c r="H7" s="410">
        <f>SUMIF(59:59,YEAR(G7)&amp;"-"&amp;MONTH(G7),60:60)</f>
        <v>0</v>
      </c>
      <c r="I7" s="411"/>
      <c r="J7" s="410">
        <f>SUMIF(59:59,YEAR(I7)&amp;"-"&amp;MONTH(I7),60:60)</f>
        <v>0</v>
      </c>
      <c r="K7" s="610"/>
      <c r="L7" s="1128"/>
      <c r="M7" s="1129"/>
      <c r="N7" s="1129"/>
      <c r="O7" s="1129"/>
      <c r="P7" s="3286" t="s">
        <v>2544</v>
      </c>
      <c r="Q7" s="3253"/>
      <c r="R7" s="769" t="s">
        <v>17</v>
      </c>
      <c r="S7" s="770">
        <f t="shared" ref="S7:S15" si="0">F7</f>
        <v>0</v>
      </c>
      <c r="T7" s="769" t="s">
        <v>17</v>
      </c>
      <c r="U7" s="770">
        <f t="shared" ref="U7:U15" si="1">H7</f>
        <v>0</v>
      </c>
      <c r="V7" s="769" t="s">
        <v>17</v>
      </c>
      <c r="W7" s="770">
        <f t="shared" ref="W7:W15" si="2">J7</f>
        <v>0</v>
      </c>
      <c r="X7" s="771"/>
      <c r="Y7" s="3252" t="s">
        <v>2544</v>
      </c>
      <c r="Z7" s="3254"/>
      <c r="AA7" s="772" t="e">
        <f>D7/F7</f>
        <v>#DIV/0!</v>
      </c>
      <c r="AB7" s="772" t="e">
        <f>D7/H7</f>
        <v>#DIV/0!</v>
      </c>
      <c r="AC7" s="2663"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8"/>
      <c r="M8" s="1129"/>
      <c r="N8" s="1129"/>
      <c r="O8" s="1129"/>
      <c r="P8" s="3286" t="s">
        <v>2547</v>
      </c>
      <c r="Q8" s="3254"/>
      <c r="R8" s="769" t="s">
        <v>17</v>
      </c>
      <c r="S8" s="770">
        <f t="shared" si="0"/>
        <v>0</v>
      </c>
      <c r="T8" s="769" t="s">
        <v>17</v>
      </c>
      <c r="U8" s="770">
        <f t="shared" si="1"/>
        <v>0</v>
      </c>
      <c r="V8" s="769" t="s">
        <v>17</v>
      </c>
      <c r="W8" s="770">
        <f t="shared" si="2"/>
        <v>0</v>
      </c>
      <c r="X8" s="771"/>
      <c r="Y8" s="3252" t="s">
        <v>2547</v>
      </c>
      <c r="Z8" s="3254"/>
      <c r="AA8" s="772" t="e">
        <f t="shared" ref="AA8:AA47" si="3">D8/F8</f>
        <v>#DIV/0!</v>
      </c>
      <c r="AB8" s="772" t="e">
        <f t="shared" ref="AB8:AB47" si="4">D8/H8</f>
        <v>#DIV/0!</v>
      </c>
      <c r="AC8" s="2663"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8"/>
      <c r="M9" s="1129"/>
      <c r="N9" s="1129"/>
      <c r="O9" s="1129"/>
      <c r="P9" s="3255" t="s">
        <v>2550</v>
      </c>
      <c r="Q9" s="1789" t="str">
        <f t="shared" ref="Q9:Q15" si="6">B9</f>
        <v>用途</v>
      </c>
      <c r="R9" s="769" t="s">
        <v>17</v>
      </c>
      <c r="S9" s="770">
        <f t="shared" si="0"/>
        <v>100</v>
      </c>
      <c r="T9" s="769" t="s">
        <v>17</v>
      </c>
      <c r="U9" s="770">
        <f t="shared" si="1"/>
        <v>100</v>
      </c>
      <c r="V9" s="769" t="s">
        <v>17</v>
      </c>
      <c r="W9" s="770">
        <f t="shared" si="2"/>
        <v>100</v>
      </c>
      <c r="X9" s="771"/>
      <c r="Y9" s="3039" t="s">
        <v>2551</v>
      </c>
      <c r="Z9" s="55" t="str">
        <f t="shared" ref="Z9:Z15" si="7">Q9</f>
        <v>用途</v>
      </c>
      <c r="AA9" s="772">
        <f t="shared" si="3"/>
        <v>1</v>
      </c>
      <c r="AB9" s="772">
        <f t="shared" si="4"/>
        <v>1</v>
      </c>
      <c r="AC9" s="2663">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1"/>
      <c r="M10" s="1132"/>
      <c r="N10" s="1132"/>
      <c r="O10" s="1132"/>
      <c r="P10" s="325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2663">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4"/>
      <c r="M11" s="1127"/>
      <c r="N11" s="1127"/>
      <c r="O11" s="1127"/>
      <c r="P11" s="3255"/>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2663" t="e">
        <f t="shared" si="5"/>
        <v>#N/A</v>
      </c>
    </row>
    <row r="12" spans="1:29" s="116" customFormat="1" ht="15">
      <c r="A12" s="430"/>
      <c r="B12" s="2593">
        <v>111</v>
      </c>
      <c r="C12" s="431"/>
      <c r="D12" s="432">
        <v>100</v>
      </c>
      <c r="E12" s="431"/>
      <c r="F12" s="135">
        <f>SUMIF(71:71,E12,72:72)-SUMIF(71:71,C12,72:72)+100</f>
        <v>100</v>
      </c>
      <c r="G12" s="2664"/>
      <c r="H12" s="135">
        <f>SUMIF(71:71,G12,72:72)-SUMIF(71:71,C12,72:72)+100</f>
        <v>100</v>
      </c>
      <c r="I12" s="431"/>
      <c r="J12" s="135">
        <f>SUMIF(71:71,I12,72:72)-SUMIF(71:71,C12,72:72)+100</f>
        <v>100</v>
      </c>
      <c r="K12" s="612"/>
      <c r="L12" s="1128"/>
      <c r="M12" s="1129"/>
      <c r="N12" s="1129"/>
      <c r="O12" s="1129"/>
      <c r="P12" s="325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2663">
        <f>D12/J12</f>
        <v>1</v>
      </c>
    </row>
    <row r="13" spans="1:29" ht="15">
      <c r="A13" s="427"/>
      <c r="B13" s="2593">
        <v>111</v>
      </c>
      <c r="C13" s="433"/>
      <c r="D13" s="434">
        <v>100</v>
      </c>
      <c r="E13" s="431"/>
      <c r="F13" s="135">
        <f>SUMIF(73:73,E13,74:74)-SUMIF(73:73,C13,74:74)+100</f>
        <v>100</v>
      </c>
      <c r="G13" s="2664"/>
      <c r="H13" s="434">
        <f>SUMIF(73:73,G13,74:74)-SUMIF(73:73,C13,74:74)+100</f>
        <v>100</v>
      </c>
      <c r="I13" s="431"/>
      <c r="J13" s="434">
        <f>SUMIF(73:73,I13,74:74)-SUMIF(73:73,C13,74:74)+100</f>
        <v>100</v>
      </c>
      <c r="K13" s="612"/>
      <c r="L13" s="1136"/>
      <c r="M13" s="1127"/>
      <c r="N13" s="1127"/>
      <c r="O13" s="1127"/>
      <c r="P13" s="325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2663">
        <f t="shared" si="5"/>
        <v>1</v>
      </c>
    </row>
    <row r="14" spans="1:29" ht="15.75" thickBot="1">
      <c r="A14" s="435"/>
      <c r="B14" s="2595">
        <v>111</v>
      </c>
      <c r="C14" s="436"/>
      <c r="D14" s="437">
        <v>100</v>
      </c>
      <c r="E14" s="627"/>
      <c r="F14" s="437">
        <f>SUMIF(75:75,E14,76:76)-SUMIF(75:75,C14,76:76)+100</f>
        <v>100</v>
      </c>
      <c r="G14" s="2664"/>
      <c r="H14" s="437">
        <f>SUMIF(75:75,G14,76:76)-SUMIF(75:75,C14,76:76)+100</f>
        <v>100</v>
      </c>
      <c r="I14" s="431"/>
      <c r="J14" s="437">
        <f>SUMIF(75:75,I14,76:76)-SUMIF(75:75,C14,76:76)+100</f>
        <v>100</v>
      </c>
      <c r="K14" s="612"/>
      <c r="L14" s="1136"/>
      <c r="M14" s="1127"/>
      <c r="N14" s="1127"/>
      <c r="O14" s="1127"/>
      <c r="P14" s="3255"/>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2663">
        <f t="shared" si="5"/>
        <v>1</v>
      </c>
    </row>
    <row r="15" spans="1:29" ht="71.25">
      <c r="A15" s="439" t="s">
        <v>2554</v>
      </c>
      <c r="B15" s="628" t="s">
        <v>2682</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6"/>
      <c r="M15" s="1127"/>
      <c r="N15" s="1127"/>
      <c r="O15" s="1127"/>
      <c r="P15" s="3256" t="s">
        <v>2555</v>
      </c>
      <c r="Q15" s="1804" t="str">
        <f t="shared" si="6"/>
        <v>办公集聚程度</v>
      </c>
      <c r="R15" s="773" t="s">
        <v>17</v>
      </c>
      <c r="S15" s="774">
        <f t="shared" si="0"/>
        <v>100</v>
      </c>
      <c r="T15" s="773" t="s">
        <v>17</v>
      </c>
      <c r="U15" s="774">
        <f t="shared" si="1"/>
        <v>100</v>
      </c>
      <c r="V15" s="773" t="s">
        <v>17</v>
      </c>
      <c r="W15" s="774">
        <f t="shared" si="2"/>
        <v>100</v>
      </c>
      <c r="X15" s="1807"/>
      <c r="Y15" s="3258" t="s">
        <v>2555</v>
      </c>
      <c r="Z15" s="1808" t="str">
        <f t="shared" si="7"/>
        <v>办公集聚程度</v>
      </c>
      <c r="AA15" s="1805">
        <f t="shared" si="3"/>
        <v>1</v>
      </c>
      <c r="AB15" s="1805">
        <f t="shared" si="4"/>
        <v>1</v>
      </c>
      <c r="AC15" s="2666">
        <f t="shared" si="5"/>
        <v>1</v>
      </c>
    </row>
    <row r="16" spans="1:29" ht="15">
      <c r="A16" s="427"/>
      <c r="B16" s="629"/>
      <c r="C16" s="2604"/>
      <c r="D16" s="447"/>
      <c r="E16" s="446"/>
      <c r="F16" s="447"/>
      <c r="G16" s="2604"/>
      <c r="H16" s="449"/>
      <c r="I16" s="446"/>
      <c r="J16" s="447"/>
      <c r="K16" s="614"/>
      <c r="L16" s="1136"/>
      <c r="M16" s="1127"/>
      <c r="N16" s="1127"/>
      <c r="O16" s="1127"/>
      <c r="P16" s="3257"/>
      <c r="Q16" s="1804"/>
      <c r="R16" s="773"/>
      <c r="S16" s="774"/>
      <c r="T16" s="773"/>
      <c r="U16" s="774"/>
      <c r="V16" s="773"/>
      <c r="W16" s="774"/>
      <c r="X16" s="1807"/>
      <c r="Y16" s="3259"/>
      <c r="Z16" s="1808"/>
      <c r="AA16" s="1805">
        <v>1</v>
      </c>
      <c r="AB16" s="1805">
        <v>1</v>
      </c>
      <c r="AC16" s="2666">
        <v>1</v>
      </c>
    </row>
    <row r="17" spans="1:29" ht="71.25">
      <c r="A17" s="427"/>
      <c r="B17" s="630" t="s">
        <v>2096</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6"/>
      <c r="M17" s="1127"/>
      <c r="N17" s="1127"/>
      <c r="O17" s="1127"/>
      <c r="P17" s="3257"/>
      <c r="Q17" s="1804" t="str">
        <f>B17</f>
        <v>交通便捷度</v>
      </c>
      <c r="R17" s="773" t="s">
        <v>17</v>
      </c>
      <c r="S17" s="774">
        <f>F17</f>
        <v>100</v>
      </c>
      <c r="T17" s="773" t="s">
        <v>17</v>
      </c>
      <c r="U17" s="774">
        <f>H17</f>
        <v>100</v>
      </c>
      <c r="V17" s="773" t="s">
        <v>17</v>
      </c>
      <c r="W17" s="774">
        <f>J17</f>
        <v>100</v>
      </c>
      <c r="X17" s="1807"/>
      <c r="Y17" s="3259"/>
      <c r="Z17" s="1808" t="str">
        <f>Q17</f>
        <v>交通便捷度</v>
      </c>
      <c r="AA17" s="1805">
        <f t="shared" si="3"/>
        <v>1</v>
      </c>
      <c r="AB17" s="1805">
        <f t="shared" si="4"/>
        <v>1</v>
      </c>
      <c r="AC17" s="2666">
        <f t="shared" si="5"/>
        <v>1</v>
      </c>
    </row>
    <row r="18" spans="1:29" ht="15">
      <c r="A18" s="427"/>
      <c r="B18" s="631"/>
      <c r="C18" s="2668"/>
      <c r="D18" s="449"/>
      <c r="E18" s="2602"/>
      <c r="F18" s="449"/>
      <c r="G18" s="2603"/>
      <c r="H18" s="447"/>
      <c r="I18" s="2603"/>
      <c r="J18" s="447"/>
      <c r="K18" s="614"/>
      <c r="L18" s="1136"/>
      <c r="M18" s="1127"/>
      <c r="N18" s="1127"/>
      <c r="O18" s="1127"/>
      <c r="P18" s="3257"/>
      <c r="Q18" s="1804"/>
      <c r="R18" s="773"/>
      <c r="S18" s="774"/>
      <c r="T18" s="773"/>
      <c r="U18" s="774"/>
      <c r="V18" s="773"/>
      <c r="W18" s="774"/>
      <c r="X18" s="1807"/>
      <c r="Y18" s="3259"/>
      <c r="Z18" s="1808"/>
      <c r="AA18" s="1805">
        <v>1</v>
      </c>
      <c r="AB18" s="1805">
        <v>1</v>
      </c>
      <c r="AC18" s="2666">
        <v>1</v>
      </c>
    </row>
    <row r="19" spans="1:29" ht="42.75">
      <c r="A19" s="427"/>
      <c r="B19" s="630" t="s">
        <v>2683</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6"/>
      <c r="M19" s="1127"/>
      <c r="N19" s="1127"/>
      <c r="O19" s="1127"/>
      <c r="P19" s="3257"/>
      <c r="Q19" s="1804" t="str">
        <f>B19</f>
        <v>公共配套设施</v>
      </c>
      <c r="R19" s="773" t="s">
        <v>17</v>
      </c>
      <c r="S19" s="774">
        <f>F19</f>
        <v>100</v>
      </c>
      <c r="T19" s="773" t="s">
        <v>17</v>
      </c>
      <c r="U19" s="774">
        <f>H19</f>
        <v>100</v>
      </c>
      <c r="V19" s="773" t="s">
        <v>17</v>
      </c>
      <c r="W19" s="774">
        <f>J19</f>
        <v>100</v>
      </c>
      <c r="X19" s="1807"/>
      <c r="Y19" s="3259"/>
      <c r="Z19" s="1808" t="str">
        <f>Q19</f>
        <v>公共配套设施</v>
      </c>
      <c r="AA19" s="1805">
        <f t="shared" si="3"/>
        <v>1</v>
      </c>
      <c r="AB19" s="1805">
        <f t="shared" si="4"/>
        <v>1</v>
      </c>
      <c r="AC19" s="2666">
        <f t="shared" si="5"/>
        <v>1</v>
      </c>
    </row>
    <row r="20" spans="1:29" ht="15">
      <c r="A20" s="427"/>
      <c r="B20" s="631"/>
      <c r="C20" s="2604"/>
      <c r="D20" s="447"/>
      <c r="E20" s="2597"/>
      <c r="F20" s="447"/>
      <c r="G20" s="2598"/>
      <c r="H20" s="447"/>
      <c r="I20" s="2598"/>
      <c r="J20" s="447"/>
      <c r="K20" s="614"/>
      <c r="L20" s="1136"/>
      <c r="M20" s="1127"/>
      <c r="N20" s="1127"/>
      <c r="O20" s="1127"/>
      <c r="P20" s="3257"/>
      <c r="Q20" s="1804"/>
      <c r="R20" s="773"/>
      <c r="S20" s="774"/>
      <c r="T20" s="773"/>
      <c r="U20" s="774"/>
      <c r="V20" s="773"/>
      <c r="W20" s="774"/>
      <c r="X20" s="1807"/>
      <c r="Y20" s="3259"/>
      <c r="Z20" s="1808"/>
      <c r="AA20" s="1805">
        <v>1</v>
      </c>
      <c r="AB20" s="1805">
        <v>1</v>
      </c>
      <c r="AC20" s="2666">
        <v>1</v>
      </c>
    </row>
    <row r="21" spans="1:29" ht="28.5">
      <c r="A21" s="427"/>
      <c r="B21" s="632" t="s">
        <v>2684</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6"/>
      <c r="M21" s="1127"/>
      <c r="N21" s="1127"/>
      <c r="O21" s="1127"/>
      <c r="P21" s="3257"/>
      <c r="Q21" s="1804" t="str">
        <f>B21</f>
        <v>基础设施水平</v>
      </c>
      <c r="R21" s="773" t="s">
        <v>17</v>
      </c>
      <c r="S21" s="774">
        <f>F21</f>
        <v>100</v>
      </c>
      <c r="T21" s="773" t="s">
        <v>17</v>
      </c>
      <c r="U21" s="774">
        <f>H21</f>
        <v>100</v>
      </c>
      <c r="V21" s="773" t="s">
        <v>17</v>
      </c>
      <c r="W21" s="774">
        <f>J21</f>
        <v>100</v>
      </c>
      <c r="X21" s="1807"/>
      <c r="Y21" s="3259"/>
      <c r="Z21" s="1808" t="str">
        <f>Q21</f>
        <v>基础设施水平</v>
      </c>
      <c r="AA21" s="1805">
        <f t="shared" ref="AA21" si="8">D21/F21</f>
        <v>1</v>
      </c>
      <c r="AB21" s="1805">
        <f t="shared" ref="AB21" si="9">D21/H21</f>
        <v>1</v>
      </c>
      <c r="AC21" s="2666">
        <f t="shared" ref="AC21" si="10">D21/J21</f>
        <v>1</v>
      </c>
    </row>
    <row r="22" spans="1:29" ht="15">
      <c r="A22" s="427"/>
      <c r="B22" s="632"/>
      <c r="C22" s="2668"/>
      <c r="D22" s="447"/>
      <c r="E22" s="446"/>
      <c r="F22" s="447"/>
      <c r="G22" s="2604"/>
      <c r="H22" s="447"/>
      <c r="I22" s="2604"/>
      <c r="J22" s="447"/>
      <c r="K22" s="1379"/>
      <c r="L22" s="1136"/>
      <c r="M22" s="1127"/>
      <c r="N22" s="1127"/>
      <c r="O22" s="1127"/>
      <c r="P22" s="3257"/>
      <c r="Q22" s="1804"/>
      <c r="R22" s="773"/>
      <c r="S22" s="774"/>
      <c r="T22" s="773"/>
      <c r="U22" s="774"/>
      <c r="V22" s="773"/>
      <c r="W22" s="774"/>
      <c r="X22" s="1807"/>
      <c r="Y22" s="3259"/>
      <c r="Z22" s="1808"/>
      <c r="AA22" s="1805">
        <v>1</v>
      </c>
      <c r="AB22" s="1805">
        <v>1</v>
      </c>
      <c r="AC22" s="2666">
        <v>1</v>
      </c>
    </row>
    <row r="23" spans="1:29" ht="42.75">
      <c r="A23" s="427"/>
      <c r="B23" s="630" t="s">
        <v>2685</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6"/>
      <c r="M23" s="1127"/>
      <c r="N23" s="1127"/>
      <c r="O23" s="1127"/>
      <c r="P23" s="3257"/>
      <c r="Q23" s="1804" t="str">
        <f>B23</f>
        <v>环境质量</v>
      </c>
      <c r="R23" s="773" t="s">
        <v>17</v>
      </c>
      <c r="S23" s="774">
        <f>F23</f>
        <v>100</v>
      </c>
      <c r="T23" s="773" t="s">
        <v>17</v>
      </c>
      <c r="U23" s="774">
        <f>H23</f>
        <v>100</v>
      </c>
      <c r="V23" s="773" t="s">
        <v>17</v>
      </c>
      <c r="W23" s="774">
        <f>J23</f>
        <v>100</v>
      </c>
      <c r="X23" s="1807"/>
      <c r="Y23" s="3259"/>
      <c r="Z23" s="1808" t="str">
        <f>Q23</f>
        <v>环境质量</v>
      </c>
      <c r="AA23" s="1805">
        <f t="shared" si="3"/>
        <v>1</v>
      </c>
      <c r="AB23" s="1805">
        <f t="shared" si="4"/>
        <v>1</v>
      </c>
      <c r="AC23" s="2666">
        <f t="shared" si="5"/>
        <v>1</v>
      </c>
    </row>
    <row r="24" spans="1:29" ht="15">
      <c r="A24" s="427"/>
      <c r="B24" s="632"/>
      <c r="C24" s="2604"/>
      <c r="D24" s="447"/>
      <c r="E24" s="2597"/>
      <c r="F24" s="447"/>
      <c r="G24" s="2598"/>
      <c r="H24" s="447"/>
      <c r="I24" s="2598"/>
      <c r="J24" s="447"/>
      <c r="K24" s="614"/>
      <c r="L24" s="1136"/>
      <c r="M24" s="1127"/>
      <c r="N24" s="1127"/>
      <c r="O24" s="1127"/>
      <c r="P24" s="3257"/>
      <c r="Q24" s="1804"/>
      <c r="R24" s="773"/>
      <c r="S24" s="774"/>
      <c r="T24" s="773"/>
      <c r="U24" s="774"/>
      <c r="V24" s="773"/>
      <c r="W24" s="774"/>
      <c r="X24" s="1807"/>
      <c r="Y24" s="3259"/>
      <c r="Z24" s="1808"/>
      <c r="AA24" s="1805">
        <v>1</v>
      </c>
      <c r="AB24" s="1805">
        <v>1</v>
      </c>
      <c r="AC24" s="2666">
        <v>1</v>
      </c>
    </row>
    <row r="25" spans="1:29" ht="27">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6"/>
      <c r="M25" s="1127"/>
      <c r="N25" s="1127"/>
      <c r="O25" s="1127"/>
      <c r="P25" s="3257"/>
      <c r="Q25" s="1804" t="str">
        <f>B25</f>
        <v>毗邻道路的类型与等级</v>
      </c>
      <c r="R25" s="773" t="s">
        <v>17</v>
      </c>
      <c r="S25" s="774">
        <f>F25</f>
        <v>100</v>
      </c>
      <c r="T25" s="773" t="s">
        <v>17</v>
      </c>
      <c r="U25" s="774">
        <f>H25</f>
        <v>100</v>
      </c>
      <c r="V25" s="773" t="s">
        <v>17</v>
      </c>
      <c r="W25" s="774">
        <f>J25</f>
        <v>100</v>
      </c>
      <c r="X25" s="1807"/>
      <c r="Y25" s="3259"/>
      <c r="Z25" s="1808" t="str">
        <f>Q25</f>
        <v>毗邻道路的类型与等级</v>
      </c>
      <c r="AA25" s="1805">
        <f t="shared" si="3"/>
        <v>1</v>
      </c>
      <c r="AB25" s="1805">
        <f t="shared" si="4"/>
        <v>1</v>
      </c>
      <c r="AC25" s="2666">
        <f t="shared" si="5"/>
        <v>1</v>
      </c>
    </row>
    <row r="26" spans="1:29" ht="15">
      <c r="A26" s="403"/>
      <c r="B26" s="631"/>
      <c r="C26" s="633"/>
      <c r="D26" s="434"/>
      <c r="E26" s="615"/>
      <c r="F26" s="434"/>
      <c r="G26" s="633"/>
      <c r="H26" s="434"/>
      <c r="I26" s="615"/>
      <c r="J26" s="434"/>
      <c r="K26" s="614"/>
      <c r="L26" s="1136"/>
      <c r="M26" s="1127"/>
      <c r="N26" s="1127"/>
      <c r="O26" s="1127"/>
      <c r="P26" s="3257"/>
      <c r="Q26" s="1804"/>
      <c r="R26" s="773"/>
      <c r="S26" s="774"/>
      <c r="T26" s="773"/>
      <c r="U26" s="774"/>
      <c r="V26" s="773"/>
      <c r="W26" s="774"/>
      <c r="X26" s="1807"/>
      <c r="Y26" s="3259"/>
      <c r="Z26" s="1808"/>
      <c r="AA26" s="1805">
        <v>1</v>
      </c>
      <c r="AB26" s="1805">
        <v>1</v>
      </c>
      <c r="AC26" s="2666">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57"/>
      <c r="Q27" s="1804" t="str">
        <f t="shared" ref="Q27:Q47" si="11">B27</f>
        <v>楼层</v>
      </c>
      <c r="R27" s="773" t="s">
        <v>17</v>
      </c>
      <c r="S27" s="774">
        <f>F27</f>
        <v>100</v>
      </c>
      <c r="T27" s="773" t="s">
        <v>17</v>
      </c>
      <c r="U27" s="774">
        <f>H27</f>
        <v>100</v>
      </c>
      <c r="V27" s="773" t="s">
        <v>17</v>
      </c>
      <c r="W27" s="774">
        <f>J27</f>
        <v>100</v>
      </c>
      <c r="X27" s="1807"/>
      <c r="Y27" s="3259"/>
      <c r="Z27" s="1808" t="str">
        <f>Q27</f>
        <v>楼层</v>
      </c>
      <c r="AA27" s="1805">
        <f t="shared" si="3"/>
        <v>1</v>
      </c>
      <c r="AB27" s="1805">
        <f t="shared" si="4"/>
        <v>1</v>
      </c>
      <c r="AC27" s="2666">
        <f t="shared" si="5"/>
        <v>1</v>
      </c>
    </row>
    <row r="28" spans="1:29" s="116" customFormat="1" ht="15">
      <c r="A28" s="430"/>
      <c r="B28" s="630" t="s">
        <v>2687</v>
      </c>
      <c r="C28" s="2669"/>
      <c r="D28" s="461">
        <v>100</v>
      </c>
      <c r="E28" s="2657"/>
      <c r="F28" s="461">
        <f>SUMIF(91:91,E28,92:92)-SUMIF(91:91,C28,92:92)+100</f>
        <v>100</v>
      </c>
      <c r="G28" s="2669"/>
      <c r="H28" s="461">
        <f>SUMIF(91:91,G28,92:92)-SUMIF(91:91,C28,92:92)+100</f>
        <v>100</v>
      </c>
      <c r="I28" s="2657"/>
      <c r="J28" s="461">
        <f>SUMIF(91:91,I28,92:92)-SUMIF(91:91,C28,92:92)+100</f>
        <v>100</v>
      </c>
      <c r="K28" s="611"/>
      <c r="L28" s="1128"/>
      <c r="M28" s="1129"/>
      <c r="N28" s="1129"/>
      <c r="O28" s="1129"/>
      <c r="P28" s="3257"/>
      <c r="Q28" s="1789" t="str">
        <f t="shared" si="11"/>
        <v>朝向</v>
      </c>
      <c r="R28" s="769" t="s">
        <v>17</v>
      </c>
      <c r="S28" s="770">
        <f>F28</f>
        <v>100</v>
      </c>
      <c r="T28" s="769" t="s">
        <v>17</v>
      </c>
      <c r="U28" s="770">
        <f>H28</f>
        <v>100</v>
      </c>
      <c r="V28" s="769" t="s">
        <v>17</v>
      </c>
      <c r="W28" s="770">
        <f>J28</f>
        <v>100</v>
      </c>
      <c r="X28" s="771"/>
      <c r="Y28" s="3259"/>
      <c r="Z28" s="55" t="str">
        <f>Q28</f>
        <v>朝向</v>
      </c>
      <c r="AA28" s="1805">
        <f>D28/F28</f>
        <v>1</v>
      </c>
      <c r="AB28" s="1805">
        <f>D28/H28</f>
        <v>1</v>
      </c>
      <c r="AC28" s="2666">
        <f>D28/J28</f>
        <v>1</v>
      </c>
    </row>
    <row r="29" spans="1:29" ht="15">
      <c r="A29" s="427"/>
      <c r="B29" s="2670">
        <v>111</v>
      </c>
      <c r="C29" s="2608"/>
      <c r="D29" s="434">
        <v>100</v>
      </c>
      <c r="E29" s="431"/>
      <c r="F29" s="434">
        <f>SUMIF(93:93,E29,94:94)-SUMIF(93:93,C29,94:94)+100</f>
        <v>100</v>
      </c>
      <c r="G29" s="2664"/>
      <c r="H29" s="434">
        <f>SUMIF(93:93,G29,94:94)-SUMIF(93:93,C29,94:94)+100</f>
        <v>100</v>
      </c>
      <c r="I29" s="431"/>
      <c r="J29" s="434">
        <f>SUMIF(93:93,I29,94:94)-SUMIF(93:93,C29,94:94)+100</f>
        <v>100</v>
      </c>
      <c r="K29" s="612"/>
      <c r="L29" s="1136"/>
      <c r="M29" s="1127"/>
      <c r="N29" s="1127"/>
      <c r="O29" s="1127"/>
      <c r="P29" s="3257"/>
      <c r="Q29" s="1804">
        <f t="shared" si="11"/>
        <v>111</v>
      </c>
      <c r="R29" s="773" t="s">
        <v>17</v>
      </c>
      <c r="S29" s="774">
        <f t="shared" ref="S29:S47" si="12">F29</f>
        <v>100</v>
      </c>
      <c r="T29" s="773" t="s">
        <v>17</v>
      </c>
      <c r="U29" s="774">
        <f t="shared" ref="U29:U47" si="13">H29</f>
        <v>100</v>
      </c>
      <c r="V29" s="773" t="s">
        <v>17</v>
      </c>
      <c r="W29" s="774">
        <f t="shared" ref="W29:W47" si="14">J29</f>
        <v>100</v>
      </c>
      <c r="X29" s="1807"/>
      <c r="Y29" s="3259"/>
      <c r="Z29" s="1808">
        <f t="shared" ref="Z29:Z47" si="15">Q29</f>
        <v>111</v>
      </c>
      <c r="AA29" s="1805">
        <f t="shared" si="3"/>
        <v>1</v>
      </c>
      <c r="AB29" s="1805">
        <f t="shared" si="4"/>
        <v>1</v>
      </c>
      <c r="AC29" s="2666">
        <f t="shared" si="5"/>
        <v>1</v>
      </c>
    </row>
    <row r="30" spans="1:29" ht="15">
      <c r="A30" s="427"/>
      <c r="B30" s="2670">
        <v>111</v>
      </c>
      <c r="C30" s="2608"/>
      <c r="D30" s="434">
        <v>100</v>
      </c>
      <c r="E30" s="431"/>
      <c r="F30" s="434">
        <f>SUMIF(95:95,E30,96:96)-SUMIF(95:95,C30,96:96)+100</f>
        <v>100</v>
      </c>
      <c r="G30" s="2664"/>
      <c r="H30" s="434">
        <f>SUMIF(95:95,G30,96:96)-SUMIF(95:95,C30,96:96)+100</f>
        <v>100</v>
      </c>
      <c r="I30" s="431"/>
      <c r="J30" s="434">
        <f>SUMIF(95:95,I30,96:96)-SUMIF(95:95,C30,96:96)+100</f>
        <v>100</v>
      </c>
      <c r="K30" s="612"/>
      <c r="L30" s="1136"/>
      <c r="M30" s="1127"/>
      <c r="N30" s="1127"/>
      <c r="O30" s="1127"/>
      <c r="P30" s="3257"/>
      <c r="Q30" s="1804">
        <f t="shared" si="11"/>
        <v>111</v>
      </c>
      <c r="R30" s="773" t="s">
        <v>17</v>
      </c>
      <c r="S30" s="774">
        <f t="shared" si="12"/>
        <v>100</v>
      </c>
      <c r="T30" s="773" t="s">
        <v>17</v>
      </c>
      <c r="U30" s="774">
        <f t="shared" si="13"/>
        <v>100</v>
      </c>
      <c r="V30" s="773" t="s">
        <v>17</v>
      </c>
      <c r="W30" s="774">
        <f t="shared" si="14"/>
        <v>100</v>
      </c>
      <c r="X30" s="1807"/>
      <c r="Y30" s="3259"/>
      <c r="Z30" s="1808">
        <f t="shared" si="15"/>
        <v>111</v>
      </c>
      <c r="AA30" s="1805">
        <f t="shared" si="3"/>
        <v>1</v>
      </c>
      <c r="AB30" s="1805">
        <f t="shared" si="4"/>
        <v>1</v>
      </c>
      <c r="AC30" s="2666">
        <f t="shared" si="5"/>
        <v>1</v>
      </c>
    </row>
    <row r="31" spans="1:29" ht="15">
      <c r="A31" s="427"/>
      <c r="B31" s="2670">
        <v>111</v>
      </c>
      <c r="C31" s="2608"/>
      <c r="D31" s="434">
        <v>100</v>
      </c>
      <c r="E31" s="431"/>
      <c r="F31" s="434">
        <f>SUMIF(97:97,E31,98:98)-SUMIF(97:97,C31,98:98)+100</f>
        <v>100</v>
      </c>
      <c r="G31" s="2664"/>
      <c r="H31" s="434">
        <f>SUMIF(97:97,G31,98:98)-SUMIF(97:97,C31,98:98)+100</f>
        <v>100</v>
      </c>
      <c r="I31" s="431"/>
      <c r="J31" s="434">
        <f>SUMIF(97:97,I31,98:98)-SUMIF(97:97,C31,98:98)+100</f>
        <v>100</v>
      </c>
      <c r="K31" s="612"/>
      <c r="L31" s="1136"/>
      <c r="M31" s="1127"/>
      <c r="N31" s="1127"/>
      <c r="O31" s="1127"/>
      <c r="P31" s="3257"/>
      <c r="Q31" s="1804">
        <f t="shared" si="11"/>
        <v>111</v>
      </c>
      <c r="R31" s="773" t="s">
        <v>17</v>
      </c>
      <c r="S31" s="774">
        <f t="shared" si="12"/>
        <v>100</v>
      </c>
      <c r="T31" s="773" t="s">
        <v>17</v>
      </c>
      <c r="U31" s="774">
        <f t="shared" si="13"/>
        <v>100</v>
      </c>
      <c r="V31" s="773" t="s">
        <v>17</v>
      </c>
      <c r="W31" s="774">
        <f t="shared" si="14"/>
        <v>100</v>
      </c>
      <c r="X31" s="1807"/>
      <c r="Y31" s="3259"/>
      <c r="Z31" s="1808">
        <f t="shared" si="15"/>
        <v>111</v>
      </c>
      <c r="AA31" s="1805">
        <f t="shared" si="3"/>
        <v>1</v>
      </c>
      <c r="AB31" s="1805">
        <f t="shared" si="4"/>
        <v>1</v>
      </c>
      <c r="AC31" s="2666">
        <f t="shared" si="5"/>
        <v>1</v>
      </c>
    </row>
    <row r="32" spans="1:29" ht="15.75" thickBot="1">
      <c r="A32" s="435"/>
      <c r="B32" s="634">
        <v>111</v>
      </c>
      <c r="C32" s="2609"/>
      <c r="D32" s="437">
        <v>100</v>
      </c>
      <c r="E32" s="627"/>
      <c r="F32" s="437">
        <f>SUMIF(99:99,E32,100:100)-SUMIF(99:99,C32,100:100)+100</f>
        <v>100</v>
      </c>
      <c r="G32" s="2664"/>
      <c r="H32" s="437">
        <f>SUMIF(99:99,G32,100:100)-SUMIF(99:99,C32,100:100)+100</f>
        <v>100</v>
      </c>
      <c r="I32" s="431"/>
      <c r="J32" s="437">
        <f>SUMIF(99:99,I32,100:100)-SUMIF(99:99,C32,100:100)+100</f>
        <v>100</v>
      </c>
      <c r="K32" s="612"/>
      <c r="L32" s="1136"/>
      <c r="M32" s="1127"/>
      <c r="N32" s="1127"/>
      <c r="O32" s="1127"/>
      <c r="P32" s="3257"/>
      <c r="Q32" s="1804">
        <f t="shared" si="11"/>
        <v>111</v>
      </c>
      <c r="R32" s="773" t="s">
        <v>17</v>
      </c>
      <c r="S32" s="774">
        <f t="shared" si="12"/>
        <v>100</v>
      </c>
      <c r="T32" s="773" t="s">
        <v>17</v>
      </c>
      <c r="U32" s="774">
        <f t="shared" si="13"/>
        <v>100</v>
      </c>
      <c r="V32" s="773" t="s">
        <v>17</v>
      </c>
      <c r="W32" s="774">
        <f t="shared" si="14"/>
        <v>100</v>
      </c>
      <c r="X32" s="1807"/>
      <c r="Y32" s="3259"/>
      <c r="Z32" s="1808">
        <f t="shared" si="15"/>
        <v>111</v>
      </c>
      <c r="AA32" s="1805">
        <f t="shared" si="3"/>
        <v>1</v>
      </c>
      <c r="AB32" s="1805">
        <f t="shared" si="4"/>
        <v>1</v>
      </c>
      <c r="AC32" s="2666">
        <f t="shared" si="5"/>
        <v>1</v>
      </c>
    </row>
    <row r="33" spans="1:29" ht="15">
      <c r="A33" s="439" t="s">
        <v>2558</v>
      </c>
      <c r="B33" s="71" t="s">
        <v>2688</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6"/>
      <c r="M33" s="1127"/>
      <c r="N33" s="1127"/>
      <c r="O33" s="1127"/>
      <c r="P33" s="3260" t="s">
        <v>2560</v>
      </c>
      <c r="Q33" s="1804" t="str">
        <f t="shared" si="11"/>
        <v>建筑类型</v>
      </c>
      <c r="R33" s="773" t="s">
        <v>17</v>
      </c>
      <c r="S33" s="774">
        <f t="shared" si="12"/>
        <v>100</v>
      </c>
      <c r="T33" s="773" t="s">
        <v>17</v>
      </c>
      <c r="U33" s="774">
        <f t="shared" si="13"/>
        <v>100</v>
      </c>
      <c r="V33" s="773" t="s">
        <v>17</v>
      </c>
      <c r="W33" s="774">
        <f t="shared" si="14"/>
        <v>100</v>
      </c>
      <c r="X33" s="1807"/>
      <c r="Y33" s="3263" t="s">
        <v>2560</v>
      </c>
      <c r="Z33" s="1808" t="str">
        <f t="shared" si="15"/>
        <v>建筑类型</v>
      </c>
      <c r="AA33" s="1805">
        <f t="shared" si="3"/>
        <v>1</v>
      </c>
      <c r="AB33" s="1805">
        <f t="shared" si="4"/>
        <v>1</v>
      </c>
      <c r="AC33" s="2666">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4"/>
      <c r="M34" s="1137"/>
      <c r="N34" s="1137"/>
      <c r="O34" s="1137"/>
      <c r="P34" s="3261"/>
      <c r="Q34" s="775" t="str">
        <f t="shared" si="11"/>
        <v>项目建筑规模</v>
      </c>
      <c r="R34" s="776" t="s">
        <v>17</v>
      </c>
      <c r="S34" s="777" t="e">
        <f t="shared" si="12"/>
        <v>#N/A</v>
      </c>
      <c r="T34" s="776" t="s">
        <v>17</v>
      </c>
      <c r="U34" s="777" t="e">
        <f t="shared" si="13"/>
        <v>#N/A</v>
      </c>
      <c r="V34" s="776" t="s">
        <v>17</v>
      </c>
      <c r="W34" s="777" t="e">
        <f t="shared" si="14"/>
        <v>#N/A</v>
      </c>
      <c r="X34" s="778"/>
      <c r="Y34" s="3263"/>
      <c r="Z34" s="779" t="str">
        <f t="shared" si="15"/>
        <v>项目建筑规模</v>
      </c>
      <c r="AA34" s="1805" t="e">
        <f t="shared" si="3"/>
        <v>#N/A</v>
      </c>
      <c r="AB34" s="1805" t="e">
        <f t="shared" si="4"/>
        <v>#N/A</v>
      </c>
      <c r="AC34" s="2666"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6"/>
      <c r="M35" s="1127"/>
      <c r="N35" s="1127"/>
      <c r="O35" s="1127"/>
      <c r="P35" s="3261"/>
      <c r="Q35" s="1804" t="str">
        <f t="shared" si="11"/>
        <v>建筑结构</v>
      </c>
      <c r="R35" s="773" t="s">
        <v>17</v>
      </c>
      <c r="S35" s="774">
        <f t="shared" si="12"/>
        <v>100</v>
      </c>
      <c r="T35" s="773" t="s">
        <v>17</v>
      </c>
      <c r="U35" s="774">
        <f t="shared" si="13"/>
        <v>100</v>
      </c>
      <c r="V35" s="773" t="s">
        <v>17</v>
      </c>
      <c r="W35" s="774">
        <f t="shared" si="14"/>
        <v>100</v>
      </c>
      <c r="X35" s="1807"/>
      <c r="Y35" s="3263"/>
      <c r="Z35" s="1808" t="str">
        <f t="shared" si="15"/>
        <v>建筑结构</v>
      </c>
      <c r="AA35" s="1805">
        <f t="shared" si="3"/>
        <v>1</v>
      </c>
      <c r="AB35" s="1805">
        <f t="shared" si="4"/>
        <v>1</v>
      </c>
      <c r="AC35" s="2666">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6"/>
      <c r="M36" s="1127"/>
      <c r="N36" s="1127"/>
      <c r="O36" s="1127"/>
      <c r="P36" s="3261"/>
      <c r="Q36" s="1804" t="str">
        <f t="shared" si="11"/>
        <v>公共部分装修</v>
      </c>
      <c r="R36" s="773" t="s">
        <v>17</v>
      </c>
      <c r="S36" s="774">
        <f t="shared" si="12"/>
        <v>100</v>
      </c>
      <c r="T36" s="773" t="s">
        <v>17</v>
      </c>
      <c r="U36" s="774">
        <f t="shared" si="13"/>
        <v>100</v>
      </c>
      <c r="V36" s="773" t="s">
        <v>17</v>
      </c>
      <c r="W36" s="774">
        <f t="shared" si="14"/>
        <v>100</v>
      </c>
      <c r="X36" s="1807"/>
      <c r="Y36" s="3263"/>
      <c r="Z36" s="1808" t="str">
        <f t="shared" si="15"/>
        <v>公共部分装修</v>
      </c>
      <c r="AA36" s="1805">
        <f t="shared" si="3"/>
        <v>1</v>
      </c>
      <c r="AB36" s="1805">
        <f t="shared" si="4"/>
        <v>1</v>
      </c>
      <c r="AC36" s="2666">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6"/>
      <c r="M37" s="1127"/>
      <c r="N37" s="1127"/>
      <c r="O37" s="1127"/>
      <c r="P37" s="3261"/>
      <c r="Q37" s="1804" t="str">
        <f t="shared" si="11"/>
        <v>成新度</v>
      </c>
      <c r="R37" s="773" t="s">
        <v>17</v>
      </c>
      <c r="S37" s="774" t="e">
        <f t="shared" si="12"/>
        <v>#N/A</v>
      </c>
      <c r="T37" s="773" t="s">
        <v>17</v>
      </c>
      <c r="U37" s="774" t="e">
        <f t="shared" si="13"/>
        <v>#N/A</v>
      </c>
      <c r="V37" s="773" t="s">
        <v>17</v>
      </c>
      <c r="W37" s="774" t="e">
        <f t="shared" si="14"/>
        <v>#N/A</v>
      </c>
      <c r="X37" s="1807"/>
      <c r="Y37" s="3263"/>
      <c r="Z37" s="1808" t="str">
        <f t="shared" si="15"/>
        <v>成新度</v>
      </c>
      <c r="AA37" s="1805" t="e">
        <f t="shared" si="3"/>
        <v>#N/A</v>
      </c>
      <c r="AB37" s="1805" t="e">
        <f t="shared" si="4"/>
        <v>#N/A</v>
      </c>
      <c r="AC37" s="2666"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8"/>
      <c r="M38" s="1129"/>
      <c r="N38" s="1129"/>
      <c r="O38" s="1129"/>
      <c r="P38" s="3261"/>
      <c r="Q38" s="1789" t="str">
        <f t="shared" si="11"/>
        <v>写字楼等级</v>
      </c>
      <c r="R38" s="769" t="s">
        <v>17</v>
      </c>
      <c r="S38" s="770">
        <f t="shared" si="12"/>
        <v>100</v>
      </c>
      <c r="T38" s="769" t="s">
        <v>17</v>
      </c>
      <c r="U38" s="770">
        <f t="shared" si="13"/>
        <v>100</v>
      </c>
      <c r="V38" s="769" t="s">
        <v>17</v>
      </c>
      <c r="W38" s="770">
        <f t="shared" si="14"/>
        <v>100</v>
      </c>
      <c r="X38" s="771"/>
      <c r="Y38" s="3263"/>
      <c r="Z38" s="55" t="str">
        <f t="shared" si="15"/>
        <v>写字楼等级</v>
      </c>
      <c r="AA38" s="772">
        <f t="shared" si="3"/>
        <v>1</v>
      </c>
      <c r="AB38" s="772">
        <f t="shared" si="4"/>
        <v>1</v>
      </c>
      <c r="AC38" s="2663">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6"/>
      <c r="M39" s="1127"/>
      <c r="N39" s="1127"/>
      <c r="O39" s="1127"/>
      <c r="P39" s="3261" t="s">
        <v>2560</v>
      </c>
      <c r="Q39" s="1804" t="str">
        <f t="shared" si="11"/>
        <v>物业管理</v>
      </c>
      <c r="R39" s="773" t="s">
        <v>17</v>
      </c>
      <c r="S39" s="774">
        <f t="shared" si="12"/>
        <v>100</v>
      </c>
      <c r="T39" s="773" t="s">
        <v>17</v>
      </c>
      <c r="U39" s="774">
        <f t="shared" si="13"/>
        <v>100</v>
      </c>
      <c r="V39" s="773" t="s">
        <v>17</v>
      </c>
      <c r="W39" s="774">
        <f t="shared" si="14"/>
        <v>100</v>
      </c>
      <c r="X39" s="1807"/>
      <c r="Y39" s="3263" t="s">
        <v>2560</v>
      </c>
      <c r="Z39" s="1808" t="str">
        <f t="shared" si="15"/>
        <v>物业管理</v>
      </c>
      <c r="AA39" s="1805">
        <f t="shared" si="3"/>
        <v>1</v>
      </c>
      <c r="AB39" s="1805">
        <f t="shared" si="4"/>
        <v>1</v>
      </c>
      <c r="AC39" s="2666">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6"/>
      <c r="M40" s="1127"/>
      <c r="N40" s="1127"/>
      <c r="O40" s="1127"/>
      <c r="P40" s="3261"/>
      <c r="Q40" s="1804" t="str">
        <f t="shared" si="11"/>
        <v>市政基础设施</v>
      </c>
      <c r="R40" s="773" t="s">
        <v>17</v>
      </c>
      <c r="S40" s="774">
        <f t="shared" si="12"/>
        <v>100</v>
      </c>
      <c r="T40" s="773" t="s">
        <v>17</v>
      </c>
      <c r="U40" s="774">
        <f t="shared" si="13"/>
        <v>100</v>
      </c>
      <c r="V40" s="773" t="s">
        <v>17</v>
      </c>
      <c r="W40" s="774">
        <f t="shared" si="14"/>
        <v>100</v>
      </c>
      <c r="X40" s="1807"/>
      <c r="Y40" s="3263"/>
      <c r="Z40" s="1808" t="str">
        <f t="shared" si="15"/>
        <v>市政基础设施</v>
      </c>
      <c r="AA40" s="1805">
        <f t="shared" si="3"/>
        <v>1</v>
      </c>
      <c r="AB40" s="1805">
        <f t="shared" si="4"/>
        <v>1</v>
      </c>
      <c r="AC40" s="2666">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61"/>
      <c r="Q41" s="1804" t="str">
        <f t="shared" si="11"/>
        <v>层高</v>
      </c>
      <c r="R41" s="773" t="s">
        <v>17</v>
      </c>
      <c r="S41" s="774">
        <f t="shared" si="12"/>
        <v>100</v>
      </c>
      <c r="T41" s="773" t="s">
        <v>17</v>
      </c>
      <c r="U41" s="774">
        <f t="shared" si="13"/>
        <v>100</v>
      </c>
      <c r="V41" s="773" t="s">
        <v>17</v>
      </c>
      <c r="W41" s="774">
        <f t="shared" si="14"/>
        <v>100</v>
      </c>
      <c r="X41" s="1807"/>
      <c r="Y41" s="3263"/>
      <c r="Z41" s="1808" t="str">
        <f t="shared" si="15"/>
        <v>层高</v>
      </c>
      <c r="AA41" s="1805">
        <f t="shared" si="3"/>
        <v>1</v>
      </c>
      <c r="AB41" s="1805">
        <f t="shared" si="4"/>
        <v>1</v>
      </c>
      <c r="AC41" s="2666">
        <f t="shared" si="5"/>
        <v>1</v>
      </c>
    </row>
    <row r="42" spans="1:29" s="470" customFormat="1" ht="15">
      <c r="A42" s="467"/>
      <c r="B42" s="1806"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61"/>
      <c r="Q42" s="775" t="str">
        <f t="shared" si="11"/>
        <v>单套建筑面积</v>
      </c>
      <c r="R42" s="776" t="s">
        <v>17</v>
      </c>
      <c r="S42" s="777">
        <f t="shared" si="12"/>
        <v>100</v>
      </c>
      <c r="T42" s="776" t="s">
        <v>17</v>
      </c>
      <c r="U42" s="777">
        <f t="shared" si="13"/>
        <v>100</v>
      </c>
      <c r="V42" s="776" t="s">
        <v>17</v>
      </c>
      <c r="W42" s="777">
        <f t="shared" si="14"/>
        <v>100</v>
      </c>
      <c r="X42" s="778"/>
      <c r="Y42" s="3263"/>
      <c r="Z42" s="779" t="str">
        <f t="shared" si="15"/>
        <v>单套建筑面积</v>
      </c>
      <c r="AA42" s="1805">
        <f t="shared" si="3"/>
        <v>1</v>
      </c>
      <c r="AB42" s="1805">
        <f t="shared" si="4"/>
        <v>1</v>
      </c>
      <c r="AC42" s="2666">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6"/>
      <c r="M43" s="1127"/>
      <c r="N43" s="1127"/>
      <c r="O43" s="1127"/>
      <c r="P43" s="3261"/>
      <c r="Q43" s="1804" t="str">
        <f t="shared" si="11"/>
        <v>内部装修</v>
      </c>
      <c r="R43" s="773" t="s">
        <v>17</v>
      </c>
      <c r="S43" s="774">
        <f t="shared" si="12"/>
        <v>100</v>
      </c>
      <c r="T43" s="773" t="s">
        <v>17</v>
      </c>
      <c r="U43" s="774">
        <f t="shared" si="13"/>
        <v>100</v>
      </c>
      <c r="V43" s="773" t="s">
        <v>17</v>
      </c>
      <c r="W43" s="774">
        <f t="shared" si="14"/>
        <v>100</v>
      </c>
      <c r="X43" s="1807"/>
      <c r="Y43" s="3263"/>
      <c r="Z43" s="1808" t="str">
        <f t="shared" si="15"/>
        <v>内部装修</v>
      </c>
      <c r="AA43" s="1805">
        <f t="shared" si="3"/>
        <v>1</v>
      </c>
      <c r="AB43" s="1805">
        <f t="shared" si="4"/>
        <v>1</v>
      </c>
      <c r="AC43" s="2666">
        <f t="shared" si="5"/>
        <v>1</v>
      </c>
    </row>
    <row r="44" spans="1:29" ht="15">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6"/>
      <c r="M44" s="1127"/>
      <c r="N44" s="1127"/>
      <c r="O44" s="1127"/>
      <c r="P44" s="3261"/>
      <c r="Q44" s="1804" t="str">
        <f t="shared" si="11"/>
        <v>内部装修维护情况</v>
      </c>
      <c r="R44" s="773" t="s">
        <v>17</v>
      </c>
      <c r="S44" s="774">
        <f t="shared" si="12"/>
        <v>100</v>
      </c>
      <c r="T44" s="773" t="s">
        <v>17</v>
      </c>
      <c r="U44" s="774">
        <f t="shared" si="13"/>
        <v>100</v>
      </c>
      <c r="V44" s="773" t="s">
        <v>17</v>
      </c>
      <c r="W44" s="774">
        <f t="shared" si="14"/>
        <v>100</v>
      </c>
      <c r="X44" s="1807"/>
      <c r="Y44" s="3263"/>
      <c r="Z44" s="1808" t="str">
        <f t="shared" si="15"/>
        <v>内部装修维护情况</v>
      </c>
      <c r="AA44" s="1805">
        <f t="shared" si="3"/>
        <v>1</v>
      </c>
      <c r="AB44" s="1805">
        <f t="shared" si="4"/>
        <v>1</v>
      </c>
      <c r="AC44" s="2666">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61"/>
      <c r="Q45" s="1789">
        <f t="shared" si="11"/>
        <v>111</v>
      </c>
      <c r="R45" s="769" t="s">
        <v>17</v>
      </c>
      <c r="S45" s="770">
        <f t="shared" si="12"/>
        <v>100</v>
      </c>
      <c r="T45" s="769" t="s">
        <v>17</v>
      </c>
      <c r="U45" s="770">
        <f t="shared" si="13"/>
        <v>100</v>
      </c>
      <c r="V45" s="769" t="s">
        <v>17</v>
      </c>
      <c r="W45" s="770">
        <f t="shared" si="14"/>
        <v>100</v>
      </c>
      <c r="X45" s="771"/>
      <c r="Y45" s="3263"/>
      <c r="Z45" s="55">
        <f t="shared" si="15"/>
        <v>111</v>
      </c>
      <c r="AA45" s="772">
        <f t="shared" si="3"/>
        <v>1</v>
      </c>
      <c r="AB45" s="772">
        <f t="shared" si="4"/>
        <v>1</v>
      </c>
      <c r="AC45" s="2663">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61"/>
      <c r="Q46" s="1804">
        <f t="shared" si="11"/>
        <v>111</v>
      </c>
      <c r="R46" s="773" t="s">
        <v>17</v>
      </c>
      <c r="S46" s="774">
        <f t="shared" si="12"/>
        <v>100</v>
      </c>
      <c r="T46" s="773" t="s">
        <v>17</v>
      </c>
      <c r="U46" s="774">
        <f t="shared" si="13"/>
        <v>100</v>
      </c>
      <c r="V46" s="773" t="s">
        <v>17</v>
      </c>
      <c r="W46" s="774">
        <f t="shared" si="14"/>
        <v>100</v>
      </c>
      <c r="X46" s="1807"/>
      <c r="Y46" s="3263"/>
      <c r="Z46" s="1808">
        <f t="shared" si="15"/>
        <v>111</v>
      </c>
      <c r="AA46" s="1805">
        <f t="shared" si="3"/>
        <v>1</v>
      </c>
      <c r="AB46" s="1805">
        <f t="shared" si="4"/>
        <v>1</v>
      </c>
      <c r="AC46" s="2666">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62"/>
      <c r="Q47" s="1804">
        <f t="shared" si="11"/>
        <v>111</v>
      </c>
      <c r="R47" s="773" t="s">
        <v>17</v>
      </c>
      <c r="S47" s="774">
        <f t="shared" si="12"/>
        <v>100</v>
      </c>
      <c r="T47" s="773" t="s">
        <v>17</v>
      </c>
      <c r="U47" s="774">
        <f t="shared" si="13"/>
        <v>100</v>
      </c>
      <c r="V47" s="773" t="s">
        <v>17</v>
      </c>
      <c r="W47" s="774">
        <f t="shared" si="14"/>
        <v>100</v>
      </c>
      <c r="X47" s="1807"/>
      <c r="Y47" s="3264"/>
      <c r="Z47" s="1808">
        <f t="shared" si="15"/>
        <v>111</v>
      </c>
      <c r="AA47" s="1805">
        <f t="shared" si="3"/>
        <v>1</v>
      </c>
      <c r="AB47" s="1805">
        <f t="shared" si="4"/>
        <v>1</v>
      </c>
      <c r="AC47" s="2666">
        <f t="shared" si="5"/>
        <v>1</v>
      </c>
    </row>
    <row r="48" spans="1:29" ht="15">
      <c r="A48" s="478" t="s">
        <v>2572</v>
      </c>
      <c r="B48" s="479"/>
      <c r="C48" s="1402" t="s">
        <v>1</v>
      </c>
      <c r="D48" s="1403"/>
      <c r="E48" s="1404"/>
      <c r="F48" s="1405"/>
      <c r="G48" s="1406"/>
      <c r="H48" s="1407"/>
      <c r="I48" s="1404"/>
      <c r="J48" s="484"/>
      <c r="K48" s="782"/>
      <c r="L48" s="1139"/>
      <c r="M48" s="1127"/>
      <c r="N48" s="1127"/>
      <c r="O48" s="1127"/>
      <c r="P48" s="3255" t="str">
        <f>A48</f>
        <v>成交单价（元/平方米）</v>
      </c>
      <c r="Q48" s="3265"/>
      <c r="R48" s="3266">
        <f>E48</f>
        <v>0</v>
      </c>
      <c r="S48" s="3266"/>
      <c r="T48" s="3266">
        <f>G48</f>
        <v>0</v>
      </c>
      <c r="U48" s="3266"/>
      <c r="V48" s="3266">
        <f>I48</f>
        <v>0</v>
      </c>
      <c r="W48" s="3266"/>
      <c r="X48" s="445"/>
      <c r="Y48" s="780"/>
      <c r="Z48" s="445"/>
      <c r="AA48" s="445"/>
      <c r="AB48" s="445"/>
      <c r="AC48" s="629"/>
    </row>
    <row r="49" spans="1:29" ht="15.75" thickBot="1">
      <c r="A49" s="485" t="s">
        <v>2664</v>
      </c>
      <c r="B49" s="486"/>
      <c r="C49" s="1408" t="e">
        <f>R50</f>
        <v>#DIV/0!</v>
      </c>
      <c r="D49" s="1409"/>
      <c r="E49" s="1410" t="e">
        <f>R49</f>
        <v>#DIV/0!</v>
      </c>
      <c r="F49" s="1410"/>
      <c r="G49" s="1408" t="e">
        <f>T49</f>
        <v>#DIV/0!</v>
      </c>
      <c r="H49" s="1409"/>
      <c r="I49" s="1410" t="e">
        <f>V49</f>
        <v>#DIV/0!</v>
      </c>
      <c r="J49" s="488"/>
      <c r="K49" s="783"/>
      <c r="L49" s="1139"/>
      <c r="M49" s="1127"/>
      <c r="N49" s="1127"/>
      <c r="O49" s="1127"/>
      <c r="P49" s="3255"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5"/>
      <c r="Y49" s="445"/>
      <c r="Z49" s="445"/>
      <c r="AA49" s="445"/>
      <c r="AB49" s="445"/>
      <c r="AC49" s="629"/>
    </row>
    <row r="50" spans="1:29" ht="15.75" thickBot="1">
      <c r="A50" s="491" t="s">
        <v>2665</v>
      </c>
      <c r="B50" s="492"/>
      <c r="C50" s="1412" t="e">
        <f>R50</f>
        <v>#DIV/0!</v>
      </c>
      <c r="D50" s="1412"/>
      <c r="E50" s="1412"/>
      <c r="F50" s="1412"/>
      <c r="G50" s="1412"/>
      <c r="H50" s="1412"/>
      <c r="I50" s="1412"/>
      <c r="J50" s="493"/>
      <c r="K50" s="784"/>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46"/>
      <c r="Y50" s="2646"/>
      <c r="Z50" s="2646"/>
      <c r="AA50" s="2646"/>
      <c r="AB50" s="2646"/>
      <c r="AC50" s="2647"/>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1"/>
      <c r="L53" s="1102"/>
      <c r="M53" s="1140"/>
      <c r="N53" s="1140"/>
      <c r="O53" s="1140"/>
    </row>
    <row r="54" spans="1:29" ht="13.5" customHeight="1">
      <c r="A54" s="1140"/>
      <c r="B54" s="1140"/>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1"/>
      <c r="L54" s="1102"/>
      <c r="M54" s="1140"/>
      <c r="N54" s="1140"/>
      <c r="O54" s="1140"/>
    </row>
    <row r="55" spans="1:29" s="501" customFormat="1" ht="13.5" customHeight="1">
      <c r="A55" s="1141"/>
      <c r="B55" s="1141"/>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4"/>
      <c r="L55" s="1145"/>
      <c r="M55" s="1141"/>
      <c r="N55" s="1141"/>
      <c r="O55" s="1141"/>
      <c r="P55" s="2672"/>
    </row>
    <row r="56" spans="1:29" s="501" customFormat="1">
      <c r="A56" s="1141"/>
      <c r="B56" s="1142"/>
      <c r="C56" s="1146"/>
      <c r="D56" s="1141"/>
      <c r="E56" s="1141"/>
      <c r="F56" s="1141"/>
      <c r="G56" s="1141"/>
      <c r="H56" s="1141"/>
      <c r="I56" s="1141"/>
      <c r="J56" s="1141"/>
      <c r="K56" s="1144"/>
      <c r="L56" s="1145"/>
      <c r="M56" s="1141"/>
      <c r="N56" s="1141"/>
      <c r="O56" s="1141"/>
      <c r="P56" s="2672"/>
    </row>
    <row r="57" spans="1:29">
      <c r="A57" s="1140"/>
      <c r="B57" s="1142"/>
      <c r="C57" s="1146"/>
      <c r="D57" s="1140"/>
      <c r="E57" s="1140"/>
      <c r="F57" s="1140"/>
      <c r="G57" s="1140"/>
      <c r="H57" s="1140"/>
      <c r="I57" s="1140"/>
      <c r="J57" s="1140"/>
      <c r="K57" s="1101"/>
      <c r="L57" s="1102"/>
      <c r="M57" s="1140"/>
      <c r="N57" s="1140"/>
      <c r="O57" s="1140"/>
    </row>
    <row r="58" spans="1:29" ht="21.75" thickBot="1">
      <c r="A58" s="762" t="s">
        <v>2669</v>
      </c>
      <c r="B58" s="758"/>
      <c r="C58" s="763"/>
      <c r="D58" s="763"/>
      <c r="E58" s="763"/>
      <c r="F58" s="764"/>
      <c r="G58" s="764"/>
      <c r="H58" s="763"/>
      <c r="I58" s="763"/>
      <c r="J58" s="763"/>
      <c r="K58" s="765"/>
      <c r="L58" s="1157"/>
      <c r="M58" s="1155"/>
      <c r="N58" s="1155"/>
      <c r="O58" s="1155"/>
      <c r="P58" s="2673"/>
      <c r="Q58" s="503"/>
    </row>
    <row r="59" spans="1:29" s="507" customFormat="1" ht="15">
      <c r="A59" s="504" t="s">
        <v>2543</v>
      </c>
      <c r="B59" s="505"/>
      <c r="C59" s="1568" t="str">
        <f>YEAR(C7)&amp;"-"&amp;MONTH(C7)</f>
        <v>2019-6</v>
      </c>
      <c r="D59" s="1569">
        <f>EDATE(C59,-1)</f>
        <v>43586</v>
      </c>
      <c r="E59" s="1569">
        <f>EDATE(D59,-1)</f>
        <v>43556</v>
      </c>
      <c r="F59" s="1569">
        <f t="shared" ref="F59:O59" si="16">EDATE(E59,-1)</f>
        <v>43525</v>
      </c>
      <c r="G59" s="1569">
        <f t="shared" si="16"/>
        <v>43497</v>
      </c>
      <c r="H59" s="1569">
        <f t="shared" si="16"/>
        <v>43466</v>
      </c>
      <c r="I59" s="1569">
        <f t="shared" si="16"/>
        <v>43435</v>
      </c>
      <c r="J59" s="1569">
        <f t="shared" si="16"/>
        <v>43405</v>
      </c>
      <c r="K59" s="1569">
        <f t="shared" si="16"/>
        <v>43374</v>
      </c>
      <c r="L59" s="1569">
        <f t="shared" si="16"/>
        <v>43344</v>
      </c>
      <c r="M59" s="1569">
        <f t="shared" si="16"/>
        <v>43313</v>
      </c>
      <c r="N59" s="1569">
        <f t="shared" si="16"/>
        <v>43282</v>
      </c>
      <c r="O59" s="1569">
        <f t="shared" si="16"/>
        <v>43252</v>
      </c>
      <c r="P59" s="1565"/>
    </row>
    <row r="60" spans="1:29" s="116" customFormat="1" ht="15">
      <c r="A60" s="508"/>
      <c r="B60" s="509"/>
      <c r="C60" s="1567">
        <v>100</v>
      </c>
      <c r="D60" s="511"/>
      <c r="E60" s="511"/>
      <c r="F60" s="511"/>
      <c r="G60" s="511"/>
      <c r="H60" s="511"/>
      <c r="I60" s="511"/>
      <c r="J60" s="511"/>
      <c r="K60" s="511"/>
      <c r="L60" s="511"/>
      <c r="M60" s="512"/>
      <c r="N60" s="511"/>
      <c r="O60" s="512"/>
      <c r="P60" s="2674"/>
    </row>
    <row r="61" spans="1:29" s="116" customFormat="1" ht="15.75" thickBot="1">
      <c r="A61" s="514" t="s">
        <v>2580</v>
      </c>
      <c r="B61" s="515"/>
      <c r="C61" s="516"/>
      <c r="D61" s="517"/>
      <c r="E61" s="517"/>
      <c r="F61" s="517"/>
      <c r="G61" s="517"/>
      <c r="H61" s="517"/>
      <c r="I61" s="517"/>
      <c r="J61" s="517"/>
      <c r="K61" s="517"/>
      <c r="L61" s="517"/>
      <c r="M61" s="518"/>
      <c r="N61" s="517"/>
      <c r="O61" s="518"/>
      <c r="P61" s="2674"/>
      <c r="Q61" s="503"/>
    </row>
    <row r="62" spans="1:29" s="116" customFormat="1" ht="15">
      <c r="A62" s="520" t="s">
        <v>2545</v>
      </c>
      <c r="B62" s="509"/>
      <c r="C62" s="521" t="s">
        <v>2647</v>
      </c>
      <c r="D62" s="522"/>
      <c r="E62" s="522"/>
      <c r="F62" s="522"/>
      <c r="G62" s="522"/>
      <c r="H62" s="522"/>
      <c r="I62" s="522"/>
      <c r="J62" s="522"/>
      <c r="K62" s="522"/>
      <c r="L62" s="523"/>
      <c r="M62" s="524"/>
      <c r="N62" s="1147"/>
      <c r="O62" s="1147"/>
      <c r="P62" s="2675"/>
      <c r="Q62" s="503"/>
    </row>
    <row r="63" spans="1:29" s="116" customFormat="1" ht="15.75" thickBot="1">
      <c r="A63" s="520"/>
      <c r="B63" s="509"/>
      <c r="C63" s="510">
        <v>100</v>
      </c>
      <c r="D63" s="511"/>
      <c r="E63" s="511"/>
      <c r="F63" s="511"/>
      <c r="G63" s="511"/>
      <c r="H63" s="511"/>
      <c r="I63" s="511"/>
      <c r="J63" s="511"/>
      <c r="K63" s="511"/>
      <c r="L63" s="511"/>
      <c r="M63" s="513"/>
      <c r="N63" s="1147"/>
      <c r="O63" s="1147"/>
      <c r="P63" s="2674"/>
      <c r="Q63" s="503"/>
    </row>
    <row r="64" spans="1:29">
      <c r="A64" s="526" t="s">
        <v>2583</v>
      </c>
      <c r="B64" s="527" t="s">
        <v>2549</v>
      </c>
      <c r="C64" s="528">
        <f>C9</f>
        <v>0</v>
      </c>
      <c r="D64" s="529"/>
      <c r="E64" s="529"/>
      <c r="F64" s="529"/>
      <c r="G64" s="529"/>
      <c r="H64" s="529"/>
      <c r="I64" s="529"/>
      <c r="J64" s="529"/>
      <c r="K64" s="530"/>
      <c r="L64" s="531"/>
      <c r="M64" s="532"/>
      <c r="N64" s="1148"/>
      <c r="O64" s="1148"/>
      <c r="P64" s="2676"/>
      <c r="Q64" s="503"/>
    </row>
    <row r="65" spans="1:17" ht="15.75" thickBot="1">
      <c r="A65" s="533"/>
      <c r="B65" s="534"/>
      <c r="C65" s="535">
        <v>100</v>
      </c>
      <c r="D65" s="535"/>
      <c r="E65" s="535"/>
      <c r="F65" s="535"/>
      <c r="G65" s="535"/>
      <c r="H65" s="535"/>
      <c r="I65" s="535"/>
      <c r="J65" s="535"/>
      <c r="K65" s="535"/>
      <c r="L65" s="535"/>
      <c r="M65" s="536"/>
      <c r="N65" s="1149"/>
      <c r="O65" s="1149"/>
      <c r="P65" s="2676"/>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8"/>
      <c r="O66" s="1148"/>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6"/>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6"/>
      <c r="Q68" s="503"/>
    </row>
    <row r="69" spans="1:17" ht="15">
      <c r="A69" s="533"/>
      <c r="B69" s="547"/>
      <c r="C69" s="548"/>
      <c r="D69" s="548"/>
      <c r="E69" s="548"/>
      <c r="F69" s="548"/>
      <c r="G69" s="548"/>
      <c r="H69" s="548"/>
      <c r="I69" s="548"/>
      <c r="J69" s="548"/>
      <c r="K69" s="549"/>
      <c r="L69" s="550"/>
      <c r="M69" s="551"/>
      <c r="N69" s="1148"/>
      <c r="O69" s="1148"/>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9"/>
      <c r="O70" s="1149"/>
      <c r="P70" s="2676"/>
      <c r="Q70" s="503"/>
    </row>
    <row r="71" spans="1:17" s="470" customFormat="1" ht="15.75" thickTop="1">
      <c r="A71" s="552"/>
      <c r="B71" s="537">
        <f>B12</f>
        <v>111</v>
      </c>
      <c r="C71" s="553"/>
      <c r="D71" s="553"/>
      <c r="E71" s="553"/>
      <c r="F71" s="553"/>
      <c r="G71" s="553"/>
      <c r="H71" s="554"/>
      <c r="I71" s="554"/>
      <c r="J71" s="554"/>
      <c r="K71" s="554"/>
      <c r="L71" s="555"/>
      <c r="M71" s="556"/>
      <c r="N71" s="1150"/>
      <c r="O71" s="1150"/>
      <c r="P71" s="2677"/>
      <c r="Q71" s="558"/>
    </row>
    <row r="72" spans="1:17" s="470" customFormat="1" ht="15.75" thickBot="1">
      <c r="A72" s="552"/>
      <c r="B72" s="542"/>
      <c r="C72" s="559"/>
      <c r="D72" s="535"/>
      <c r="E72" s="535"/>
      <c r="F72" s="535"/>
      <c r="G72" s="535"/>
      <c r="H72" s="535"/>
      <c r="I72" s="535"/>
      <c r="J72" s="535"/>
      <c r="K72" s="535"/>
      <c r="L72" s="535"/>
      <c r="M72" s="536"/>
      <c r="N72" s="1149"/>
      <c r="O72" s="1149"/>
      <c r="P72" s="2677"/>
      <c r="Q72" s="558"/>
    </row>
    <row r="73" spans="1:17" s="470" customFormat="1" ht="15.75" thickTop="1">
      <c r="A73" s="552"/>
      <c r="B73" s="537">
        <f>B13</f>
        <v>111</v>
      </c>
      <c r="C73" s="553"/>
      <c r="D73" s="553"/>
      <c r="E73" s="553"/>
      <c r="F73" s="553"/>
      <c r="G73" s="553"/>
      <c r="H73" s="554"/>
      <c r="I73" s="554"/>
      <c r="J73" s="554"/>
      <c r="K73" s="554"/>
      <c r="L73" s="555"/>
      <c r="M73" s="556"/>
      <c r="N73" s="1150"/>
      <c r="O73" s="1150"/>
      <c r="P73" s="2678"/>
      <c r="Q73" s="560"/>
    </row>
    <row r="74" spans="1:17" s="470" customFormat="1" ht="15.75" thickBot="1">
      <c r="A74" s="552"/>
      <c r="B74" s="542"/>
      <c r="C74" s="559"/>
      <c r="D74" s="559"/>
      <c r="E74" s="559"/>
      <c r="F74" s="559"/>
      <c r="G74" s="559"/>
      <c r="H74" s="561"/>
      <c r="I74" s="561"/>
      <c r="J74" s="561"/>
      <c r="K74" s="561"/>
      <c r="L74" s="561"/>
      <c r="M74" s="562"/>
      <c r="N74" s="1150"/>
      <c r="O74" s="1150"/>
      <c r="P74" s="2677"/>
      <c r="Q74" s="558"/>
    </row>
    <row r="75" spans="1:17" s="470" customFormat="1" ht="15.75" thickTop="1">
      <c r="A75" s="552"/>
      <c r="B75" s="545">
        <f>B14</f>
        <v>111</v>
      </c>
      <c r="C75" s="522"/>
      <c r="D75" s="522"/>
      <c r="E75" s="522"/>
      <c r="F75" s="522"/>
      <c r="G75" s="522"/>
      <c r="H75" s="563"/>
      <c r="I75" s="563"/>
      <c r="J75" s="563"/>
      <c r="K75" s="563"/>
      <c r="L75" s="564"/>
      <c r="M75" s="565"/>
      <c r="N75" s="1150"/>
      <c r="O75" s="1150"/>
      <c r="P75" s="2679"/>
      <c r="Q75" s="558"/>
    </row>
    <row r="76" spans="1:17" s="470" customFormat="1" ht="15.75" thickBot="1">
      <c r="A76" s="567"/>
      <c r="B76" s="568"/>
      <c r="C76" s="569"/>
      <c r="D76" s="569"/>
      <c r="E76" s="569"/>
      <c r="F76" s="569"/>
      <c r="G76" s="569"/>
      <c r="H76" s="570"/>
      <c r="I76" s="570"/>
      <c r="J76" s="570"/>
      <c r="K76" s="570"/>
      <c r="L76" s="570"/>
      <c r="M76" s="571"/>
      <c r="N76" s="1150"/>
      <c r="O76" s="1150"/>
      <c r="P76" s="2677"/>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8"/>
      <c r="O77" s="1148"/>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9"/>
      <c r="O78" s="1149"/>
      <c r="P78" s="2676"/>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8"/>
      <c r="O79" s="1148"/>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9"/>
      <c r="O80" s="1149"/>
      <c r="P80" s="2676"/>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8"/>
      <c r="O81" s="1148"/>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9"/>
      <c r="O82" s="1149"/>
      <c r="P82" s="2676"/>
      <c r="Q82" s="503"/>
    </row>
    <row r="83" spans="1:17" ht="15.75" thickTop="1">
      <c r="A83" s="533"/>
      <c r="B83" s="545" t="s">
        <v>2684</v>
      </c>
      <c r="C83" s="659" t="s">
        <v>2670</v>
      </c>
      <c r="D83" s="659" t="s">
        <v>2671</v>
      </c>
      <c r="E83" s="659" t="s">
        <v>2672</v>
      </c>
      <c r="F83" s="659" t="s">
        <v>2673</v>
      </c>
      <c r="G83" s="659" t="s">
        <v>2674</v>
      </c>
      <c r="H83" s="538"/>
      <c r="I83" s="538"/>
      <c r="J83" s="538"/>
      <c r="K83" s="538"/>
      <c r="L83" s="538"/>
      <c r="M83" s="1378"/>
      <c r="N83" s="1149"/>
      <c r="O83" s="1149"/>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9"/>
      <c r="O84" s="1149"/>
      <c r="P84" s="2676"/>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8"/>
      <c r="O85" s="1148"/>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9"/>
      <c r="O86" s="1149"/>
      <c r="P86" s="2676"/>
      <c r="Q86" s="503"/>
    </row>
    <row r="87" spans="1:17" s="116" customFormat="1" ht="27.75" thickTop="1">
      <c r="A87" s="578"/>
      <c r="B87" s="537" t="s">
        <v>2694</v>
      </c>
      <c r="C87" s="553"/>
      <c r="D87" s="553"/>
      <c r="E87" s="553"/>
      <c r="F87" s="553"/>
      <c r="G87" s="553"/>
      <c r="H87" s="553"/>
      <c r="I87" s="553"/>
      <c r="J87" s="553"/>
      <c r="K87" s="553"/>
      <c r="L87" s="579"/>
      <c r="M87" s="580"/>
      <c r="N87" s="1147"/>
      <c r="O87" s="1147"/>
      <c r="P87" s="267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9"/>
      <c r="O88" s="1149"/>
      <c r="P88" s="2676"/>
      <c r="Q88" s="503"/>
    </row>
    <row r="89" spans="1:17" s="116" customFormat="1" ht="15.75" thickTop="1">
      <c r="A89" s="578"/>
      <c r="B89" s="537" t="str">
        <f>B27</f>
        <v>楼层</v>
      </c>
      <c r="C89" s="553"/>
      <c r="D89" s="553"/>
      <c r="E89" s="553"/>
      <c r="F89" s="2627"/>
      <c r="G89" s="553"/>
      <c r="H89" s="553"/>
      <c r="I89" s="553"/>
      <c r="J89" s="553"/>
      <c r="K89" s="553"/>
      <c r="L89" s="553"/>
      <c r="M89" s="580"/>
      <c r="N89" s="1147"/>
      <c r="O89" s="1147"/>
      <c r="P89" s="267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6"/>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7"/>
      <c r="Q92" s="558"/>
    </row>
    <row r="93" spans="1:17" ht="15.75" thickTop="1">
      <c r="A93" s="533"/>
      <c r="B93" s="537">
        <f>B29</f>
        <v>111</v>
      </c>
      <c r="C93" s="553"/>
      <c r="D93" s="553"/>
      <c r="E93" s="553"/>
      <c r="F93" s="553"/>
      <c r="G93" s="553"/>
      <c r="H93" s="553"/>
      <c r="I93" s="553"/>
      <c r="J93" s="553"/>
      <c r="K93" s="553"/>
      <c r="L93" s="579"/>
      <c r="M93" s="580"/>
      <c r="N93" s="1148"/>
      <c r="O93" s="1148"/>
      <c r="P93" s="2676"/>
      <c r="Q93" s="503"/>
    </row>
    <row r="94" spans="1:17" ht="15.75" thickBot="1">
      <c r="A94" s="533"/>
      <c r="B94" s="542"/>
      <c r="C94" s="559"/>
      <c r="D94" s="535"/>
      <c r="E94" s="535"/>
      <c r="F94" s="535"/>
      <c r="G94" s="535"/>
      <c r="H94" s="535"/>
      <c r="I94" s="535"/>
      <c r="J94" s="535"/>
      <c r="K94" s="535"/>
      <c r="L94" s="535"/>
      <c r="M94" s="536"/>
      <c r="N94" s="1149"/>
      <c r="O94" s="1149"/>
      <c r="P94" s="2676"/>
      <c r="Q94" s="503"/>
    </row>
    <row r="95" spans="1:17" ht="15.75" thickTop="1">
      <c r="A95" s="533"/>
      <c r="B95" s="537">
        <f>B30</f>
        <v>111</v>
      </c>
      <c r="C95" s="553"/>
      <c r="D95" s="553"/>
      <c r="E95" s="553"/>
      <c r="F95" s="553"/>
      <c r="G95" s="582"/>
      <c r="H95" s="582"/>
      <c r="I95" s="582"/>
      <c r="J95" s="582"/>
      <c r="K95" s="583"/>
      <c r="L95" s="584"/>
      <c r="M95" s="585"/>
      <c r="N95" s="1148"/>
      <c r="O95" s="1148"/>
      <c r="P95" s="2676"/>
      <c r="Q95" s="503"/>
    </row>
    <row r="96" spans="1:17" ht="15.75" thickBot="1">
      <c r="A96" s="533"/>
      <c r="B96" s="542"/>
      <c r="C96" s="559"/>
      <c r="D96" s="559"/>
      <c r="E96" s="559"/>
      <c r="F96" s="559"/>
      <c r="G96" s="535"/>
      <c r="H96" s="535"/>
      <c r="I96" s="535"/>
      <c r="J96" s="535"/>
      <c r="K96" s="535"/>
      <c r="L96" s="535"/>
      <c r="M96" s="536"/>
      <c r="N96" s="1149"/>
      <c r="O96" s="1149"/>
      <c r="P96" s="2676"/>
      <c r="Q96" s="503"/>
    </row>
    <row r="97" spans="1:17" ht="15.75" thickTop="1">
      <c r="A97" s="533"/>
      <c r="B97" s="537">
        <f>B31</f>
        <v>111</v>
      </c>
      <c r="C97" s="553"/>
      <c r="D97" s="553"/>
      <c r="E97" s="553"/>
      <c r="F97" s="553"/>
      <c r="G97" s="582"/>
      <c r="H97" s="582"/>
      <c r="I97" s="582"/>
      <c r="J97" s="582"/>
      <c r="K97" s="583"/>
      <c r="L97" s="584"/>
      <c r="M97" s="585"/>
      <c r="N97" s="1148"/>
      <c r="O97" s="1148"/>
      <c r="P97" s="2676"/>
      <c r="Q97" s="503"/>
    </row>
    <row r="98" spans="1:17" ht="15.75" thickBot="1">
      <c r="A98" s="533"/>
      <c r="B98" s="542"/>
      <c r="C98" s="559"/>
      <c r="D98" s="535"/>
      <c r="E98" s="535"/>
      <c r="F98" s="535"/>
      <c r="G98" s="535"/>
      <c r="H98" s="535"/>
      <c r="I98" s="535"/>
      <c r="J98" s="535"/>
      <c r="K98" s="535"/>
      <c r="L98" s="535"/>
      <c r="M98" s="536"/>
      <c r="N98" s="1149"/>
      <c r="O98" s="1149"/>
      <c r="P98" s="2676"/>
      <c r="Q98" s="503"/>
    </row>
    <row r="99" spans="1:17" ht="15.75" thickTop="1">
      <c r="A99" s="533"/>
      <c r="B99" s="545">
        <f>B32</f>
        <v>111</v>
      </c>
      <c r="C99" s="522"/>
      <c r="D99" s="522"/>
      <c r="E99" s="522"/>
      <c r="F99" s="522"/>
      <c r="G99" s="586"/>
      <c r="H99" s="586"/>
      <c r="I99" s="586"/>
      <c r="J99" s="586"/>
      <c r="K99" s="587"/>
      <c r="L99" s="588"/>
      <c r="M99" s="589"/>
      <c r="N99" s="1148"/>
      <c r="O99" s="1148"/>
      <c r="P99" s="2676"/>
      <c r="Q99" s="503"/>
    </row>
    <row r="100" spans="1:17" ht="15.75" thickBot="1">
      <c r="A100" s="2628"/>
      <c r="B100" s="568"/>
      <c r="C100" s="569"/>
      <c r="D100" s="569"/>
      <c r="E100" s="569"/>
      <c r="F100" s="569"/>
      <c r="G100" s="590"/>
      <c r="H100" s="590"/>
      <c r="I100" s="590"/>
      <c r="J100" s="590"/>
      <c r="K100" s="590"/>
      <c r="L100" s="590"/>
      <c r="M100" s="591"/>
      <c r="N100" s="1149"/>
      <c r="O100" s="1149"/>
      <c r="P100" s="2676"/>
      <c r="Q100" s="503"/>
    </row>
    <row r="101" spans="1:17">
      <c r="A101" s="526" t="s">
        <v>2558</v>
      </c>
      <c r="B101" s="527" t="s">
        <v>2607</v>
      </c>
      <c r="C101" s="529"/>
      <c r="D101" s="529"/>
      <c r="E101" s="529"/>
      <c r="F101" s="529"/>
      <c r="G101" s="529"/>
      <c r="H101" s="529"/>
      <c r="I101" s="529"/>
      <c r="J101" s="529"/>
      <c r="K101" s="530"/>
      <c r="L101" s="531"/>
      <c r="M101" s="532"/>
      <c r="N101" s="1148"/>
      <c r="O101" s="1148"/>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9"/>
      <c r="O102" s="1149"/>
      <c r="P102" s="2676"/>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7"/>
      <c r="O103" s="1147"/>
      <c r="P103" s="2676"/>
      <c r="Q103" s="503"/>
    </row>
    <row r="104" spans="1:17" s="470" customFormat="1">
      <c r="A104" s="592"/>
      <c r="B104" s="593"/>
      <c r="C104" s="594"/>
      <c r="D104" s="594"/>
      <c r="E104" s="594"/>
      <c r="F104" s="594"/>
      <c r="G104" s="594"/>
      <c r="H104" s="594"/>
      <c r="I104" s="594"/>
      <c r="J104" s="595"/>
      <c r="K104" s="595"/>
      <c r="L104" s="596"/>
      <c r="M104" s="597"/>
      <c r="N104" s="1150"/>
      <c r="O104" s="1150"/>
      <c r="P104" s="2677"/>
      <c r="Q104" s="558"/>
    </row>
    <row r="105" spans="1:17" s="470" customFormat="1" ht="15.75" thickBot="1">
      <c r="A105" s="552"/>
      <c r="B105" s="542"/>
      <c r="C105" s="559"/>
      <c r="D105" s="535"/>
      <c r="E105" s="535"/>
      <c r="F105" s="535"/>
      <c r="G105" s="535"/>
      <c r="H105" s="535"/>
      <c r="I105" s="535"/>
      <c r="J105" s="535"/>
      <c r="K105" s="535"/>
      <c r="L105" s="535"/>
      <c r="M105" s="536"/>
      <c r="N105" s="1149"/>
      <c r="O105" s="1149"/>
      <c r="P105" s="2677"/>
      <c r="Q105" s="558"/>
    </row>
    <row r="106" spans="1:17" ht="15" thickTop="1">
      <c r="A106" s="598"/>
      <c r="B106" s="537" t="s">
        <v>2609</v>
      </c>
      <c r="C106" s="553"/>
      <c r="D106" s="553"/>
      <c r="E106" s="582"/>
      <c r="F106" s="582"/>
      <c r="G106" s="582"/>
      <c r="H106" s="582"/>
      <c r="I106" s="582"/>
      <c r="J106" s="582"/>
      <c r="K106" s="583"/>
      <c r="L106" s="584"/>
      <c r="M106" s="585"/>
      <c r="N106" s="1148"/>
      <c r="O106" s="1148"/>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6"/>
      <c r="Q107" s="503"/>
    </row>
    <row r="108" spans="1:17" ht="15" thickTop="1">
      <c r="A108" s="598"/>
      <c r="B108" s="537" t="s">
        <v>2611</v>
      </c>
      <c r="C108" s="553"/>
      <c r="D108" s="553"/>
      <c r="E108" s="553"/>
      <c r="F108" s="582"/>
      <c r="G108" s="582"/>
      <c r="H108" s="582"/>
      <c r="I108" s="582"/>
      <c r="J108" s="582"/>
      <c r="K108" s="583"/>
      <c r="L108" s="584"/>
      <c r="M108" s="585"/>
      <c r="N108" s="1148"/>
      <c r="O108" s="1148"/>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6"/>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6"/>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9"/>
      <c r="O112" s="1149"/>
      <c r="P112" s="2676"/>
      <c r="Q112" s="503"/>
    </row>
    <row r="113" spans="1:17" s="470" customFormat="1" ht="15" thickTop="1">
      <c r="A113" s="592"/>
      <c r="B113" s="537" t="s">
        <v>2695</v>
      </c>
      <c r="C113" s="553"/>
      <c r="D113" s="553"/>
      <c r="E113" s="553"/>
      <c r="F113" s="553"/>
      <c r="G113" s="553"/>
      <c r="H113" s="582"/>
      <c r="I113" s="582"/>
      <c r="J113" s="582"/>
      <c r="K113" s="583"/>
      <c r="L113" s="584"/>
      <c r="M113" s="585"/>
      <c r="N113" s="1150"/>
      <c r="O113" s="1150"/>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7"/>
      <c r="Q114" s="558"/>
    </row>
    <row r="115" spans="1:17" ht="15" thickTop="1">
      <c r="A115" s="598"/>
      <c r="B115" s="537" t="s">
        <v>2612</v>
      </c>
      <c r="C115" s="553"/>
      <c r="D115" s="553"/>
      <c r="E115" s="582"/>
      <c r="F115" s="582"/>
      <c r="G115" s="582"/>
      <c r="H115" s="582"/>
      <c r="I115" s="582"/>
      <c r="J115" s="582"/>
      <c r="K115" s="583"/>
      <c r="L115" s="584"/>
      <c r="M115" s="585"/>
      <c r="N115" s="1148"/>
      <c r="O115" s="1148"/>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6"/>
      <c r="Q116" s="503"/>
    </row>
    <row r="117" spans="1:17" ht="15" thickTop="1">
      <c r="A117" s="598"/>
      <c r="B117" s="537" t="s">
        <v>2613</v>
      </c>
      <c r="C117" s="553"/>
      <c r="D117" s="553"/>
      <c r="E117" s="553"/>
      <c r="F117" s="553"/>
      <c r="G117" s="553"/>
      <c r="H117" s="582"/>
      <c r="I117" s="582"/>
      <c r="J117" s="582"/>
      <c r="K117" s="583"/>
      <c r="L117" s="584"/>
      <c r="M117" s="585"/>
      <c r="N117" s="1148"/>
      <c r="O117" s="1148"/>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6"/>
      <c r="Q118" s="503"/>
    </row>
    <row r="119" spans="1:17" ht="15" thickTop="1">
      <c r="A119" s="598"/>
      <c r="B119" s="635" t="s">
        <v>2696</v>
      </c>
      <c r="C119" s="582"/>
      <c r="D119" s="582"/>
      <c r="E119" s="582"/>
      <c r="F119" s="582"/>
      <c r="G119" s="582"/>
      <c r="H119" s="582"/>
      <c r="I119" s="582"/>
      <c r="J119" s="582"/>
      <c r="K119" s="582"/>
      <c r="L119" s="2681"/>
      <c r="M119" s="2682"/>
      <c r="N119" s="1149"/>
      <c r="O119" s="1149"/>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6"/>
      <c r="Q120" s="503"/>
    </row>
    <row r="121" spans="1:17" s="470" customFormat="1" ht="15" thickTop="1">
      <c r="A121" s="592"/>
      <c r="B121" s="537" t="s">
        <v>2679</v>
      </c>
      <c r="C121" s="553"/>
      <c r="D121" s="553"/>
      <c r="E121" s="553"/>
      <c r="F121" s="582"/>
      <c r="G121" s="554"/>
      <c r="H121" s="554"/>
      <c r="I121" s="554"/>
      <c r="J121" s="554"/>
      <c r="K121" s="554"/>
      <c r="L121" s="555"/>
      <c r="M121" s="556"/>
      <c r="N121" s="1150"/>
      <c r="O121" s="1150"/>
      <c r="P121" s="2677"/>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7"/>
      <c r="Q122" s="558"/>
    </row>
    <row r="123" spans="1:17" ht="15" thickTop="1">
      <c r="A123" s="598"/>
      <c r="B123" s="537" t="s">
        <v>2615</v>
      </c>
      <c r="C123" s="553"/>
      <c r="D123" s="553"/>
      <c r="E123" s="553"/>
      <c r="F123" s="582"/>
      <c r="G123" s="582"/>
      <c r="H123" s="582"/>
      <c r="I123" s="582"/>
      <c r="J123" s="582"/>
      <c r="K123" s="583"/>
      <c r="L123" s="584"/>
      <c r="M123" s="585"/>
      <c r="N123" s="1148"/>
      <c r="O123" s="1148"/>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6"/>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8"/>
      <c r="O125" s="1148"/>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6"/>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7"/>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7"/>
      <c r="Q128" s="558"/>
    </row>
    <row r="129" spans="1:17" ht="15" thickTop="1">
      <c r="A129" s="598"/>
      <c r="B129" s="537">
        <f>B46</f>
        <v>111</v>
      </c>
      <c r="C129" s="553"/>
      <c r="D129" s="553"/>
      <c r="E129" s="553"/>
      <c r="F129" s="553"/>
      <c r="G129" s="582"/>
      <c r="H129" s="582"/>
      <c r="I129" s="582"/>
      <c r="J129" s="582"/>
      <c r="K129" s="583"/>
      <c r="L129" s="584"/>
      <c r="M129" s="585"/>
      <c r="N129" s="1148"/>
      <c r="O129" s="1148"/>
      <c r="P129" s="2676"/>
      <c r="Q129" s="503"/>
    </row>
    <row r="130" spans="1:17" ht="15.75" thickBot="1">
      <c r="A130" s="533"/>
      <c r="B130" s="542"/>
      <c r="C130" s="559"/>
      <c r="D130" s="559"/>
      <c r="E130" s="559"/>
      <c r="F130" s="559"/>
      <c r="G130" s="535"/>
      <c r="H130" s="535"/>
      <c r="I130" s="535"/>
      <c r="J130" s="535"/>
      <c r="K130" s="535"/>
      <c r="L130" s="535"/>
      <c r="M130" s="536"/>
      <c r="N130" s="1149"/>
      <c r="O130" s="1149"/>
      <c r="P130" s="2676"/>
      <c r="Q130" s="503"/>
    </row>
    <row r="131" spans="1:17" ht="15" thickTop="1">
      <c r="A131" s="598"/>
      <c r="B131" s="545">
        <f>B47</f>
        <v>111</v>
      </c>
      <c r="C131" s="522"/>
      <c r="D131" s="522"/>
      <c r="E131" s="522"/>
      <c r="F131" s="522"/>
      <c r="G131" s="586"/>
      <c r="H131" s="586"/>
      <c r="I131" s="586"/>
      <c r="J131" s="586"/>
      <c r="K131" s="522"/>
      <c r="L131" s="523"/>
      <c r="M131" s="589"/>
      <c r="N131" s="1148"/>
      <c r="O131" s="1148"/>
      <c r="P131" s="2676"/>
      <c r="Q131" s="503"/>
    </row>
    <row r="132" spans="1:17" ht="15.75" thickBot="1">
      <c r="A132" s="2628"/>
      <c r="B132" s="568"/>
      <c r="C132" s="569"/>
      <c r="D132" s="569"/>
      <c r="E132" s="569"/>
      <c r="F132" s="569"/>
      <c r="G132" s="590"/>
      <c r="H132" s="590"/>
      <c r="I132" s="590"/>
      <c r="J132" s="590"/>
      <c r="K132" s="590"/>
      <c r="L132" s="590"/>
      <c r="M132" s="591"/>
      <c r="N132" s="1149"/>
      <c r="O132" s="1149"/>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2523</v>
      </c>
      <c r="B1" s="2661" t="s">
        <v>2697</v>
      </c>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IF(C2="——",ROUND(C43*D3/10000,0),ROUND(C43*D3/10000,0)-D2)</f>
        <v>#DIV/0!</v>
      </c>
      <c r="C2" s="2579"/>
      <c r="D2" s="1120" t="e">
        <f ca="1">SUMIF(INDIRECT("'"&amp;F2&amp;"'"&amp;"!A:A"),"承租人权益价值",INDIRECT("'"&amp;F2&amp;"'"&amp;"!c:c"))</f>
        <v>#REF!</v>
      </c>
      <c r="E2" s="2580" t="s">
        <v>2326</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2639</v>
      </c>
      <c r="D3" s="398">
        <f>IF(D1="",'数据-汇总表'!E3,SUMIF('数据-汇总表'!$C19:$C33,D1,'数据-汇总表'!$E19:$E33))</f>
        <v>63702.12999999999</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25" t="s">
        <v>2643</v>
      </c>
      <c r="AC4" s="3224" t="s">
        <v>2644</v>
      </c>
    </row>
    <row r="5" spans="1:29" ht="15">
      <c r="A5" s="403"/>
      <c r="B5" s="404"/>
      <c r="C5" s="3270" t="s">
        <v>2537</v>
      </c>
      <c r="D5" s="3242"/>
      <c r="E5" s="3272" t="s">
        <v>2538</v>
      </c>
      <c r="F5" s="3244"/>
      <c r="G5" s="3270" t="s">
        <v>2539</v>
      </c>
      <c r="H5" s="3242"/>
      <c r="I5" s="3270" t="s">
        <v>2540</v>
      </c>
      <c r="J5" s="3242"/>
      <c r="K5" s="609"/>
      <c r="L5" s="1126"/>
      <c r="M5" s="1127"/>
      <c r="N5" s="1127"/>
      <c r="O5" s="1127"/>
      <c r="P5" s="3233"/>
      <c r="Q5" s="3234"/>
      <c r="R5" s="3239"/>
      <c r="S5" s="3240"/>
      <c r="T5" s="3239"/>
      <c r="U5" s="3240"/>
      <c r="V5" s="3251"/>
      <c r="W5" s="3251"/>
      <c r="X5" s="1807"/>
      <c r="Y5" s="3239"/>
      <c r="Z5" s="3240"/>
      <c r="AA5" s="3225"/>
      <c r="AB5" s="3225"/>
      <c r="AC5" s="3225"/>
    </row>
    <row r="6" spans="1:29" ht="15.75" thickBot="1">
      <c r="A6" s="405"/>
      <c r="B6" s="406"/>
      <c r="C6" s="3245" t="s">
        <v>2541</v>
      </c>
      <c r="D6" s="3246"/>
      <c r="E6" s="3271" t="s">
        <v>2541</v>
      </c>
      <c r="F6" s="3248"/>
      <c r="G6" s="3245" t="s">
        <v>2541</v>
      </c>
      <c r="H6" s="3246"/>
      <c r="I6" s="3245" t="s">
        <v>2541</v>
      </c>
      <c r="J6" s="3246"/>
      <c r="K6" s="609" t="s">
        <v>2542</v>
      </c>
      <c r="L6" s="1126"/>
      <c r="M6" s="1127"/>
      <c r="N6" s="1127"/>
      <c r="O6" s="1127"/>
      <c r="P6" s="3235"/>
      <c r="Q6" s="3236"/>
      <c r="R6" s="3239"/>
      <c r="S6" s="3240"/>
      <c r="T6" s="3249"/>
      <c r="U6" s="3250"/>
      <c r="V6" s="3251"/>
      <c r="W6" s="3251"/>
      <c r="X6" s="1807"/>
      <c r="Y6" s="3249"/>
      <c r="Z6" s="3250"/>
      <c r="AA6" s="3226"/>
      <c r="AB6" s="3226"/>
      <c r="AC6" s="3226"/>
    </row>
    <row r="7" spans="1:29" s="116" customFormat="1" ht="15.75" thickBot="1">
      <c r="A7" s="407" t="s">
        <v>2543</v>
      </c>
      <c r="B7" s="408"/>
      <c r="C7" s="409">
        <f>'数据-取费表'!B2</f>
        <v>43633</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52" t="s">
        <v>2544</v>
      </c>
      <c r="Q7" s="3253"/>
      <c r="R7" s="769" t="s">
        <v>17</v>
      </c>
      <c r="S7" s="770">
        <f t="shared" ref="S7:S15" si="0">F7</f>
        <v>0</v>
      </c>
      <c r="T7" s="769" t="s">
        <v>17</v>
      </c>
      <c r="U7" s="770">
        <f t="shared" ref="U7:U15" si="1">H7</f>
        <v>0</v>
      </c>
      <c r="V7" s="769" t="s">
        <v>17</v>
      </c>
      <c r="W7" s="770">
        <f t="shared" ref="W7:W15" si="2">J7</f>
        <v>0</v>
      </c>
      <c r="X7" s="771"/>
      <c r="Y7" s="3252" t="s">
        <v>2544</v>
      </c>
      <c r="Z7" s="3254"/>
      <c r="AA7" s="772" t="e">
        <f>D7/F7</f>
        <v>#DIV/0!</v>
      </c>
      <c r="AB7" s="772" t="e">
        <f>D7/H7</f>
        <v>#DIV/0!</v>
      </c>
      <c r="AC7" s="772"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52" t="s">
        <v>2547</v>
      </c>
      <c r="Q8" s="3254"/>
      <c r="R8" s="769" t="s">
        <v>17</v>
      </c>
      <c r="S8" s="770">
        <f t="shared" si="0"/>
        <v>0</v>
      </c>
      <c r="T8" s="769" t="s">
        <v>17</v>
      </c>
      <c r="U8" s="770">
        <f t="shared" si="1"/>
        <v>0</v>
      </c>
      <c r="V8" s="769" t="s">
        <v>17</v>
      </c>
      <c r="W8" s="770">
        <f t="shared" si="2"/>
        <v>0</v>
      </c>
      <c r="X8" s="771"/>
      <c r="Y8" s="3252" t="s">
        <v>2547</v>
      </c>
      <c r="Z8" s="3254"/>
      <c r="AA8" s="772" t="e">
        <f t="shared" ref="AA8:AA40" si="3">D8/F8</f>
        <v>#DIV/0!</v>
      </c>
      <c r="AB8" s="772" t="e">
        <f t="shared" ref="AB8:AB40" si="4">D8/H8</f>
        <v>#DIV/0!</v>
      </c>
      <c r="AC8" s="772"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65" t="s">
        <v>2550</v>
      </c>
      <c r="Q9" s="1789" t="str">
        <f t="shared" ref="Q9:Q15" si="6">B9</f>
        <v>用途</v>
      </c>
      <c r="R9" s="769" t="s">
        <v>17</v>
      </c>
      <c r="S9" s="770">
        <f t="shared" si="0"/>
        <v>100</v>
      </c>
      <c r="T9" s="769" t="s">
        <v>17</v>
      </c>
      <c r="U9" s="770">
        <f t="shared" si="1"/>
        <v>100</v>
      </c>
      <c r="V9" s="769" t="s">
        <v>17</v>
      </c>
      <c r="W9" s="770">
        <f t="shared" si="2"/>
        <v>100</v>
      </c>
      <c r="X9" s="771"/>
      <c r="Y9" s="3039"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6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65"/>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4"/>
      <c r="H12" s="135">
        <f>SUMIF(64:64,G12,65:65)-SUMIF(64:64,C12,65:65)+100</f>
        <v>100</v>
      </c>
      <c r="I12" s="468"/>
      <c r="J12" s="135">
        <f>SUMIF(64:64,I12,65:65)-SUMIF(64:64,C12,65:65)+100</f>
        <v>100</v>
      </c>
      <c r="K12" s="612"/>
      <c r="L12" s="1128"/>
      <c r="M12" s="1129"/>
      <c r="N12" s="1129"/>
      <c r="O12" s="1130"/>
      <c r="P12" s="326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4"/>
      <c r="H13" s="434">
        <f>SUMIF(66:66,G13,67:67)-SUMIF(66:66,C13,67:67)+100</f>
        <v>100</v>
      </c>
      <c r="I13" s="468"/>
      <c r="J13" s="434">
        <f>SUMIF(66:66,I13,67:67)-SUMIF(66:66,C13,67:67)+100</f>
        <v>100</v>
      </c>
      <c r="K13" s="612"/>
      <c r="L13" s="1136"/>
      <c r="M13" s="1127"/>
      <c r="N13" s="1127"/>
      <c r="O13" s="1135"/>
      <c r="P13" s="326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4"/>
      <c r="H14" s="437">
        <f>SUMIF(68:68,G14,69:69)-SUMIF(68:68,C14,69:69)+100</f>
        <v>100</v>
      </c>
      <c r="I14" s="468"/>
      <c r="J14" s="437">
        <f>SUMIF(68:68,I14,69:69)-SUMIF(68:68,C14,69:69)+100</f>
        <v>100</v>
      </c>
      <c r="K14" s="612"/>
      <c r="L14" s="1136"/>
      <c r="M14" s="1127"/>
      <c r="N14" s="1127"/>
      <c r="O14" s="1135"/>
      <c r="P14" s="3265"/>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2554</v>
      </c>
      <c r="B15" s="69" t="s">
        <v>2698</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58" t="s">
        <v>2555</v>
      </c>
      <c r="Q15" s="1804" t="str">
        <f t="shared" si="6"/>
        <v>产业集聚程度</v>
      </c>
      <c r="R15" s="773" t="s">
        <v>17</v>
      </c>
      <c r="S15" s="774">
        <f t="shared" si="0"/>
        <v>100</v>
      </c>
      <c r="T15" s="773" t="s">
        <v>17</v>
      </c>
      <c r="U15" s="774">
        <f t="shared" si="1"/>
        <v>100</v>
      </c>
      <c r="V15" s="773" t="s">
        <v>17</v>
      </c>
      <c r="W15" s="774">
        <f t="shared" si="2"/>
        <v>100</v>
      </c>
      <c r="X15" s="1807"/>
      <c r="Y15" s="3258" t="s">
        <v>2555</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6"/>
      <c r="M16" s="1127"/>
      <c r="N16" s="1127"/>
      <c r="O16" s="1135"/>
      <c r="P16" s="3259"/>
      <c r="Q16" s="1804"/>
      <c r="R16" s="773"/>
      <c r="S16" s="774"/>
      <c r="T16" s="773"/>
      <c r="U16" s="774"/>
      <c r="V16" s="773"/>
      <c r="W16" s="774"/>
      <c r="X16" s="1807"/>
      <c r="Y16" s="3259"/>
      <c r="Z16" s="1808"/>
      <c r="AA16" s="1805">
        <v>1</v>
      </c>
      <c r="AB16" s="1805">
        <v>1</v>
      </c>
      <c r="AC16" s="1805">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59"/>
      <c r="Q17" s="1804" t="str">
        <f>B17</f>
        <v>交通便捷度</v>
      </c>
      <c r="R17" s="773" t="s">
        <v>17</v>
      </c>
      <c r="S17" s="774">
        <f>F17</f>
        <v>100</v>
      </c>
      <c r="T17" s="773" t="s">
        <v>17</v>
      </c>
      <c r="U17" s="774">
        <f>H17</f>
        <v>100</v>
      </c>
      <c r="V17" s="773" t="s">
        <v>17</v>
      </c>
      <c r="W17" s="774">
        <f>J17</f>
        <v>100</v>
      </c>
      <c r="X17" s="1807"/>
      <c r="Y17" s="3259"/>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6"/>
      <c r="M18" s="1127"/>
      <c r="N18" s="1127"/>
      <c r="O18" s="1135"/>
      <c r="P18" s="3259"/>
      <c r="Q18" s="1804"/>
      <c r="R18" s="773"/>
      <c r="S18" s="774"/>
      <c r="T18" s="773"/>
      <c r="U18" s="774"/>
      <c r="V18" s="773"/>
      <c r="W18" s="774"/>
      <c r="X18" s="1807"/>
      <c r="Y18" s="3259"/>
      <c r="Z18" s="1808"/>
      <c r="AA18" s="1805">
        <v>1</v>
      </c>
      <c r="AB18" s="1805">
        <v>1</v>
      </c>
      <c r="AC18" s="1805">
        <v>1</v>
      </c>
    </row>
    <row r="19" spans="1:29" ht="42.75">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59"/>
      <c r="Q19" s="1804" t="str">
        <f>B19</f>
        <v>公共配套设施</v>
      </c>
      <c r="R19" s="773" t="s">
        <v>17</v>
      </c>
      <c r="S19" s="774">
        <f>F19</f>
        <v>100</v>
      </c>
      <c r="T19" s="773" t="s">
        <v>17</v>
      </c>
      <c r="U19" s="774">
        <f>H19</f>
        <v>100</v>
      </c>
      <c r="V19" s="773" t="s">
        <v>17</v>
      </c>
      <c r="W19" s="774">
        <f>J19</f>
        <v>100</v>
      </c>
      <c r="X19" s="1807"/>
      <c r="Y19" s="3259"/>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6"/>
      <c r="M20" s="1127"/>
      <c r="N20" s="1127"/>
      <c r="O20" s="1135"/>
      <c r="P20" s="3259"/>
      <c r="Q20" s="1804"/>
      <c r="R20" s="773"/>
      <c r="S20" s="774"/>
      <c r="T20" s="773"/>
      <c r="U20" s="774"/>
      <c r="V20" s="773"/>
      <c r="W20" s="774"/>
      <c r="X20" s="1807"/>
      <c r="Y20" s="3259"/>
      <c r="Z20" s="1808"/>
      <c r="AA20" s="1805">
        <v>1</v>
      </c>
      <c r="AB20" s="1805">
        <v>1</v>
      </c>
      <c r="AC20" s="1805">
        <v>1</v>
      </c>
    </row>
    <row r="21" spans="1:29" ht="28.5">
      <c r="A21" s="427"/>
      <c r="B21" s="1380"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59"/>
      <c r="Q21" s="1804" t="str">
        <f>B21</f>
        <v>基础设施水平</v>
      </c>
      <c r="R21" s="773" t="s">
        <v>17</v>
      </c>
      <c r="S21" s="774">
        <f>F21</f>
        <v>100</v>
      </c>
      <c r="T21" s="773" t="s">
        <v>17</v>
      </c>
      <c r="U21" s="774">
        <f>H21</f>
        <v>100</v>
      </c>
      <c r="V21" s="773" t="s">
        <v>17</v>
      </c>
      <c r="W21" s="774">
        <f>J21</f>
        <v>100</v>
      </c>
      <c r="X21" s="1807"/>
      <c r="Y21" s="3259"/>
      <c r="Z21" s="1808" t="str">
        <f>Q21</f>
        <v>基础设施水平</v>
      </c>
      <c r="AA21" s="1805">
        <f t="shared" ref="AA21" si="8">D21/F21</f>
        <v>1</v>
      </c>
      <c r="AB21" s="1805">
        <f t="shared" ref="AB21" si="9">D21/H21</f>
        <v>1</v>
      </c>
      <c r="AC21" s="1805">
        <f t="shared" ref="AC21" si="10">D21/J21</f>
        <v>1</v>
      </c>
    </row>
    <row r="22" spans="1:29" ht="15">
      <c r="A22" s="427"/>
      <c r="B22" s="1380"/>
      <c r="C22" s="2601"/>
      <c r="D22" s="447"/>
      <c r="E22" s="446"/>
      <c r="F22" s="448"/>
      <c r="G22" s="446"/>
      <c r="H22" s="447"/>
      <c r="I22" s="446"/>
      <c r="J22" s="447"/>
      <c r="K22" s="1379"/>
      <c r="L22" s="1136"/>
      <c r="M22" s="1127"/>
      <c r="N22" s="1127"/>
      <c r="O22" s="1135"/>
      <c r="P22" s="3259"/>
      <c r="Q22" s="1804"/>
      <c r="R22" s="773"/>
      <c r="S22" s="774"/>
      <c r="T22" s="773"/>
      <c r="U22" s="774"/>
      <c r="V22" s="773"/>
      <c r="W22" s="774"/>
      <c r="X22" s="1807"/>
      <c r="Y22" s="3259"/>
      <c r="Z22" s="1808"/>
      <c r="AA22" s="1805">
        <v>1</v>
      </c>
      <c r="AB22" s="1805">
        <v>1</v>
      </c>
      <c r="AC22" s="1805">
        <v>1</v>
      </c>
    </row>
    <row r="23" spans="1:29" ht="71.25">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59"/>
      <c r="Q23" s="1804" t="str">
        <f>B23</f>
        <v>环境质量</v>
      </c>
      <c r="R23" s="773" t="s">
        <v>17</v>
      </c>
      <c r="S23" s="774">
        <f>F23</f>
        <v>100</v>
      </c>
      <c r="T23" s="773" t="s">
        <v>17</v>
      </c>
      <c r="U23" s="774">
        <f>H23</f>
        <v>100</v>
      </c>
      <c r="V23" s="773" t="s">
        <v>17</v>
      </c>
      <c r="W23" s="774">
        <f>J23</f>
        <v>100</v>
      </c>
      <c r="X23" s="1807"/>
      <c r="Y23" s="3259"/>
      <c r="Z23" s="1808" t="str">
        <f>Q23</f>
        <v>环境质量</v>
      </c>
      <c r="AA23" s="1805">
        <f t="shared" si="3"/>
        <v>1</v>
      </c>
      <c r="AB23" s="1805">
        <f t="shared" si="4"/>
        <v>1</v>
      </c>
      <c r="AC23" s="1805">
        <f t="shared" si="5"/>
        <v>1</v>
      </c>
    </row>
    <row r="24" spans="1:29" ht="15">
      <c r="A24" s="427"/>
      <c r="B24" s="1380"/>
      <c r="C24" s="446"/>
      <c r="D24" s="447"/>
      <c r="E24" s="2598"/>
      <c r="F24" s="448"/>
      <c r="G24" s="2597"/>
      <c r="H24" s="447"/>
      <c r="I24" s="2598"/>
      <c r="J24" s="447"/>
      <c r="K24" s="614"/>
      <c r="L24" s="1136"/>
      <c r="M24" s="1127"/>
      <c r="N24" s="1127"/>
      <c r="O24" s="1135"/>
      <c r="P24" s="3259"/>
      <c r="Q24" s="1804"/>
      <c r="R24" s="773"/>
      <c r="S24" s="774"/>
      <c r="T24" s="773"/>
      <c r="U24" s="774"/>
      <c r="V24" s="773"/>
      <c r="W24" s="774"/>
      <c r="X24" s="1807"/>
      <c r="Y24" s="3259"/>
      <c r="Z24" s="1808"/>
      <c r="AA24" s="1805">
        <v>1</v>
      </c>
      <c r="AB24" s="1805">
        <v>1</v>
      </c>
      <c r="AC24" s="1805">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59"/>
      <c r="Q25" s="1804">
        <f>B25</f>
        <v>111</v>
      </c>
      <c r="R25" s="773" t="s">
        <v>17</v>
      </c>
      <c r="S25" s="774">
        <f>F25</f>
        <v>100</v>
      </c>
      <c r="T25" s="773" t="s">
        <v>17</v>
      </c>
      <c r="U25" s="774">
        <f>H25</f>
        <v>100</v>
      </c>
      <c r="V25" s="773" t="s">
        <v>17</v>
      </c>
      <c r="W25" s="774">
        <f>J25</f>
        <v>100</v>
      </c>
      <c r="X25" s="1807"/>
      <c r="Y25" s="3259"/>
      <c r="Z25" s="1808">
        <f>Q25</f>
        <v>111</v>
      </c>
      <c r="AA25" s="1805">
        <f t="shared" si="3"/>
        <v>1</v>
      </c>
      <c r="AB25" s="1805">
        <f t="shared" si="4"/>
        <v>1</v>
      </c>
      <c r="AC25" s="1805">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59"/>
      <c r="Q26" s="1804">
        <f t="shared" ref="Q26:Q40" si="11">B26</f>
        <v>111</v>
      </c>
      <c r="R26" s="773" t="s">
        <v>17</v>
      </c>
      <c r="S26" s="774">
        <f>F26</f>
        <v>100</v>
      </c>
      <c r="T26" s="773" t="s">
        <v>17</v>
      </c>
      <c r="U26" s="774">
        <f>H26</f>
        <v>100</v>
      </c>
      <c r="V26" s="773" t="s">
        <v>17</v>
      </c>
      <c r="W26" s="774">
        <f>J26</f>
        <v>100</v>
      </c>
      <c r="X26" s="1807"/>
      <c r="Y26" s="3259"/>
      <c r="Z26" s="1808">
        <f>Q26</f>
        <v>111</v>
      </c>
      <c r="AA26" s="1805">
        <f t="shared" si="3"/>
        <v>1</v>
      </c>
      <c r="AB26" s="1805">
        <f t="shared" si="4"/>
        <v>1</v>
      </c>
      <c r="AC26" s="1805">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59"/>
      <c r="Q27" s="1789">
        <f t="shared" si="11"/>
        <v>111</v>
      </c>
      <c r="R27" s="769" t="s">
        <v>17</v>
      </c>
      <c r="S27" s="770">
        <f>F27</f>
        <v>100</v>
      </c>
      <c r="T27" s="769" t="s">
        <v>17</v>
      </c>
      <c r="U27" s="770">
        <f>H27</f>
        <v>100</v>
      </c>
      <c r="V27" s="769" t="s">
        <v>17</v>
      </c>
      <c r="W27" s="770">
        <f>J27</f>
        <v>100</v>
      </c>
      <c r="X27" s="771"/>
      <c r="Y27" s="3259"/>
      <c r="Z27" s="55">
        <f>Q27</f>
        <v>111</v>
      </c>
      <c r="AA27" s="1805">
        <f>D27/F27</f>
        <v>1</v>
      </c>
      <c r="AB27" s="1805">
        <f>D27/H27</f>
        <v>1</v>
      </c>
      <c r="AC27" s="1805">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59"/>
      <c r="Q28" s="1804">
        <f t="shared" si="11"/>
        <v>111</v>
      </c>
      <c r="R28" s="773" t="s">
        <v>17</v>
      </c>
      <c r="S28" s="774">
        <f t="shared" ref="S28:S40" si="12">F28</f>
        <v>100</v>
      </c>
      <c r="T28" s="773" t="s">
        <v>17</v>
      </c>
      <c r="U28" s="774">
        <f t="shared" ref="U28:U40" si="13">H28</f>
        <v>100</v>
      </c>
      <c r="V28" s="773" t="s">
        <v>17</v>
      </c>
      <c r="W28" s="774">
        <f t="shared" ref="W28:W40" si="14">J28</f>
        <v>100</v>
      </c>
      <c r="X28" s="1807"/>
      <c r="Y28" s="3259"/>
      <c r="Z28" s="1808">
        <f t="shared" ref="Z28:Z40" si="15">Q28</f>
        <v>111</v>
      </c>
      <c r="AA28" s="1805">
        <f t="shared" si="3"/>
        <v>1</v>
      </c>
      <c r="AB28" s="1805">
        <f t="shared" si="4"/>
        <v>1</v>
      </c>
      <c r="AC28" s="1805">
        <f t="shared" si="5"/>
        <v>1</v>
      </c>
    </row>
    <row r="29" spans="1:29" ht="28.5">
      <c r="A29" s="465" t="s">
        <v>2558</v>
      </c>
      <c r="B29" s="71" t="s">
        <v>2688</v>
      </c>
      <c r="C29" s="2671"/>
      <c r="D29" s="466">
        <v>100</v>
      </c>
      <c r="E29" s="2671"/>
      <c r="F29" s="460">
        <f>SUMIF(88:88,E29,89:89)-SUMIF(88:88,C29,89:89)+100</f>
        <v>100</v>
      </c>
      <c r="G29" s="2671"/>
      <c r="H29" s="434">
        <f>SUMIF(88:88,G29,89:89)-SUMIF(88:88,C29,89:89)+100</f>
        <v>100</v>
      </c>
      <c r="I29" s="2671"/>
      <c r="J29" s="466">
        <f>SUMIF(88:88,I29,89:89)-SUMIF(88:88,C29,89:89)+100</f>
        <v>100</v>
      </c>
      <c r="K29" s="611"/>
      <c r="L29" s="1136"/>
      <c r="M29" s="1127"/>
      <c r="N29" s="1127"/>
      <c r="O29" s="1135"/>
      <c r="P29" s="3288" t="s">
        <v>2560</v>
      </c>
      <c r="Q29" s="1804" t="str">
        <f t="shared" si="11"/>
        <v>建筑类型</v>
      </c>
      <c r="R29" s="773" t="s">
        <v>17</v>
      </c>
      <c r="S29" s="774">
        <f t="shared" si="12"/>
        <v>100</v>
      </c>
      <c r="T29" s="773" t="s">
        <v>17</v>
      </c>
      <c r="U29" s="774">
        <f t="shared" si="13"/>
        <v>100</v>
      </c>
      <c r="V29" s="773" t="s">
        <v>17</v>
      </c>
      <c r="W29" s="774">
        <f t="shared" si="14"/>
        <v>100</v>
      </c>
      <c r="X29" s="1807"/>
      <c r="Y29" s="3263" t="s">
        <v>2560</v>
      </c>
      <c r="Z29" s="1808" t="str">
        <f t="shared" si="15"/>
        <v>建筑类型</v>
      </c>
      <c r="AA29" s="1805">
        <f t="shared" si="3"/>
        <v>1</v>
      </c>
      <c r="AB29" s="1805">
        <f t="shared" si="4"/>
        <v>1</v>
      </c>
      <c r="AC29" s="1805">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63"/>
      <c r="Q30" s="775" t="str">
        <f t="shared" si="11"/>
        <v>项目建筑规模</v>
      </c>
      <c r="R30" s="776" t="s">
        <v>17</v>
      </c>
      <c r="S30" s="777" t="e">
        <f t="shared" si="12"/>
        <v>#N/A</v>
      </c>
      <c r="T30" s="776" t="s">
        <v>17</v>
      </c>
      <c r="U30" s="777" t="e">
        <f t="shared" si="13"/>
        <v>#N/A</v>
      </c>
      <c r="V30" s="776" t="s">
        <v>17</v>
      </c>
      <c r="W30" s="777" t="e">
        <f t="shared" si="14"/>
        <v>#N/A</v>
      </c>
      <c r="X30" s="778"/>
      <c r="Y30" s="3263"/>
      <c r="Z30" s="779" t="str">
        <f t="shared" si="15"/>
        <v>项目建筑规模</v>
      </c>
      <c r="AA30" s="1805" t="e">
        <f t="shared" si="3"/>
        <v>#N/A</v>
      </c>
      <c r="AB30" s="1805" t="e">
        <f t="shared" si="4"/>
        <v>#N/A</v>
      </c>
      <c r="AC30" s="1805"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63"/>
      <c r="Q31" s="1804" t="str">
        <f t="shared" si="11"/>
        <v>建筑结构</v>
      </c>
      <c r="R31" s="773" t="s">
        <v>17</v>
      </c>
      <c r="S31" s="774">
        <f t="shared" si="12"/>
        <v>100</v>
      </c>
      <c r="T31" s="773" t="s">
        <v>17</v>
      </c>
      <c r="U31" s="774">
        <f t="shared" si="13"/>
        <v>100</v>
      </c>
      <c r="V31" s="773" t="s">
        <v>17</v>
      </c>
      <c r="W31" s="774">
        <f t="shared" si="14"/>
        <v>100</v>
      </c>
      <c r="X31" s="1807"/>
      <c r="Y31" s="3263"/>
      <c r="Z31" s="1808" t="str">
        <f t="shared" si="15"/>
        <v>建筑结构</v>
      </c>
      <c r="AA31" s="1805">
        <f t="shared" si="3"/>
        <v>1</v>
      </c>
      <c r="AB31" s="1805">
        <f t="shared" si="4"/>
        <v>1</v>
      </c>
      <c r="AC31" s="1805">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63"/>
      <c r="Q32" s="1804" t="str">
        <f t="shared" si="11"/>
        <v>公共部分装修</v>
      </c>
      <c r="R32" s="773" t="s">
        <v>17</v>
      </c>
      <c r="S32" s="774">
        <f t="shared" si="12"/>
        <v>100</v>
      </c>
      <c r="T32" s="773" t="s">
        <v>17</v>
      </c>
      <c r="U32" s="774">
        <f t="shared" si="13"/>
        <v>100</v>
      </c>
      <c r="V32" s="773" t="s">
        <v>17</v>
      </c>
      <c r="W32" s="774">
        <f t="shared" si="14"/>
        <v>100</v>
      </c>
      <c r="X32" s="1807"/>
      <c r="Y32" s="3263"/>
      <c r="Z32" s="1808" t="str">
        <f t="shared" si="15"/>
        <v>公共部分装修</v>
      </c>
      <c r="AA32" s="1805">
        <f t="shared" si="3"/>
        <v>1</v>
      </c>
      <c r="AB32" s="1805">
        <f t="shared" si="4"/>
        <v>1</v>
      </c>
      <c r="AC32" s="1805">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63"/>
      <c r="Q33" s="1804" t="str">
        <f t="shared" si="11"/>
        <v>成新度</v>
      </c>
      <c r="R33" s="773" t="s">
        <v>17</v>
      </c>
      <c r="S33" s="774" t="e">
        <f t="shared" si="12"/>
        <v>#N/A</v>
      </c>
      <c r="T33" s="773" t="s">
        <v>17</v>
      </c>
      <c r="U33" s="774" t="e">
        <f t="shared" si="13"/>
        <v>#N/A</v>
      </c>
      <c r="V33" s="773" t="s">
        <v>17</v>
      </c>
      <c r="W33" s="774" t="e">
        <f t="shared" si="14"/>
        <v>#N/A</v>
      </c>
      <c r="X33" s="1807"/>
      <c r="Y33" s="3263"/>
      <c r="Z33" s="1808" t="str">
        <f t="shared" si="15"/>
        <v>成新度</v>
      </c>
      <c r="AA33" s="1805" t="e">
        <f t="shared" si="3"/>
        <v>#N/A</v>
      </c>
      <c r="AB33" s="1805" t="e">
        <f t="shared" si="4"/>
        <v>#N/A</v>
      </c>
      <c r="AC33" s="1805"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63"/>
      <c r="Q34" s="1789" t="str">
        <f t="shared" si="11"/>
        <v>物业管理</v>
      </c>
      <c r="R34" s="769" t="s">
        <v>17</v>
      </c>
      <c r="S34" s="770">
        <f t="shared" si="12"/>
        <v>100</v>
      </c>
      <c r="T34" s="769" t="s">
        <v>17</v>
      </c>
      <c r="U34" s="770">
        <f t="shared" si="13"/>
        <v>100</v>
      </c>
      <c r="V34" s="769" t="s">
        <v>17</v>
      </c>
      <c r="W34" s="770">
        <f t="shared" si="14"/>
        <v>100</v>
      </c>
      <c r="X34" s="771"/>
      <c r="Y34" s="3263"/>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63" t="s">
        <v>2560</v>
      </c>
      <c r="Q35" s="1804" t="str">
        <f t="shared" si="11"/>
        <v>市政基础设施</v>
      </c>
      <c r="R35" s="773" t="s">
        <v>17</v>
      </c>
      <c r="S35" s="774">
        <f t="shared" si="12"/>
        <v>100</v>
      </c>
      <c r="T35" s="773" t="s">
        <v>17</v>
      </c>
      <c r="U35" s="774">
        <f t="shared" si="13"/>
        <v>100</v>
      </c>
      <c r="V35" s="773" t="s">
        <v>17</v>
      </c>
      <c r="W35" s="774">
        <f t="shared" si="14"/>
        <v>100</v>
      </c>
      <c r="X35" s="1807"/>
      <c r="Y35" s="3263" t="s">
        <v>2560</v>
      </c>
      <c r="Z35" s="1808" t="str">
        <f t="shared" si="15"/>
        <v>市政基础设施</v>
      </c>
      <c r="AA35" s="1805">
        <f t="shared" si="3"/>
        <v>1</v>
      </c>
      <c r="AB35" s="1805">
        <f t="shared" si="4"/>
        <v>1</v>
      </c>
      <c r="AC35" s="1805">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63"/>
      <c r="Q36" s="1804" t="str">
        <f t="shared" si="11"/>
        <v>内部装修</v>
      </c>
      <c r="R36" s="773" t="s">
        <v>17</v>
      </c>
      <c r="S36" s="774">
        <f t="shared" si="12"/>
        <v>100</v>
      </c>
      <c r="T36" s="773" t="s">
        <v>17</v>
      </c>
      <c r="U36" s="774">
        <f t="shared" si="13"/>
        <v>100</v>
      </c>
      <c r="V36" s="773" t="s">
        <v>17</v>
      </c>
      <c r="W36" s="774">
        <f t="shared" si="14"/>
        <v>100</v>
      </c>
      <c r="X36" s="1807"/>
      <c r="Y36" s="3263"/>
      <c r="Z36" s="1808" t="str">
        <f t="shared" si="15"/>
        <v>内部装修</v>
      </c>
      <c r="AA36" s="1805">
        <f t="shared" si="3"/>
        <v>1</v>
      </c>
      <c r="AB36" s="1805">
        <f t="shared" si="4"/>
        <v>1</v>
      </c>
      <c r="AC36" s="1805">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63"/>
      <c r="Q37" s="1804" t="str">
        <f t="shared" si="11"/>
        <v>内部装修状况</v>
      </c>
      <c r="R37" s="773" t="s">
        <v>17</v>
      </c>
      <c r="S37" s="774">
        <f t="shared" si="12"/>
        <v>100</v>
      </c>
      <c r="T37" s="773" t="s">
        <v>17</v>
      </c>
      <c r="U37" s="774">
        <f t="shared" si="13"/>
        <v>100</v>
      </c>
      <c r="V37" s="773" t="s">
        <v>17</v>
      </c>
      <c r="W37" s="774">
        <f t="shared" si="14"/>
        <v>100</v>
      </c>
      <c r="X37" s="1807"/>
      <c r="Y37" s="3263"/>
      <c r="Z37" s="1808" t="str">
        <f t="shared" si="15"/>
        <v>内部装修状况</v>
      </c>
      <c r="AA37" s="1805">
        <f t="shared" si="3"/>
        <v>1</v>
      </c>
      <c r="AB37" s="1805">
        <f t="shared" si="4"/>
        <v>1</v>
      </c>
      <c r="AC37" s="1805">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63"/>
      <c r="Q38" s="775">
        <f t="shared" si="11"/>
        <v>111</v>
      </c>
      <c r="R38" s="776" t="s">
        <v>17</v>
      </c>
      <c r="S38" s="777">
        <f t="shared" si="12"/>
        <v>100</v>
      </c>
      <c r="T38" s="776" t="s">
        <v>17</v>
      </c>
      <c r="U38" s="777">
        <f t="shared" si="13"/>
        <v>100</v>
      </c>
      <c r="V38" s="776" t="s">
        <v>17</v>
      </c>
      <c r="W38" s="777">
        <f t="shared" si="14"/>
        <v>100</v>
      </c>
      <c r="X38" s="778"/>
      <c r="Y38" s="3263"/>
      <c r="Z38" s="779">
        <f t="shared" si="15"/>
        <v>111</v>
      </c>
      <c r="AA38" s="1805">
        <f t="shared" si="3"/>
        <v>1</v>
      </c>
      <c r="AB38" s="1805">
        <f t="shared" si="4"/>
        <v>1</v>
      </c>
      <c r="AC38" s="1805">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63"/>
      <c r="Q39" s="1804">
        <f t="shared" si="11"/>
        <v>111</v>
      </c>
      <c r="R39" s="773" t="s">
        <v>17</v>
      </c>
      <c r="S39" s="774">
        <f t="shared" si="12"/>
        <v>100</v>
      </c>
      <c r="T39" s="773" t="s">
        <v>17</v>
      </c>
      <c r="U39" s="774">
        <f t="shared" si="13"/>
        <v>100</v>
      </c>
      <c r="V39" s="773" t="s">
        <v>17</v>
      </c>
      <c r="W39" s="774">
        <f t="shared" si="14"/>
        <v>100</v>
      </c>
      <c r="X39" s="1807"/>
      <c r="Y39" s="3263"/>
      <c r="Z39" s="1808">
        <f t="shared" si="15"/>
        <v>111</v>
      </c>
      <c r="AA39" s="1805">
        <f t="shared" si="3"/>
        <v>1</v>
      </c>
      <c r="AB39" s="1805">
        <f t="shared" si="4"/>
        <v>1</v>
      </c>
      <c r="AC39" s="1805">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64"/>
      <c r="Q40" s="1804">
        <f t="shared" si="11"/>
        <v>111</v>
      </c>
      <c r="R40" s="773" t="s">
        <v>17</v>
      </c>
      <c r="S40" s="774">
        <f t="shared" si="12"/>
        <v>100</v>
      </c>
      <c r="T40" s="773" t="s">
        <v>17</v>
      </c>
      <c r="U40" s="774">
        <f t="shared" si="13"/>
        <v>100</v>
      </c>
      <c r="V40" s="773" t="s">
        <v>17</v>
      </c>
      <c r="W40" s="774">
        <f t="shared" si="14"/>
        <v>100</v>
      </c>
      <c r="X40" s="1807"/>
      <c r="Y40" s="3264"/>
      <c r="Z40" s="1808">
        <f t="shared" si="15"/>
        <v>111</v>
      </c>
      <c r="AA40" s="1805">
        <f t="shared" si="3"/>
        <v>1</v>
      </c>
      <c r="AB40" s="1805">
        <f t="shared" si="4"/>
        <v>1</v>
      </c>
      <c r="AC40" s="1805">
        <f t="shared" si="5"/>
        <v>1</v>
      </c>
    </row>
    <row r="41" spans="1:29" ht="15">
      <c r="A41" s="478" t="s">
        <v>2572</v>
      </c>
      <c r="B41" s="479"/>
      <c r="C41" s="1402" t="s">
        <v>1</v>
      </c>
      <c r="D41" s="1403"/>
      <c r="E41" s="1404"/>
      <c r="F41" s="1405"/>
      <c r="G41" s="1406"/>
      <c r="H41" s="1407"/>
      <c r="I41" s="1404"/>
      <c r="J41" s="1407"/>
      <c r="K41" s="782"/>
      <c r="L41" s="1139"/>
      <c r="M41" s="1140"/>
      <c r="N41" s="1127"/>
      <c r="O41" s="1140"/>
      <c r="P41" s="3265" t="str">
        <f>A41</f>
        <v>成交单价（元/平方米）</v>
      </c>
      <c r="Q41" s="3265"/>
      <c r="R41" s="3266">
        <f>E41</f>
        <v>0</v>
      </c>
      <c r="S41" s="3266"/>
      <c r="T41" s="3266">
        <f>G41</f>
        <v>0</v>
      </c>
      <c r="U41" s="3266"/>
      <c r="V41" s="3266">
        <f>I41</f>
        <v>0</v>
      </c>
      <c r="W41" s="3266"/>
      <c r="X41" s="758"/>
      <c r="Y41" s="780"/>
      <c r="Z41" s="758"/>
      <c r="AA41" s="758"/>
      <c r="AB41" s="758"/>
      <c r="AC41" s="758"/>
    </row>
    <row r="42" spans="1:29" ht="15.75" thickBot="1">
      <c r="A42" s="485" t="s">
        <v>2664</v>
      </c>
      <c r="B42" s="486"/>
      <c r="C42" s="1408" t="e">
        <f>R43</f>
        <v>#DIV/0!</v>
      </c>
      <c r="D42" s="1409"/>
      <c r="E42" s="1410" t="e">
        <f>R42</f>
        <v>#DIV/0!</v>
      </c>
      <c r="F42" s="1410"/>
      <c r="G42" s="1408" t="e">
        <f>T42</f>
        <v>#DIV/0!</v>
      </c>
      <c r="H42" s="1409"/>
      <c r="I42" s="1410" t="e">
        <f>V42</f>
        <v>#DIV/0!</v>
      </c>
      <c r="J42" s="1409"/>
      <c r="K42" s="783"/>
      <c r="L42" s="1139"/>
      <c r="M42" s="1140"/>
      <c r="N42" s="1127"/>
      <c r="O42" s="1140"/>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8"/>
      <c r="Y42" s="758"/>
      <c r="Z42" s="758"/>
      <c r="AA42" s="758"/>
      <c r="AB42" s="758"/>
      <c r="AC42" s="758"/>
    </row>
    <row r="43" spans="1:29" ht="15.75" thickBot="1">
      <c r="A43" s="491" t="s">
        <v>2665</v>
      </c>
      <c r="B43" s="492"/>
      <c r="C43" s="1412" t="e">
        <f>R43</f>
        <v>#DIV/0!</v>
      </c>
      <c r="D43" s="1412"/>
      <c r="E43" s="1412"/>
      <c r="F43" s="1412"/>
      <c r="G43" s="1412"/>
      <c r="H43" s="1412"/>
      <c r="I43" s="1412"/>
      <c r="J43" s="1412"/>
      <c r="K43" s="784"/>
      <c r="L43" s="1139"/>
      <c r="M43" s="1140"/>
      <c r="N43" s="1140"/>
      <c r="O43" s="1140"/>
      <c r="P43" s="3267" t="str">
        <f>A43</f>
        <v>估价对象XX用房的比较价值（楼面单价，元/平方米）</v>
      </c>
      <c r="Q43" s="3268"/>
      <c r="R43" s="3269" t="e">
        <f>IF(F1="售价",ROUND(AVERAGE(R42:V42),0),ROUND(AVERAGE(R42:V42),1))</f>
        <v>#DIV/0!</v>
      </c>
      <c r="S43" s="3269"/>
      <c r="T43" s="3269"/>
      <c r="U43" s="3269"/>
      <c r="V43" s="3269"/>
      <c r="W43" s="3269"/>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2669</v>
      </c>
      <c r="B51" s="758"/>
      <c r="C51" s="763"/>
      <c r="D51" s="763"/>
      <c r="E51" s="763"/>
      <c r="F51" s="764"/>
      <c r="G51" s="764"/>
      <c r="H51" s="763"/>
      <c r="I51" s="763"/>
      <c r="J51" s="763"/>
      <c r="K51" s="1156"/>
      <c r="L51" s="1157"/>
      <c r="M51" s="1155"/>
      <c r="N51" s="1155"/>
      <c r="O51" s="1155"/>
      <c r="P51" s="502"/>
      <c r="Q51" s="503"/>
    </row>
    <row r="52" spans="1:17" s="507" customFormat="1" ht="15">
      <c r="A52" s="504" t="s">
        <v>2543</v>
      </c>
      <c r="B52" s="505"/>
      <c r="C52" s="1568" t="str">
        <f>YEAR(C7)&amp;"-"&amp;MONTH(C7)</f>
        <v>2019-6</v>
      </c>
      <c r="D52" s="1569">
        <f>EDATE(C52,-1)</f>
        <v>43586</v>
      </c>
      <c r="E52" s="1569">
        <f t="shared" ref="E52:O52" si="16">EDATE(D52,-1)</f>
        <v>43556</v>
      </c>
      <c r="F52" s="1569">
        <f t="shared" si="16"/>
        <v>43525</v>
      </c>
      <c r="G52" s="1569">
        <f t="shared" si="16"/>
        <v>43497</v>
      </c>
      <c r="H52" s="1569">
        <f t="shared" si="16"/>
        <v>43466</v>
      </c>
      <c r="I52" s="1569">
        <f t="shared" si="16"/>
        <v>43435</v>
      </c>
      <c r="J52" s="1569">
        <f t="shared" si="16"/>
        <v>43405</v>
      </c>
      <c r="K52" s="1569">
        <f t="shared" si="16"/>
        <v>43374</v>
      </c>
      <c r="L52" s="1569">
        <f t="shared" si="16"/>
        <v>43344</v>
      </c>
      <c r="M52" s="1569">
        <f t="shared" si="16"/>
        <v>43313</v>
      </c>
      <c r="N52" s="1569">
        <f t="shared" si="16"/>
        <v>43282</v>
      </c>
      <c r="O52" s="1569">
        <f t="shared" si="16"/>
        <v>43252</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2583</v>
      </c>
      <c r="B57" s="527" t="s">
        <v>2549</v>
      </c>
      <c r="C57" s="528">
        <f>C9</f>
        <v>0</v>
      </c>
      <c r="D57" s="529"/>
      <c r="E57" s="529"/>
      <c r="F57" s="529"/>
      <c r="G57" s="529"/>
      <c r="H57" s="529"/>
      <c r="I57" s="529"/>
      <c r="J57" s="529"/>
      <c r="K57" s="530"/>
      <c r="L57" s="531"/>
      <c r="M57" s="532"/>
      <c r="N57" s="1148"/>
      <c r="O57" s="1148"/>
      <c r="P57" s="45"/>
      <c r="Q57" s="503"/>
    </row>
    <row r="58" spans="1:17" ht="15.75" thickBot="1">
      <c r="A58" s="533"/>
      <c r="B58" s="534"/>
      <c r="C58" s="535">
        <v>100</v>
      </c>
      <c r="D58" s="535"/>
      <c r="E58" s="535"/>
      <c r="F58" s="535"/>
      <c r="G58" s="535"/>
      <c r="H58" s="535"/>
      <c r="I58" s="535"/>
      <c r="J58" s="535"/>
      <c r="K58" s="535"/>
      <c r="L58" s="535"/>
      <c r="M58" s="536"/>
      <c r="N58" s="1149"/>
      <c r="O58" s="1149"/>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8"/>
      <c r="O59" s="1148"/>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5"/>
      <c r="Q61" s="503"/>
    </row>
    <row r="62" spans="1:17" ht="15">
      <c r="A62" s="533"/>
      <c r="B62" s="547"/>
      <c r="C62" s="548"/>
      <c r="D62" s="548"/>
      <c r="E62" s="548"/>
      <c r="F62" s="548"/>
      <c r="G62" s="548"/>
      <c r="H62" s="548"/>
      <c r="I62" s="548"/>
      <c r="J62" s="548"/>
      <c r="K62" s="549"/>
      <c r="L62" s="550"/>
      <c r="M62" s="551"/>
      <c r="N62" s="1148"/>
      <c r="O62" s="1148"/>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5"/>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8"/>
      <c r="O72" s="1148"/>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8"/>
      <c r="O74" s="1148"/>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8"/>
      <c r="N76" s="1149"/>
      <c r="O76" s="1149"/>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8"/>
      <c r="O78" s="1148"/>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5"/>
      <c r="Q79" s="503"/>
    </row>
    <row r="80" spans="1:17" s="116" customFormat="1" ht="15.75" thickTop="1">
      <c r="A80" s="578"/>
      <c r="B80" s="537">
        <f>B25</f>
        <v>111</v>
      </c>
      <c r="C80" s="553"/>
      <c r="D80" s="553"/>
      <c r="E80" s="553"/>
      <c r="F80" s="553"/>
      <c r="G80" s="553"/>
      <c r="H80" s="553"/>
      <c r="I80" s="553"/>
      <c r="J80" s="553"/>
      <c r="K80" s="553"/>
      <c r="L80" s="579"/>
      <c r="M80" s="580"/>
      <c r="N80" s="1147"/>
      <c r="O80" s="1147"/>
      <c r="P80" s="45"/>
      <c r="Q80" s="503"/>
    </row>
    <row r="81" spans="1:17" s="116" customFormat="1" ht="15.75" thickBot="1">
      <c r="A81" s="578"/>
      <c r="B81" s="542"/>
      <c r="C81" s="559"/>
      <c r="D81" s="535"/>
      <c r="E81" s="535"/>
      <c r="F81" s="535"/>
      <c r="G81" s="535"/>
      <c r="H81" s="535"/>
      <c r="I81" s="535"/>
      <c r="J81" s="535"/>
      <c r="K81" s="535"/>
      <c r="L81" s="535"/>
      <c r="M81" s="536"/>
      <c r="N81" s="1149"/>
      <c r="O81" s="1149"/>
      <c r="P81" s="45"/>
      <c r="Q81" s="503"/>
    </row>
    <row r="82" spans="1:17" s="116" customFormat="1" ht="15.75" thickTop="1">
      <c r="A82" s="578"/>
      <c r="B82" s="537">
        <f>B26</f>
        <v>111</v>
      </c>
      <c r="C82" s="553"/>
      <c r="D82" s="553"/>
      <c r="E82" s="553"/>
      <c r="F82" s="553"/>
      <c r="G82" s="553"/>
      <c r="H82" s="553"/>
      <c r="I82" s="553"/>
      <c r="J82" s="553"/>
      <c r="K82" s="553"/>
      <c r="L82" s="579"/>
      <c r="M82" s="580"/>
      <c r="N82" s="1147"/>
      <c r="O82" s="1147"/>
      <c r="P82" s="45"/>
      <c r="Q82" s="503"/>
    </row>
    <row r="83" spans="1:17" s="116" customFormat="1" ht="15.75" thickBot="1">
      <c r="A83" s="578"/>
      <c r="B83" s="542"/>
      <c r="C83" s="559"/>
      <c r="D83" s="535"/>
      <c r="E83" s="535"/>
      <c r="F83" s="535"/>
      <c r="G83" s="535"/>
      <c r="H83" s="535"/>
      <c r="I83" s="535"/>
      <c r="J83" s="535"/>
      <c r="K83" s="535"/>
      <c r="L83" s="535"/>
      <c r="M83" s="536"/>
      <c r="N83" s="1149"/>
      <c r="O83" s="1149"/>
      <c r="P83" s="45"/>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5"/>
      <c r="Q86" s="503"/>
    </row>
    <row r="87" spans="1:17" ht="15.75" thickBot="1">
      <c r="A87" s="2628"/>
      <c r="B87" s="568"/>
      <c r="C87" s="569"/>
      <c r="D87" s="569"/>
      <c r="E87" s="569"/>
      <c r="F87" s="569"/>
      <c r="G87" s="590"/>
      <c r="H87" s="590"/>
      <c r="I87" s="590"/>
      <c r="J87" s="590"/>
      <c r="K87" s="590"/>
      <c r="L87" s="590"/>
      <c r="M87" s="591"/>
      <c r="N87" s="1149"/>
      <c r="O87" s="1149"/>
      <c r="P87" s="45"/>
      <c r="Q87" s="503"/>
    </row>
    <row r="88" spans="1:17">
      <c r="A88" s="526" t="s">
        <v>2558</v>
      </c>
      <c r="B88" s="527" t="s">
        <v>2607</v>
      </c>
      <c r="C88" s="529"/>
      <c r="D88" s="529"/>
      <c r="E88" s="529"/>
      <c r="F88" s="529"/>
      <c r="G88" s="529"/>
      <c r="H88" s="529"/>
      <c r="I88" s="529"/>
      <c r="J88" s="529"/>
      <c r="K88" s="530"/>
      <c r="L88" s="531"/>
      <c r="M88" s="532"/>
      <c r="N88" s="1148"/>
      <c r="O88" s="1148"/>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5"/>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2609</v>
      </c>
      <c r="C93" s="553"/>
      <c r="D93" s="553"/>
      <c r="E93" s="582"/>
      <c r="F93" s="582"/>
      <c r="G93" s="582"/>
      <c r="H93" s="582"/>
      <c r="I93" s="582"/>
      <c r="J93" s="582"/>
      <c r="K93" s="583"/>
      <c r="L93" s="584"/>
      <c r="M93" s="585"/>
      <c r="N93" s="1148"/>
      <c r="O93" s="1148"/>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5"/>
      <c r="Q94" s="503"/>
    </row>
    <row r="95" spans="1:17" ht="15" thickTop="1">
      <c r="A95" s="598"/>
      <c r="B95" s="537" t="s">
        <v>2611</v>
      </c>
      <c r="C95" s="553"/>
      <c r="D95" s="553"/>
      <c r="E95" s="553"/>
      <c r="F95" s="582"/>
      <c r="G95" s="582"/>
      <c r="H95" s="582"/>
      <c r="I95" s="582"/>
      <c r="J95" s="582"/>
      <c r="K95" s="583"/>
      <c r="L95" s="584"/>
      <c r="M95" s="585"/>
      <c r="N95" s="1148"/>
      <c r="O95" s="1148"/>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5"/>
      <c r="Q97" s="503"/>
    </row>
    <row r="98" spans="1:17">
      <c r="A98" s="598"/>
      <c r="B98" s="545"/>
      <c r="C98" s="602">
        <v>0.5</v>
      </c>
      <c r="D98" s="602">
        <v>0.6</v>
      </c>
      <c r="E98" s="602">
        <v>0.7</v>
      </c>
      <c r="F98" s="602">
        <v>0.8</v>
      </c>
      <c r="G98" s="602">
        <v>0.9</v>
      </c>
      <c r="H98" s="602">
        <v>1.0001</v>
      </c>
      <c r="I98" s="622"/>
      <c r="J98" s="622"/>
      <c r="K98" s="623"/>
      <c r="L98" s="624"/>
      <c r="M98" s="625"/>
      <c r="N98" s="1148"/>
      <c r="O98" s="1148"/>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5"/>
      <c r="Q99" s="503"/>
    </row>
    <row r="100" spans="1:17" s="470" customFormat="1" ht="15" thickTop="1">
      <c r="A100" s="592"/>
      <c r="B100" s="537" t="s">
        <v>2612</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2613</v>
      </c>
      <c r="C102" s="553"/>
      <c r="D102" s="553"/>
      <c r="E102" s="553"/>
      <c r="F102" s="553"/>
      <c r="G102" s="553"/>
      <c r="H102" s="582"/>
      <c r="I102" s="582"/>
      <c r="J102" s="582"/>
      <c r="K102" s="583"/>
      <c r="L102" s="584"/>
      <c r="M102" s="585"/>
      <c r="N102" s="1148"/>
      <c r="O102" s="1148"/>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5"/>
      <c r="Q103" s="503"/>
    </row>
    <row r="104" spans="1:17" ht="15" thickTop="1">
      <c r="A104" s="598"/>
      <c r="B104" s="537" t="s">
        <v>2615</v>
      </c>
      <c r="C104" s="553"/>
      <c r="D104" s="553"/>
      <c r="E104" s="553"/>
      <c r="F104" s="553"/>
      <c r="G104" s="553"/>
      <c r="H104" s="582"/>
      <c r="I104" s="582"/>
      <c r="J104" s="582"/>
      <c r="K104" s="583"/>
      <c r="L104" s="584"/>
      <c r="M104" s="585"/>
      <c r="N104" s="1148"/>
      <c r="O104" s="1148"/>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5"/>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5"/>
      <c r="Q110" s="503"/>
    </row>
    <row r="111" spans="1:17" ht="15.75" thickBot="1">
      <c r="A111" s="533"/>
      <c r="B111" s="542"/>
      <c r="C111" s="559"/>
      <c r="D111" s="535"/>
      <c r="E111" s="535"/>
      <c r="F111" s="535"/>
      <c r="G111" s="559"/>
      <c r="H111" s="561"/>
      <c r="I111" s="561"/>
      <c r="J111" s="561"/>
      <c r="K111" s="561"/>
      <c r="L111" s="561"/>
      <c r="M111" s="562"/>
      <c r="N111" s="1149"/>
      <c r="O111" s="1149"/>
      <c r="P111" s="45"/>
      <c r="Q111" s="503"/>
    </row>
    <row r="112" spans="1:17" ht="15" thickTop="1">
      <c r="A112" s="598"/>
      <c r="B112" s="545">
        <f>B40</f>
        <v>111</v>
      </c>
      <c r="C112" s="522"/>
      <c r="D112" s="522"/>
      <c r="E112" s="522"/>
      <c r="F112" s="522"/>
      <c r="G112" s="586"/>
      <c r="H112" s="586"/>
      <c r="I112" s="586"/>
      <c r="J112" s="586"/>
      <c r="K112" s="522"/>
      <c r="L112" s="523"/>
      <c r="M112" s="589"/>
      <c r="N112" s="1148"/>
      <c r="O112" s="1148"/>
      <c r="P112" s="45"/>
      <c r="Q112" s="503"/>
    </row>
    <row r="113" spans="1:17" ht="15.75" thickBot="1">
      <c r="A113" s="2628"/>
      <c r="B113" s="568"/>
      <c r="C113" s="569"/>
      <c r="D113" s="569"/>
      <c r="E113" s="569"/>
      <c r="F113" s="569"/>
      <c r="G113" s="590"/>
      <c r="H113" s="590"/>
      <c r="I113" s="590"/>
      <c r="J113" s="590"/>
      <c r="K113" s="590"/>
      <c r="L113" s="590"/>
      <c r="M113" s="591"/>
      <c r="N113" s="1149"/>
      <c r="O113" s="1149"/>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2702</v>
      </c>
      <c r="B1" s="1613"/>
      <c r="C1" s="1614" t="s">
        <v>2525</v>
      </c>
      <c r="D1" s="1615"/>
      <c r="E1" s="1616"/>
      <c r="F1" s="2577"/>
      <c r="G1" s="1617" t="s">
        <v>2638</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3" t="e">
        <f ca="1">IF(C2="——",IF(B37="元/平方米",ROUND(C39*D3/10000,0),ROUND(F3*C39/10000,0)),IF(B37="元/平方米",ROUND(C39*D3/10000,0),ROUND(F3*C39/10000,0))-D2)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1414"/>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2639</v>
      </c>
      <c r="D3" s="398">
        <f>SUMIF('数据-汇总表'!$C19:$C33,D1,'数据-汇总表'!$E19:$E33)</f>
        <v>0</v>
      </c>
      <c r="E3" s="399" t="s">
        <v>2703</v>
      </c>
      <c r="F3" s="398">
        <f>SUMIF('数据-取费表'!A5:A15,D1,'数据-取费表'!AH5:AH15)</f>
        <v>0</v>
      </c>
      <c r="G3" s="1121"/>
      <c r="H3" s="1121"/>
      <c r="I3" s="1121"/>
      <c r="J3" s="1121"/>
      <c r="K3" s="1123"/>
      <c r="L3" s="1124"/>
      <c r="M3" s="1125"/>
      <c r="N3" s="1125"/>
      <c r="O3" s="1125"/>
      <c r="P3" s="1414"/>
      <c r="Q3" s="767"/>
      <c r="R3" s="767"/>
      <c r="S3" s="767"/>
      <c r="T3" s="767"/>
      <c r="U3" s="767"/>
      <c r="V3" s="767"/>
      <c r="W3" s="767"/>
      <c r="X3" s="767"/>
      <c r="Y3" s="767"/>
      <c r="Z3" s="767"/>
      <c r="AA3" s="767"/>
      <c r="AB3" s="785"/>
      <c r="AC3" s="781"/>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25" t="s">
        <v>2643</v>
      </c>
      <c r="AC4" s="3224" t="s">
        <v>2644</v>
      </c>
    </row>
    <row r="5" spans="1:29" ht="15">
      <c r="A5" s="403"/>
      <c r="B5" s="404"/>
      <c r="C5" s="3270" t="s">
        <v>2537</v>
      </c>
      <c r="D5" s="3242"/>
      <c r="E5" s="3272" t="s">
        <v>2538</v>
      </c>
      <c r="F5" s="3244"/>
      <c r="G5" s="3270" t="s">
        <v>2539</v>
      </c>
      <c r="H5" s="3242"/>
      <c r="I5" s="3270" t="s">
        <v>2540</v>
      </c>
      <c r="J5" s="3242"/>
      <c r="K5" s="609"/>
      <c r="L5" s="1126"/>
      <c r="M5" s="1127"/>
      <c r="N5" s="1127"/>
      <c r="O5" s="1127"/>
      <c r="P5" s="3233"/>
      <c r="Q5" s="3234"/>
      <c r="R5" s="3239"/>
      <c r="S5" s="3240"/>
      <c r="T5" s="3239"/>
      <c r="U5" s="3240"/>
      <c r="V5" s="3251"/>
      <c r="W5" s="3251"/>
      <c r="X5" s="1807"/>
      <c r="Y5" s="3239"/>
      <c r="Z5" s="3240"/>
      <c r="AA5" s="3225"/>
      <c r="AB5" s="3225"/>
      <c r="AC5" s="3225"/>
    </row>
    <row r="6" spans="1:29" ht="15.75" thickBot="1">
      <c r="A6" s="405"/>
      <c r="B6" s="406"/>
      <c r="C6" s="3245" t="s">
        <v>2541</v>
      </c>
      <c r="D6" s="3246"/>
      <c r="E6" s="3271" t="s">
        <v>2541</v>
      </c>
      <c r="F6" s="3248"/>
      <c r="G6" s="3245" t="s">
        <v>2541</v>
      </c>
      <c r="H6" s="3246"/>
      <c r="I6" s="3245" t="s">
        <v>2541</v>
      </c>
      <c r="J6" s="3246"/>
      <c r="K6" s="609" t="s">
        <v>2542</v>
      </c>
      <c r="L6" s="1126"/>
      <c r="M6" s="1127"/>
      <c r="N6" s="1127"/>
      <c r="O6" s="1127"/>
      <c r="P6" s="3235"/>
      <c r="Q6" s="3236"/>
      <c r="R6" s="3239"/>
      <c r="S6" s="3240"/>
      <c r="T6" s="3249"/>
      <c r="U6" s="3250"/>
      <c r="V6" s="3251"/>
      <c r="W6" s="3251"/>
      <c r="X6" s="1807"/>
      <c r="Y6" s="3249"/>
      <c r="Z6" s="3250"/>
      <c r="AA6" s="3226"/>
      <c r="AB6" s="3226"/>
      <c r="AC6" s="3226"/>
    </row>
    <row r="7" spans="1:29" s="116" customFormat="1" ht="15.75" thickBot="1">
      <c r="A7" s="407" t="s">
        <v>2543</v>
      </c>
      <c r="B7" s="408"/>
      <c r="C7" s="409">
        <f>'数据-取费表'!B2</f>
        <v>43633</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52" t="s">
        <v>2544</v>
      </c>
      <c r="Q7" s="3253"/>
      <c r="R7" s="769" t="s">
        <v>17</v>
      </c>
      <c r="S7" s="770">
        <f t="shared" ref="S7:S14" si="0">F7</f>
        <v>0</v>
      </c>
      <c r="T7" s="769" t="s">
        <v>17</v>
      </c>
      <c r="U7" s="770">
        <f t="shared" ref="U7:U14" si="1">H7</f>
        <v>0</v>
      </c>
      <c r="V7" s="769" t="s">
        <v>17</v>
      </c>
      <c r="W7" s="770">
        <f t="shared" ref="W7:W14" si="2">J7</f>
        <v>0</v>
      </c>
      <c r="X7" s="771"/>
      <c r="Y7" s="3252" t="s">
        <v>2544</v>
      </c>
      <c r="Z7" s="3254"/>
      <c r="AA7" s="772" t="e">
        <f>D7/F7</f>
        <v>#DIV/0!</v>
      </c>
      <c r="AB7" s="772" t="e">
        <f>D7/H7</f>
        <v>#DIV/0!</v>
      </c>
      <c r="AC7" s="772"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52" t="s">
        <v>2547</v>
      </c>
      <c r="Q8" s="3254"/>
      <c r="R8" s="769" t="s">
        <v>17</v>
      </c>
      <c r="S8" s="770">
        <f t="shared" si="0"/>
        <v>0</v>
      </c>
      <c r="T8" s="769" t="s">
        <v>17</v>
      </c>
      <c r="U8" s="770">
        <f t="shared" si="1"/>
        <v>0</v>
      </c>
      <c r="V8" s="769" t="s">
        <v>17</v>
      </c>
      <c r="W8" s="770">
        <f t="shared" si="2"/>
        <v>0</v>
      </c>
      <c r="X8" s="771"/>
      <c r="Y8" s="3252" t="s">
        <v>2547</v>
      </c>
      <c r="Z8" s="3254"/>
      <c r="AA8" s="772" t="e">
        <f t="shared" ref="AA8:AA36" si="3">D8/F8</f>
        <v>#DIV/0!</v>
      </c>
      <c r="AB8" s="772" t="e">
        <f t="shared" ref="AB8:AB36" si="4">D8/H8</f>
        <v>#DIV/0!</v>
      </c>
      <c r="AC8" s="772"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65" t="s">
        <v>2550</v>
      </c>
      <c r="Q9" s="1789" t="str">
        <f t="shared" ref="Q9:Q14" si="6">B9</f>
        <v>用途</v>
      </c>
      <c r="R9" s="769" t="s">
        <v>17</v>
      </c>
      <c r="S9" s="770">
        <f t="shared" si="0"/>
        <v>100</v>
      </c>
      <c r="T9" s="769" t="s">
        <v>17</v>
      </c>
      <c r="U9" s="770">
        <f t="shared" si="1"/>
        <v>100</v>
      </c>
      <c r="V9" s="769" t="s">
        <v>17</v>
      </c>
      <c r="W9" s="770">
        <f t="shared" si="2"/>
        <v>100</v>
      </c>
      <c r="X9" s="771"/>
      <c r="Y9" s="3039"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6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65"/>
      <c r="Q11" s="1789">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6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6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85.5">
      <c r="A14" s="400" t="s">
        <v>2554</v>
      </c>
      <c r="B14" s="628" t="s">
        <v>2704</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58" t="s">
        <v>2555</v>
      </c>
      <c r="Q14" s="1804" t="str">
        <f t="shared" si="6"/>
        <v>交通便捷度</v>
      </c>
      <c r="R14" s="773" t="s">
        <v>17</v>
      </c>
      <c r="S14" s="774">
        <f t="shared" si="0"/>
        <v>100</v>
      </c>
      <c r="T14" s="773" t="s">
        <v>17</v>
      </c>
      <c r="U14" s="774">
        <f t="shared" si="1"/>
        <v>100</v>
      </c>
      <c r="V14" s="773" t="s">
        <v>17</v>
      </c>
      <c r="W14" s="774">
        <f t="shared" si="2"/>
        <v>100</v>
      </c>
      <c r="X14" s="1807"/>
      <c r="Y14" s="3258" t="s">
        <v>2555</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6"/>
      <c r="M15" s="1127"/>
      <c r="N15" s="1127"/>
      <c r="O15" s="1127"/>
      <c r="P15" s="3259"/>
      <c r="Q15" s="1804"/>
      <c r="R15" s="773"/>
      <c r="S15" s="774"/>
      <c r="T15" s="773"/>
      <c r="U15" s="774"/>
      <c r="V15" s="773"/>
      <c r="W15" s="774"/>
      <c r="X15" s="1807"/>
      <c r="Y15" s="3259"/>
      <c r="Z15" s="1808"/>
      <c r="AA15" s="1805">
        <v>1</v>
      </c>
      <c r="AB15" s="1805">
        <v>1</v>
      </c>
      <c r="AC15" s="1805">
        <v>1</v>
      </c>
    </row>
    <row r="16" spans="1:29" ht="42.75">
      <c r="A16" s="403"/>
      <c r="B16" s="630" t="s">
        <v>2683</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59"/>
      <c r="Q16" s="1804" t="str">
        <f>B16</f>
        <v>公共配套设施</v>
      </c>
      <c r="R16" s="773" t="s">
        <v>17</v>
      </c>
      <c r="S16" s="774">
        <f>F16</f>
        <v>100</v>
      </c>
      <c r="T16" s="773" t="s">
        <v>17</v>
      </c>
      <c r="U16" s="774">
        <f>H16</f>
        <v>100</v>
      </c>
      <c r="V16" s="773" t="s">
        <v>17</v>
      </c>
      <c r="W16" s="774">
        <f>J16</f>
        <v>100</v>
      </c>
      <c r="X16" s="1807"/>
      <c r="Y16" s="3259"/>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6"/>
      <c r="M17" s="1127"/>
      <c r="N17" s="1127"/>
      <c r="O17" s="1127"/>
      <c r="P17" s="3259"/>
      <c r="Q17" s="1804"/>
      <c r="R17" s="773"/>
      <c r="S17" s="774"/>
      <c r="T17" s="773"/>
      <c r="U17" s="774"/>
      <c r="V17" s="773"/>
      <c r="W17" s="774"/>
      <c r="X17" s="1807"/>
      <c r="Y17" s="3259"/>
      <c r="Z17" s="1808"/>
      <c r="AA17" s="1805">
        <v>1</v>
      </c>
      <c r="AB17" s="1805">
        <v>1</v>
      </c>
      <c r="AC17" s="1805">
        <v>1</v>
      </c>
    </row>
    <row r="18" spans="1:29" ht="28.5">
      <c r="A18" s="403"/>
      <c r="B18" s="632" t="s">
        <v>2684</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59"/>
      <c r="Q18" s="1804" t="str">
        <f>B18</f>
        <v>基础设施水平</v>
      </c>
      <c r="R18" s="773" t="s">
        <v>17</v>
      </c>
      <c r="S18" s="774">
        <f>F18</f>
        <v>100</v>
      </c>
      <c r="T18" s="773" t="s">
        <v>17</v>
      </c>
      <c r="U18" s="774">
        <f>H18</f>
        <v>100</v>
      </c>
      <c r="V18" s="773" t="s">
        <v>17</v>
      </c>
      <c r="W18" s="774">
        <f>J18</f>
        <v>100</v>
      </c>
      <c r="X18" s="1807"/>
      <c r="Y18" s="3259"/>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9"/>
      <c r="L19" s="1136"/>
      <c r="M19" s="1127"/>
      <c r="N19" s="1127"/>
      <c r="O19" s="1127"/>
      <c r="P19" s="3259"/>
      <c r="Q19" s="1804"/>
      <c r="R19" s="773"/>
      <c r="S19" s="774"/>
      <c r="T19" s="773"/>
      <c r="U19" s="774"/>
      <c r="V19" s="773"/>
      <c r="W19" s="774"/>
      <c r="X19" s="1807"/>
      <c r="Y19" s="3259"/>
      <c r="Z19" s="1808"/>
      <c r="AA19" s="1805">
        <v>1</v>
      </c>
      <c r="AB19" s="1805">
        <v>1</v>
      </c>
      <c r="AC19" s="1805">
        <v>1</v>
      </c>
    </row>
    <row r="20" spans="1:29" ht="57">
      <c r="A20" s="403"/>
      <c r="B20" s="630" t="s">
        <v>2705</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59"/>
      <c r="Q20" s="1804" t="str">
        <f>B20</f>
        <v>自然及人文环境</v>
      </c>
      <c r="R20" s="773" t="s">
        <v>17</v>
      </c>
      <c r="S20" s="774">
        <f>F20</f>
        <v>100</v>
      </c>
      <c r="T20" s="773" t="s">
        <v>17</v>
      </c>
      <c r="U20" s="774">
        <f>H20</f>
        <v>100</v>
      </c>
      <c r="V20" s="773" t="s">
        <v>17</v>
      </c>
      <c r="W20" s="774">
        <f>J20</f>
        <v>100</v>
      </c>
      <c r="X20" s="1807"/>
      <c r="Y20" s="3259"/>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6"/>
      <c r="M21" s="1127"/>
      <c r="N21" s="1127"/>
      <c r="O21" s="1127"/>
      <c r="P21" s="3259"/>
      <c r="Q21" s="1804"/>
      <c r="R21" s="773"/>
      <c r="S21" s="774"/>
      <c r="T21" s="773"/>
      <c r="U21" s="774"/>
      <c r="V21" s="773"/>
      <c r="W21" s="774"/>
      <c r="X21" s="1807"/>
      <c r="Y21" s="3259"/>
      <c r="Z21" s="1808"/>
      <c r="AA21" s="1805">
        <v>1</v>
      </c>
      <c r="AB21" s="1805">
        <v>1</v>
      </c>
      <c r="AC21" s="1805">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59"/>
      <c r="Q22" s="1804" t="str">
        <f>B22</f>
        <v>楼层</v>
      </c>
      <c r="R22" s="773" t="s">
        <v>17</v>
      </c>
      <c r="S22" s="774">
        <f>F22</f>
        <v>100</v>
      </c>
      <c r="T22" s="773" t="s">
        <v>17</v>
      </c>
      <c r="U22" s="774">
        <f>H22</f>
        <v>100</v>
      </c>
      <c r="V22" s="773" t="s">
        <v>17</v>
      </c>
      <c r="W22" s="774">
        <f>J22</f>
        <v>100</v>
      </c>
      <c r="X22" s="1807"/>
      <c r="Y22" s="3259"/>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59"/>
      <c r="Q23" s="1804">
        <f>B23</f>
        <v>111</v>
      </c>
      <c r="R23" s="773" t="s">
        <v>17</v>
      </c>
      <c r="S23" s="774">
        <f>F23</f>
        <v>100</v>
      </c>
      <c r="T23" s="773" t="s">
        <v>17</v>
      </c>
      <c r="U23" s="774">
        <f>H23</f>
        <v>100</v>
      </c>
      <c r="V23" s="773" t="s">
        <v>17</v>
      </c>
      <c r="W23" s="774">
        <f>J23</f>
        <v>100</v>
      </c>
      <c r="X23" s="1807"/>
      <c r="Y23" s="3259"/>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59"/>
      <c r="Q24" s="1804">
        <f t="shared" ref="Q24:Q36" si="11">B24</f>
        <v>111</v>
      </c>
      <c r="R24" s="773" t="s">
        <v>17</v>
      </c>
      <c r="S24" s="774">
        <f>F24</f>
        <v>100</v>
      </c>
      <c r="T24" s="773" t="s">
        <v>17</v>
      </c>
      <c r="U24" s="774">
        <f>H24</f>
        <v>100</v>
      </c>
      <c r="V24" s="773" t="s">
        <v>17</v>
      </c>
      <c r="W24" s="774">
        <f>J24</f>
        <v>100</v>
      </c>
      <c r="X24" s="1807"/>
      <c r="Y24" s="3259"/>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59"/>
      <c r="Q25" s="1789">
        <f t="shared" si="11"/>
        <v>111</v>
      </c>
      <c r="R25" s="769" t="s">
        <v>17</v>
      </c>
      <c r="S25" s="770">
        <f>F25</f>
        <v>100</v>
      </c>
      <c r="T25" s="769" t="s">
        <v>17</v>
      </c>
      <c r="U25" s="770">
        <f>H25</f>
        <v>100</v>
      </c>
      <c r="V25" s="769" t="s">
        <v>17</v>
      </c>
      <c r="W25" s="770">
        <f>J25</f>
        <v>100</v>
      </c>
      <c r="X25" s="771"/>
      <c r="Y25" s="3259"/>
      <c r="Z25" s="55">
        <f>Q25</f>
        <v>111</v>
      </c>
      <c r="AA25" s="1805">
        <f>D25/F25</f>
        <v>1</v>
      </c>
      <c r="AB25" s="1805">
        <f>D25/H25</f>
        <v>1</v>
      </c>
      <c r="AC25" s="1805">
        <f>D25/J25</f>
        <v>1</v>
      </c>
    </row>
    <row r="26" spans="1:29" ht="28.5">
      <c r="A26" s="651" t="s">
        <v>2558</v>
      </c>
      <c r="B26" s="70" t="s">
        <v>2707</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288" t="s">
        <v>2560</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63" t="s">
        <v>2560</v>
      </c>
      <c r="Z26" s="1808" t="str">
        <f t="shared" ref="Z26:Z36" si="15">Q26</f>
        <v>配套类型</v>
      </c>
      <c r="AA26" s="1805">
        <f t="shared" si="3"/>
        <v>1</v>
      </c>
      <c r="AB26" s="1805">
        <f t="shared" si="4"/>
        <v>1</v>
      </c>
      <c r="AC26" s="1805">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63"/>
      <c r="Q27" s="775" t="str">
        <f t="shared" si="11"/>
        <v>项目停车位配比</v>
      </c>
      <c r="R27" s="776" t="s">
        <v>17</v>
      </c>
      <c r="S27" s="777">
        <f t="shared" si="12"/>
        <v>100</v>
      </c>
      <c r="T27" s="776" t="s">
        <v>17</v>
      </c>
      <c r="U27" s="777">
        <f t="shared" si="13"/>
        <v>100</v>
      </c>
      <c r="V27" s="776" t="s">
        <v>17</v>
      </c>
      <c r="W27" s="777">
        <f t="shared" si="14"/>
        <v>100</v>
      </c>
      <c r="X27" s="778"/>
      <c r="Y27" s="3263"/>
      <c r="Z27" s="779" t="str">
        <f t="shared" si="15"/>
        <v>项目停车位配比</v>
      </c>
      <c r="AA27" s="1805">
        <f t="shared" si="3"/>
        <v>1</v>
      </c>
      <c r="AB27" s="1805">
        <f t="shared" si="4"/>
        <v>1</v>
      </c>
      <c r="AC27" s="1805">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63"/>
      <c r="Q28" s="1804" t="str">
        <f t="shared" si="11"/>
        <v>公共部分装修</v>
      </c>
      <c r="R28" s="773" t="s">
        <v>17</v>
      </c>
      <c r="S28" s="774">
        <f t="shared" si="12"/>
        <v>100</v>
      </c>
      <c r="T28" s="773" t="s">
        <v>17</v>
      </c>
      <c r="U28" s="774">
        <f t="shared" si="13"/>
        <v>100</v>
      </c>
      <c r="V28" s="773" t="s">
        <v>17</v>
      </c>
      <c r="W28" s="774">
        <f t="shared" si="14"/>
        <v>100</v>
      </c>
      <c r="X28" s="1807"/>
      <c r="Y28" s="3263"/>
      <c r="Z28" s="1808" t="str">
        <f t="shared" si="15"/>
        <v>公共部分装修</v>
      </c>
      <c r="AA28" s="1805">
        <f t="shared" si="3"/>
        <v>1</v>
      </c>
      <c r="AB28" s="1805">
        <f t="shared" si="4"/>
        <v>1</v>
      </c>
      <c r="AC28" s="1805">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63"/>
      <c r="Q29" s="1804" t="str">
        <f t="shared" si="11"/>
        <v>成新率</v>
      </c>
      <c r="R29" s="773" t="s">
        <v>17</v>
      </c>
      <c r="S29" s="774" t="e">
        <f t="shared" si="12"/>
        <v>#N/A</v>
      </c>
      <c r="T29" s="773" t="s">
        <v>17</v>
      </c>
      <c r="U29" s="774" t="e">
        <f t="shared" si="13"/>
        <v>#N/A</v>
      </c>
      <c r="V29" s="773" t="s">
        <v>17</v>
      </c>
      <c r="W29" s="774" t="e">
        <f t="shared" si="14"/>
        <v>#N/A</v>
      </c>
      <c r="X29" s="1807"/>
      <c r="Y29" s="3263"/>
      <c r="Z29" s="1808" t="str">
        <f t="shared" si="15"/>
        <v>成新率</v>
      </c>
      <c r="AA29" s="1805" t="e">
        <f t="shared" si="3"/>
        <v>#N/A</v>
      </c>
      <c r="AB29" s="1805" t="e">
        <f t="shared" si="4"/>
        <v>#N/A</v>
      </c>
      <c r="AC29" s="1805"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63"/>
      <c r="Q30" s="1804" t="str">
        <f t="shared" si="11"/>
        <v>物业等级</v>
      </c>
      <c r="R30" s="773" t="s">
        <v>17</v>
      </c>
      <c r="S30" s="774">
        <f t="shared" si="12"/>
        <v>100</v>
      </c>
      <c r="T30" s="773" t="s">
        <v>17</v>
      </c>
      <c r="U30" s="774">
        <f t="shared" si="13"/>
        <v>100</v>
      </c>
      <c r="V30" s="773" t="s">
        <v>17</v>
      </c>
      <c r="W30" s="774">
        <f t="shared" si="14"/>
        <v>100</v>
      </c>
      <c r="X30" s="1807"/>
      <c r="Y30" s="3263"/>
      <c r="Z30" s="1808" t="str">
        <f t="shared" si="15"/>
        <v>物业等级</v>
      </c>
      <c r="AA30" s="1805">
        <f t="shared" si="3"/>
        <v>1</v>
      </c>
      <c r="AB30" s="1805">
        <f t="shared" si="4"/>
        <v>1</v>
      </c>
      <c r="AC30" s="1805">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63"/>
      <c r="Q31" s="1789" t="str">
        <f t="shared" si="11"/>
        <v>停车位面积</v>
      </c>
      <c r="R31" s="769" t="s">
        <v>17</v>
      </c>
      <c r="S31" s="770" t="e">
        <f t="shared" si="12"/>
        <v>#N/A</v>
      </c>
      <c r="T31" s="769" t="s">
        <v>17</v>
      </c>
      <c r="U31" s="770" t="e">
        <f t="shared" si="13"/>
        <v>#N/A</v>
      </c>
      <c r="V31" s="769" t="s">
        <v>17</v>
      </c>
      <c r="W31" s="770" t="e">
        <f t="shared" si="14"/>
        <v>#N/A</v>
      </c>
      <c r="X31" s="771"/>
      <c r="Y31" s="3263"/>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63" t="s">
        <v>2560</v>
      </c>
      <c r="Q32" s="1804" t="str">
        <f t="shared" si="11"/>
        <v>车位类型</v>
      </c>
      <c r="R32" s="773" t="s">
        <v>17</v>
      </c>
      <c r="S32" s="774">
        <f t="shared" si="12"/>
        <v>100</v>
      </c>
      <c r="T32" s="773" t="s">
        <v>17</v>
      </c>
      <c r="U32" s="774">
        <f t="shared" si="13"/>
        <v>100</v>
      </c>
      <c r="V32" s="773" t="s">
        <v>17</v>
      </c>
      <c r="W32" s="774">
        <f t="shared" si="14"/>
        <v>100</v>
      </c>
      <c r="X32" s="1807"/>
      <c r="Y32" s="3263" t="s">
        <v>2560</v>
      </c>
      <c r="Z32" s="1808" t="str">
        <f t="shared" si="15"/>
        <v>车位类型</v>
      </c>
      <c r="AA32" s="1805">
        <f t="shared" si="3"/>
        <v>1</v>
      </c>
      <c r="AB32" s="1805">
        <f t="shared" si="4"/>
        <v>1</v>
      </c>
      <c r="AC32" s="1805">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63"/>
      <c r="Q33" s="1804" t="str">
        <f t="shared" si="11"/>
        <v>是否直接入户</v>
      </c>
      <c r="R33" s="773" t="s">
        <v>17</v>
      </c>
      <c r="S33" s="774">
        <f t="shared" si="12"/>
        <v>100</v>
      </c>
      <c r="T33" s="773" t="s">
        <v>17</v>
      </c>
      <c r="U33" s="774">
        <f t="shared" si="13"/>
        <v>100</v>
      </c>
      <c r="V33" s="773" t="s">
        <v>17</v>
      </c>
      <c r="W33" s="774">
        <f t="shared" si="14"/>
        <v>100</v>
      </c>
      <c r="X33" s="1807"/>
      <c r="Y33" s="3263"/>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63"/>
      <c r="Q34" s="1804">
        <f t="shared" si="11"/>
        <v>111</v>
      </c>
      <c r="R34" s="773" t="s">
        <v>17</v>
      </c>
      <c r="S34" s="774">
        <f t="shared" si="12"/>
        <v>100</v>
      </c>
      <c r="T34" s="773" t="s">
        <v>17</v>
      </c>
      <c r="U34" s="774">
        <f t="shared" si="13"/>
        <v>100</v>
      </c>
      <c r="V34" s="773" t="s">
        <v>17</v>
      </c>
      <c r="W34" s="774">
        <f t="shared" si="14"/>
        <v>100</v>
      </c>
      <c r="X34" s="1807"/>
      <c r="Y34" s="3263"/>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63"/>
      <c r="Q35" s="775">
        <f t="shared" si="11"/>
        <v>111</v>
      </c>
      <c r="R35" s="776" t="s">
        <v>17</v>
      </c>
      <c r="S35" s="777">
        <f t="shared" si="12"/>
        <v>100</v>
      </c>
      <c r="T35" s="776" t="s">
        <v>17</v>
      </c>
      <c r="U35" s="777">
        <f t="shared" si="13"/>
        <v>100</v>
      </c>
      <c r="V35" s="776" t="s">
        <v>17</v>
      </c>
      <c r="W35" s="777">
        <f t="shared" si="14"/>
        <v>100</v>
      </c>
      <c r="X35" s="778"/>
      <c r="Y35" s="3263"/>
      <c r="Z35" s="779">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63"/>
      <c r="Q36" s="1804">
        <f t="shared" si="11"/>
        <v>111</v>
      </c>
      <c r="R36" s="773" t="s">
        <v>17</v>
      </c>
      <c r="S36" s="774">
        <f t="shared" si="12"/>
        <v>100</v>
      </c>
      <c r="T36" s="773" t="s">
        <v>17</v>
      </c>
      <c r="U36" s="774">
        <f t="shared" si="13"/>
        <v>100</v>
      </c>
      <c r="V36" s="773" t="s">
        <v>17</v>
      </c>
      <c r="W36" s="774">
        <f t="shared" si="14"/>
        <v>100</v>
      </c>
      <c r="X36" s="1807"/>
      <c r="Y36" s="3263"/>
      <c r="Z36" s="1808">
        <f t="shared" si="15"/>
        <v>111</v>
      </c>
      <c r="AA36" s="1805">
        <f t="shared" si="3"/>
        <v>1</v>
      </c>
      <c r="AB36" s="1805">
        <f t="shared" si="4"/>
        <v>1</v>
      </c>
      <c r="AC36" s="1805">
        <f t="shared" si="5"/>
        <v>1</v>
      </c>
    </row>
    <row r="37" spans="1:29" ht="15">
      <c r="A37" s="478" t="s">
        <v>2715</v>
      </c>
      <c r="B37" s="2687" t="s">
        <v>2716</v>
      </c>
      <c r="C37" s="1402" t="s">
        <v>1</v>
      </c>
      <c r="D37" s="1403"/>
      <c r="E37" s="1404"/>
      <c r="F37" s="1405"/>
      <c r="G37" s="1406"/>
      <c r="H37" s="1407"/>
      <c r="I37" s="1404"/>
      <c r="J37" s="1407"/>
      <c r="K37" s="618"/>
      <c r="L37" s="1139"/>
      <c r="M37" s="1140"/>
      <c r="N37" s="1127"/>
      <c r="O37" s="1140"/>
      <c r="P37" s="3265" t="str">
        <f>A37</f>
        <v>成交单价</v>
      </c>
      <c r="Q37" s="3265"/>
      <c r="R37" s="3266">
        <f>E37</f>
        <v>0</v>
      </c>
      <c r="S37" s="3266"/>
      <c r="T37" s="3266">
        <f>G37</f>
        <v>0</v>
      </c>
      <c r="U37" s="3266"/>
      <c r="V37" s="3266">
        <f>I37</f>
        <v>0</v>
      </c>
      <c r="W37" s="3266"/>
      <c r="X37" s="758"/>
      <c r="Y37" s="780"/>
      <c r="Z37" s="758"/>
      <c r="AA37" s="758"/>
      <c r="AB37" s="758"/>
      <c r="AC37" s="758"/>
    </row>
    <row r="38" spans="1:29" ht="15.75" thickBot="1">
      <c r="A38" s="485" t="s">
        <v>2717</v>
      </c>
      <c r="B38" s="486" t="str">
        <f>B37</f>
        <v>元/车位</v>
      </c>
      <c r="C38" s="1408" t="e">
        <f>R39</f>
        <v>#DIV/0!</v>
      </c>
      <c r="D38" s="1409"/>
      <c r="E38" s="1410" t="e">
        <f>R38</f>
        <v>#DIV/0!</v>
      </c>
      <c r="F38" s="1410"/>
      <c r="G38" s="1408" t="e">
        <f>T38</f>
        <v>#DIV/0!</v>
      </c>
      <c r="H38" s="1409"/>
      <c r="I38" s="1410" t="e">
        <f>V38</f>
        <v>#DIV/0!</v>
      </c>
      <c r="J38" s="1409"/>
      <c r="K38" s="619"/>
      <c r="L38" s="1139"/>
      <c r="M38" s="1140"/>
      <c r="N38" s="1140"/>
      <c r="O38" s="1140"/>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8"/>
      <c r="Y38" s="758"/>
      <c r="Z38" s="758"/>
      <c r="AA38" s="758"/>
      <c r="AB38" s="758"/>
      <c r="AC38" s="758"/>
    </row>
    <row r="39" spans="1:29" ht="15.75" thickBot="1">
      <c r="A39" s="491" t="s">
        <v>2718</v>
      </c>
      <c r="B39" s="492"/>
      <c r="C39" s="1412" t="e">
        <f>R39</f>
        <v>#DIV/0!</v>
      </c>
      <c r="D39" s="1412"/>
      <c r="E39" s="1412"/>
      <c r="F39" s="1412"/>
      <c r="G39" s="1412"/>
      <c r="H39" s="1412"/>
      <c r="I39" s="1412"/>
      <c r="J39" s="1412"/>
      <c r="K39" s="620"/>
      <c r="L39" s="1139"/>
      <c r="M39" s="1140"/>
      <c r="N39" s="1140"/>
      <c r="O39" s="1140"/>
      <c r="P39" s="3267" t="str">
        <f>A39</f>
        <v>估价对象XX用房的比较价值（楼面单价，元/平方米）</v>
      </c>
      <c r="Q39" s="3268"/>
      <c r="R39" s="3269" t="e">
        <f>IF(F1="售价",ROUND(AVERAGE(R38:V38),0),ROUND(AVERAGE(R38:V38),1))</f>
        <v>#DIV/0!</v>
      </c>
      <c r="S39" s="3269"/>
      <c r="T39" s="3269"/>
      <c r="U39" s="3269"/>
      <c r="V39" s="3269"/>
      <c r="W39" s="3269"/>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1" customFormat="1" ht="13.5" customHeight="1">
      <c r="A44" s="1141"/>
      <c r="B44" s="1141"/>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2722</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7" customFormat="1" ht="15">
      <c r="A48" s="504" t="s">
        <v>2723</v>
      </c>
      <c r="B48" s="505"/>
      <c r="C48" s="1568" t="str">
        <f>YEAR(C7)&amp;"-"&amp;MONTH(C7)</f>
        <v>2019-6</v>
      </c>
      <c r="D48" s="1569">
        <f>EDATE(C48,-1)</f>
        <v>43586</v>
      </c>
      <c r="E48" s="1569">
        <f t="shared" ref="E48:O48" si="16">EDATE(D48,-1)</f>
        <v>43556</v>
      </c>
      <c r="F48" s="1569">
        <f t="shared" si="16"/>
        <v>43525</v>
      </c>
      <c r="G48" s="1569">
        <f t="shared" si="16"/>
        <v>43497</v>
      </c>
      <c r="H48" s="1569">
        <f t="shared" si="16"/>
        <v>43466</v>
      </c>
      <c r="I48" s="1569">
        <f t="shared" si="16"/>
        <v>43435</v>
      </c>
      <c r="J48" s="1569">
        <f t="shared" si="16"/>
        <v>43405</v>
      </c>
      <c r="K48" s="1569">
        <f t="shared" si="16"/>
        <v>43374</v>
      </c>
      <c r="L48" s="1569">
        <f t="shared" si="16"/>
        <v>43344</v>
      </c>
      <c r="M48" s="1569">
        <f t="shared" si="16"/>
        <v>43313</v>
      </c>
      <c r="N48" s="1569">
        <f t="shared" si="16"/>
        <v>43282</v>
      </c>
      <c r="O48" s="1569">
        <f t="shared" si="16"/>
        <v>43252</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2580</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2545</v>
      </c>
      <c r="B51" s="509"/>
      <c r="C51" s="521" t="s">
        <v>2647</v>
      </c>
      <c r="D51" s="522"/>
      <c r="E51" s="522"/>
      <c r="F51" s="522"/>
      <c r="G51" s="522"/>
      <c r="H51" s="522"/>
      <c r="I51" s="522"/>
      <c r="J51" s="522"/>
      <c r="K51" s="522"/>
      <c r="L51" s="523"/>
      <c r="M51" s="524"/>
      <c r="N51" s="1147"/>
      <c r="O51" s="1147"/>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7"/>
      <c r="O52" s="1147"/>
      <c r="P52" s="1423"/>
      <c r="Q52" s="1418"/>
      <c r="R52" s="1422"/>
      <c r="S52" s="1422"/>
      <c r="T52" s="1422"/>
      <c r="U52" s="1422"/>
      <c r="V52" s="1422"/>
      <c r="W52" s="1422"/>
      <c r="X52" s="1422"/>
      <c r="Y52" s="1422"/>
      <c r="Z52" s="1422"/>
      <c r="AA52" s="1422"/>
      <c r="AB52" s="1422"/>
      <c r="AC52" s="1422"/>
    </row>
    <row r="53" spans="1:29">
      <c r="A53" s="526" t="s">
        <v>2583</v>
      </c>
      <c r="B53" s="527" t="s">
        <v>2549</v>
      </c>
      <c r="C53" s="528">
        <f>C9</f>
        <v>0</v>
      </c>
      <c r="D53" s="529"/>
      <c r="E53" s="529"/>
      <c r="F53" s="529"/>
      <c r="G53" s="529"/>
      <c r="H53" s="529"/>
      <c r="I53" s="529"/>
      <c r="J53" s="529"/>
      <c r="K53" s="530"/>
      <c r="L53" s="531"/>
      <c r="M53" s="532"/>
      <c r="N53" s="1148"/>
      <c r="O53" s="1148"/>
      <c r="P53" s="1424"/>
      <c r="Q53" s="1418"/>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4"/>
      <c r="Q54" s="1418"/>
      <c r="R54" s="1140"/>
      <c r="S54" s="1140"/>
      <c r="T54" s="1140"/>
      <c r="U54" s="1140"/>
      <c r="V54" s="1140"/>
      <c r="W54" s="1140"/>
      <c r="X54" s="1140"/>
      <c r="Y54" s="1140"/>
      <c r="Z54" s="1140"/>
      <c r="AA54" s="1140"/>
      <c r="AB54" s="1140"/>
      <c r="AC54" s="1140"/>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8"/>
      <c r="O55" s="1148"/>
      <c r="P55" s="1424"/>
      <c r="Q55" s="1418"/>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4"/>
      <c r="Q56" s="1418"/>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4"/>
      <c r="Q57" s="1418"/>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4"/>
      <c r="Q58" s="1418"/>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9"/>
      <c r="O60" s="1149"/>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50"/>
      <c r="O61" s="1150"/>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50"/>
      <c r="O62" s="1150"/>
      <c r="P62" s="1425"/>
      <c r="Q62" s="1426"/>
      <c r="R62" s="1427"/>
      <c r="S62" s="1427"/>
      <c r="T62" s="1427"/>
      <c r="U62" s="1427"/>
      <c r="V62" s="1427"/>
      <c r="W62" s="1427"/>
      <c r="X62" s="1427"/>
      <c r="Y62" s="1427"/>
      <c r="Z62" s="1427"/>
      <c r="AA62" s="1427"/>
      <c r="AB62" s="1427"/>
      <c r="AC62" s="1427"/>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8"/>
      <c r="O63" s="1148"/>
      <c r="P63" s="1430"/>
      <c r="Q63" s="1418"/>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4"/>
      <c r="Q64" s="1418"/>
      <c r="R64" s="1140"/>
      <c r="S64" s="1140"/>
      <c r="T64" s="1140"/>
      <c r="U64" s="1140"/>
      <c r="V64" s="1140"/>
      <c r="W64" s="1140"/>
      <c r="X64" s="1140"/>
      <c r="Y64" s="1140"/>
      <c r="Z64" s="1140"/>
      <c r="AA64" s="1140"/>
      <c r="AB64" s="1140"/>
      <c r="AC64" s="1140"/>
    </row>
    <row r="65" spans="1:29" ht="15.75" thickTop="1">
      <c r="A65" s="533"/>
      <c r="B65" s="537" t="s">
        <v>2598</v>
      </c>
      <c r="C65" s="577" t="s">
        <v>2592</v>
      </c>
      <c r="D65" s="577" t="s">
        <v>2593</v>
      </c>
      <c r="E65" s="577" t="s">
        <v>2594</v>
      </c>
      <c r="F65" s="577" t="s">
        <v>2595</v>
      </c>
      <c r="G65" s="577" t="s">
        <v>2596</v>
      </c>
      <c r="H65" s="538"/>
      <c r="I65" s="538"/>
      <c r="J65" s="538"/>
      <c r="K65" s="539"/>
      <c r="L65" s="540"/>
      <c r="M65" s="541"/>
      <c r="N65" s="1148"/>
      <c r="O65" s="1148"/>
      <c r="P65" s="1424"/>
      <c r="Q65" s="1418"/>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4"/>
      <c r="Q66" s="1418"/>
      <c r="R66" s="1140"/>
      <c r="S66" s="1140"/>
      <c r="T66" s="1140"/>
      <c r="U66" s="1140"/>
      <c r="V66" s="1140"/>
      <c r="W66" s="1140"/>
      <c r="X66" s="1140"/>
      <c r="Y66" s="1140"/>
      <c r="Z66" s="1140"/>
      <c r="AA66" s="1140"/>
      <c r="AB66" s="1140"/>
      <c r="AC66" s="1140"/>
    </row>
    <row r="67" spans="1:29" ht="15.75" thickTop="1">
      <c r="A67" s="533"/>
      <c r="B67" s="545" t="s">
        <v>2684</v>
      </c>
      <c r="C67" s="659" t="s">
        <v>2670</v>
      </c>
      <c r="D67" s="659" t="s">
        <v>2671</v>
      </c>
      <c r="E67" s="659" t="s">
        <v>2672</v>
      </c>
      <c r="F67" s="659" t="s">
        <v>2673</v>
      </c>
      <c r="G67" s="659" t="s">
        <v>2674</v>
      </c>
      <c r="H67" s="538"/>
      <c r="I67" s="538"/>
      <c r="J67" s="538"/>
      <c r="K67" s="538"/>
      <c r="L67" s="538"/>
      <c r="M67" s="1378"/>
      <c r="N67" s="1149"/>
      <c r="O67" s="1149"/>
      <c r="P67" s="1424"/>
      <c r="Q67" s="1418"/>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4"/>
      <c r="Q68" s="1418"/>
      <c r="R68" s="1140"/>
      <c r="S68" s="1140"/>
      <c r="T68" s="1140"/>
      <c r="U68" s="1140"/>
      <c r="V68" s="1140"/>
      <c r="W68" s="1140"/>
      <c r="X68" s="1140"/>
      <c r="Y68" s="1140"/>
      <c r="Z68" s="1140"/>
      <c r="AA68" s="1140"/>
      <c r="AB68" s="1140"/>
      <c r="AC68" s="1140"/>
    </row>
    <row r="69" spans="1:29" ht="15.75" thickTop="1">
      <c r="A69" s="533"/>
      <c r="B69" s="537" t="s">
        <v>2604</v>
      </c>
      <c r="C69" s="577" t="s">
        <v>2592</v>
      </c>
      <c r="D69" s="577" t="s">
        <v>2593</v>
      </c>
      <c r="E69" s="577" t="s">
        <v>2594</v>
      </c>
      <c r="F69" s="577" t="s">
        <v>2595</v>
      </c>
      <c r="G69" s="577" t="s">
        <v>2596</v>
      </c>
      <c r="H69" s="538"/>
      <c r="I69" s="538"/>
      <c r="J69" s="538"/>
      <c r="K69" s="539"/>
      <c r="L69" s="540"/>
      <c r="M69" s="541"/>
      <c r="N69" s="1148"/>
      <c r="O69" s="1148"/>
      <c r="P69" s="1424"/>
      <c r="Q69" s="1418"/>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4"/>
      <c r="Q70" s="1418"/>
      <c r="R70" s="1140"/>
      <c r="S70" s="1140"/>
      <c r="T70" s="1140"/>
      <c r="U70" s="1140"/>
      <c r="V70" s="1140"/>
      <c r="W70" s="1140"/>
      <c r="X70" s="1140"/>
      <c r="Y70" s="1140"/>
      <c r="Z70" s="1140"/>
      <c r="AA70" s="1140"/>
      <c r="AB70" s="1140"/>
      <c r="AC70" s="1140"/>
    </row>
    <row r="71" spans="1:29" ht="15.75" thickTop="1">
      <c r="A71" s="533"/>
      <c r="B71" s="537" t="s">
        <v>2724</v>
      </c>
      <c r="C71" s="553"/>
      <c r="D71" s="553"/>
      <c r="E71" s="553"/>
      <c r="F71" s="553"/>
      <c r="G71" s="553"/>
      <c r="H71" s="582"/>
      <c r="I71" s="582"/>
      <c r="J71" s="582"/>
      <c r="K71" s="583"/>
      <c r="L71" s="584"/>
      <c r="M71" s="585"/>
      <c r="N71" s="1148"/>
      <c r="O71" s="1148"/>
      <c r="P71" s="1424"/>
      <c r="Q71" s="1418"/>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4"/>
      <c r="Q72" s="1418"/>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9"/>
      <c r="O74" s="1149"/>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7"/>
      <c r="O75" s="1147"/>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9"/>
      <c r="O76" s="1149"/>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50"/>
      <c r="O77" s="1150"/>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50"/>
      <c r="O78" s="1150"/>
      <c r="P78" s="1425"/>
      <c r="Q78" s="1426"/>
      <c r="R78" s="1427"/>
      <c r="S78" s="1427"/>
      <c r="T78" s="1427"/>
      <c r="U78" s="1427"/>
      <c r="V78" s="1427"/>
      <c r="W78" s="1427"/>
      <c r="X78" s="1427"/>
      <c r="Y78" s="1427"/>
      <c r="Z78" s="1427"/>
      <c r="AA78" s="1427"/>
      <c r="AB78" s="1427"/>
      <c r="AC78" s="1427"/>
    </row>
    <row r="79" spans="1:29" ht="27.75" thickTop="1">
      <c r="A79" s="526" t="s">
        <v>2558</v>
      </c>
      <c r="B79" s="527" t="s">
        <v>2725</v>
      </c>
      <c r="C79" s="528">
        <f>C26</f>
        <v>0</v>
      </c>
      <c r="D79" s="529"/>
      <c r="E79" s="529"/>
      <c r="F79" s="529"/>
      <c r="G79" s="529"/>
      <c r="H79" s="529"/>
      <c r="I79" s="529"/>
      <c r="J79" s="529"/>
      <c r="K79" s="530"/>
      <c r="L79" s="531"/>
      <c r="M79" s="532"/>
      <c r="N79" s="1148"/>
      <c r="O79" s="1148"/>
      <c r="P79" s="1424"/>
      <c r="Q79" s="1418"/>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3"/>
      <c r="B81" s="537" t="s">
        <v>2726</v>
      </c>
      <c r="C81" s="660"/>
      <c r="D81" s="660"/>
      <c r="E81" s="660"/>
      <c r="F81" s="660"/>
      <c r="G81" s="660"/>
      <c r="H81" s="660"/>
      <c r="I81" s="660"/>
      <c r="J81" s="660"/>
      <c r="K81" s="661"/>
      <c r="L81" s="662"/>
      <c r="M81" s="663"/>
      <c r="N81" s="1147"/>
      <c r="O81" s="1147"/>
      <c r="P81" s="1424"/>
      <c r="Q81" s="1418"/>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5"/>
      <c r="Q82" s="1426"/>
      <c r="R82" s="1427"/>
      <c r="S82" s="1427"/>
      <c r="T82" s="1427"/>
      <c r="U82" s="1427"/>
      <c r="V82" s="1427"/>
      <c r="W82" s="1427"/>
      <c r="X82" s="1427"/>
      <c r="Y82" s="1427"/>
      <c r="Z82" s="1427"/>
      <c r="AA82" s="1427"/>
      <c r="AB82" s="1427"/>
      <c r="AC82" s="1427"/>
    </row>
    <row r="83" spans="1:29" ht="15" thickTop="1">
      <c r="A83" s="598"/>
      <c r="B83" s="537" t="s">
        <v>2611</v>
      </c>
      <c r="C83" s="553"/>
      <c r="D83" s="553"/>
      <c r="E83" s="582"/>
      <c r="F83" s="582"/>
      <c r="G83" s="582"/>
      <c r="H83" s="582"/>
      <c r="I83" s="582"/>
      <c r="J83" s="582"/>
      <c r="K83" s="583"/>
      <c r="L83" s="584"/>
      <c r="M83" s="585"/>
      <c r="N83" s="1148"/>
      <c r="O83" s="1148"/>
      <c r="P83" s="1424"/>
      <c r="Q83" s="1418"/>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4"/>
      <c r="Q85" s="1418"/>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4"/>
      <c r="Q86" s="1418"/>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8"/>
      <c r="B88" s="545" t="s">
        <v>2728</v>
      </c>
      <c r="C88" s="529"/>
      <c r="D88" s="529"/>
      <c r="E88" s="529"/>
      <c r="F88" s="529"/>
      <c r="G88" s="529"/>
      <c r="H88" s="529"/>
      <c r="I88" s="529"/>
      <c r="J88" s="529"/>
      <c r="K88" s="530"/>
      <c r="L88" s="531"/>
      <c r="M88" s="532"/>
      <c r="N88" s="1148"/>
      <c r="O88" s="1148"/>
      <c r="P88" s="1424"/>
      <c r="Q88" s="1418"/>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4"/>
      <c r="Q89" s="1418"/>
      <c r="R89" s="1140"/>
      <c r="S89" s="1140"/>
      <c r="T89" s="1140"/>
      <c r="U89" s="1140"/>
      <c r="V89" s="1140"/>
      <c r="W89" s="1140"/>
      <c r="X89" s="1140"/>
      <c r="Y89" s="1140"/>
      <c r="Z89" s="1140"/>
      <c r="AA89" s="1140"/>
      <c r="AB89" s="1140"/>
      <c r="AC89" s="1140"/>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0"/>
      <c r="O91" s="1150"/>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50"/>
      <c r="O92" s="1150"/>
      <c r="P92" s="1425"/>
      <c r="Q92" s="1426"/>
      <c r="R92" s="1427"/>
      <c r="S92" s="1427"/>
      <c r="T92" s="1427"/>
      <c r="U92" s="1427"/>
      <c r="V92" s="1427"/>
      <c r="W92" s="1427"/>
      <c r="X92" s="1427"/>
      <c r="Y92" s="1427"/>
      <c r="Z92" s="1427"/>
      <c r="AA92" s="1427"/>
      <c r="AB92" s="1427"/>
      <c r="AC92" s="1427"/>
    </row>
    <row r="93" spans="1:29" ht="15" thickTop="1">
      <c r="A93" s="598"/>
      <c r="B93" s="537" t="s">
        <v>2730</v>
      </c>
      <c r="C93" s="553"/>
      <c r="D93" s="553"/>
      <c r="E93" s="582"/>
      <c r="F93" s="582"/>
      <c r="G93" s="582"/>
      <c r="H93" s="582"/>
      <c r="I93" s="582"/>
      <c r="J93" s="582"/>
      <c r="K93" s="583"/>
      <c r="L93" s="584"/>
      <c r="M93" s="585"/>
      <c r="N93" s="1148"/>
      <c r="O93" s="1148"/>
      <c r="P93" s="1424"/>
      <c r="Q93" s="1418"/>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8"/>
      <c r="B95" s="537" t="s">
        <v>2731</v>
      </c>
      <c r="C95" s="529"/>
      <c r="D95" s="529"/>
      <c r="E95" s="529"/>
      <c r="F95" s="529"/>
      <c r="G95" s="529"/>
      <c r="H95" s="529"/>
      <c r="I95" s="529"/>
      <c r="J95" s="529"/>
      <c r="K95" s="530"/>
      <c r="L95" s="531"/>
      <c r="M95" s="532"/>
      <c r="N95" s="1148"/>
      <c r="O95" s="1148"/>
      <c r="P95" s="1424"/>
      <c r="Q95" s="1418"/>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4"/>
      <c r="Q96" s="1418"/>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1"/>
      <c r="Q97" s="1432"/>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4"/>
      <c r="Q98" s="1418"/>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50"/>
      <c r="O100" s="1150"/>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8"/>
      <c r="O101" s="1148"/>
      <c r="P101" s="1424"/>
      <c r="Q101" s="1418"/>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2702</v>
      </c>
      <c r="B1" s="1613"/>
      <c r="C1" s="1614" t="s">
        <v>2525</v>
      </c>
      <c r="D1" s="1615"/>
      <c r="E1" s="1624"/>
      <c r="F1" s="2577"/>
      <c r="G1" s="1625" t="s">
        <v>2638</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3" t="e">
        <f ca="1">IF(C2="——",ROUND(C37*D3/10000,0),ROUND(C37*D3/10000,0)-D2)</f>
        <v>#DIV/0!</v>
      </c>
      <c r="C2" s="2579"/>
      <c r="D2" s="1120" t="e">
        <f ca="1">SUMIF(INDIRECT("'"&amp;F2&amp;"'"&amp;"!A:A"),"承租人权益价值",INDIRECT("'"&amp;F2&amp;"'"&amp;"!c:c"))</f>
        <v>#REF!</v>
      </c>
      <c r="E2" s="2580" t="s">
        <v>2326</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2639</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25" t="s">
        <v>2643</v>
      </c>
      <c r="AC4" s="3224" t="s">
        <v>2644</v>
      </c>
    </row>
    <row r="5" spans="1:29" ht="15">
      <c r="A5" s="403"/>
      <c r="B5" s="404"/>
      <c r="C5" s="3270" t="s">
        <v>2537</v>
      </c>
      <c r="D5" s="3242"/>
      <c r="E5" s="3272" t="s">
        <v>2538</v>
      </c>
      <c r="F5" s="3244"/>
      <c r="G5" s="3270" t="s">
        <v>2539</v>
      </c>
      <c r="H5" s="3242"/>
      <c r="I5" s="3270" t="s">
        <v>2540</v>
      </c>
      <c r="J5" s="3242"/>
      <c r="K5" s="609"/>
      <c r="L5" s="1126"/>
      <c r="M5" s="1127"/>
      <c r="N5" s="1127"/>
      <c r="O5" s="1127"/>
      <c r="P5" s="3233"/>
      <c r="Q5" s="3234"/>
      <c r="R5" s="3239"/>
      <c r="S5" s="3240"/>
      <c r="T5" s="3239"/>
      <c r="U5" s="3240"/>
      <c r="V5" s="3251"/>
      <c r="W5" s="3251"/>
      <c r="X5" s="1807"/>
      <c r="Y5" s="3239"/>
      <c r="Z5" s="3240"/>
      <c r="AA5" s="3225"/>
      <c r="AB5" s="3225"/>
      <c r="AC5" s="3225"/>
    </row>
    <row r="6" spans="1:29" ht="15.75" thickBot="1">
      <c r="A6" s="405"/>
      <c r="B6" s="406"/>
      <c r="C6" s="3245" t="s">
        <v>2541</v>
      </c>
      <c r="D6" s="3246"/>
      <c r="E6" s="3271" t="s">
        <v>2541</v>
      </c>
      <c r="F6" s="3248"/>
      <c r="G6" s="3245" t="s">
        <v>2541</v>
      </c>
      <c r="H6" s="3246"/>
      <c r="I6" s="3245" t="s">
        <v>2541</v>
      </c>
      <c r="J6" s="3246"/>
      <c r="K6" s="609" t="s">
        <v>2542</v>
      </c>
      <c r="L6" s="1126"/>
      <c r="M6" s="1127"/>
      <c r="N6" s="1127"/>
      <c r="O6" s="1127"/>
      <c r="P6" s="3235"/>
      <c r="Q6" s="3236"/>
      <c r="R6" s="3239"/>
      <c r="S6" s="3240"/>
      <c r="T6" s="3249"/>
      <c r="U6" s="3250"/>
      <c r="V6" s="3251"/>
      <c r="W6" s="3251"/>
      <c r="X6" s="1807"/>
      <c r="Y6" s="3249"/>
      <c r="Z6" s="3250"/>
      <c r="AA6" s="3226"/>
      <c r="AB6" s="3226"/>
      <c r="AC6" s="3226"/>
    </row>
    <row r="7" spans="1:29" s="116" customFormat="1" ht="15.75" thickBot="1">
      <c r="A7" s="407" t="s">
        <v>2543</v>
      </c>
      <c r="B7" s="408"/>
      <c r="C7" s="409">
        <f>'数据-取费表'!B2</f>
        <v>43633</v>
      </c>
      <c r="D7" s="410">
        <v>100</v>
      </c>
      <c r="E7" s="411"/>
      <c r="F7" s="412">
        <f>SUMIF(46:46,YEAR(E7)&amp;"-"&amp;MONTH(E7),47:47)</f>
        <v>0</v>
      </c>
      <c r="G7" s="2688"/>
      <c r="H7" s="410">
        <f>SUMIF(46:46,YEAR(G7)&amp;"-"&amp;MONTH(G7),47:47)</f>
        <v>0</v>
      </c>
      <c r="I7" s="411"/>
      <c r="J7" s="410">
        <f>SUMIF(46:46,YEAR(I7)&amp;"-"&amp;MONTH(I7),47:47)</f>
        <v>0</v>
      </c>
      <c r="K7" s="610"/>
      <c r="L7" s="1128"/>
      <c r="M7" s="1129"/>
      <c r="N7" s="1129"/>
      <c r="O7" s="1129"/>
      <c r="P7" s="3252" t="s">
        <v>2544</v>
      </c>
      <c r="Q7" s="3253"/>
      <c r="R7" s="769" t="s">
        <v>17</v>
      </c>
      <c r="S7" s="770">
        <f t="shared" ref="S7:S14" si="0">F7</f>
        <v>0</v>
      </c>
      <c r="T7" s="769" t="s">
        <v>17</v>
      </c>
      <c r="U7" s="770">
        <f t="shared" ref="U7:U14" si="1">H7</f>
        <v>0</v>
      </c>
      <c r="V7" s="769" t="s">
        <v>17</v>
      </c>
      <c r="W7" s="770">
        <f t="shared" ref="W7:W14" si="2">J7</f>
        <v>0</v>
      </c>
      <c r="X7" s="771"/>
      <c r="Y7" s="3252" t="s">
        <v>2544</v>
      </c>
      <c r="Z7" s="3254"/>
      <c r="AA7" s="772" t="e">
        <f>D7/F7</f>
        <v>#DIV/0!</v>
      </c>
      <c r="AB7" s="772" t="e">
        <f>D7/H7</f>
        <v>#DIV/0!</v>
      </c>
      <c r="AC7" s="772"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52" t="s">
        <v>2547</v>
      </c>
      <c r="Q8" s="3254"/>
      <c r="R8" s="769" t="s">
        <v>17</v>
      </c>
      <c r="S8" s="770">
        <f t="shared" si="0"/>
        <v>0</v>
      </c>
      <c r="T8" s="769" t="s">
        <v>17</v>
      </c>
      <c r="U8" s="770">
        <f t="shared" si="1"/>
        <v>0</v>
      </c>
      <c r="V8" s="769" t="s">
        <v>17</v>
      </c>
      <c r="W8" s="770">
        <f t="shared" si="2"/>
        <v>0</v>
      </c>
      <c r="X8" s="771"/>
      <c r="Y8" s="3252" t="s">
        <v>2547</v>
      </c>
      <c r="Z8" s="3254"/>
      <c r="AA8" s="772" t="e">
        <f t="shared" ref="AA8:AA34" si="3">D8/F8</f>
        <v>#DIV/0!</v>
      </c>
      <c r="AB8" s="772" t="e">
        <f t="shared" ref="AB8:AB34" si="4">D8/H8</f>
        <v>#DIV/0!</v>
      </c>
      <c r="AC8" s="772"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65" t="s">
        <v>2550</v>
      </c>
      <c r="Q9" s="1789" t="str">
        <f t="shared" ref="Q9:Q14" si="6">B9</f>
        <v>用途</v>
      </c>
      <c r="R9" s="769" t="s">
        <v>17</v>
      </c>
      <c r="S9" s="770">
        <f t="shared" si="0"/>
        <v>100</v>
      </c>
      <c r="T9" s="769" t="s">
        <v>17</v>
      </c>
      <c r="U9" s="770">
        <f t="shared" si="1"/>
        <v>100</v>
      </c>
      <c r="V9" s="769" t="s">
        <v>17</v>
      </c>
      <c r="W9" s="770">
        <f t="shared" si="2"/>
        <v>100</v>
      </c>
      <c r="X9" s="771"/>
      <c r="Y9" s="3039"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65"/>
      <c r="Q10" s="1789" t="str">
        <f t="shared" si="6"/>
        <v>土地使用年限（年）</v>
      </c>
      <c r="R10" s="769" t="s">
        <v>17</v>
      </c>
      <c r="S10" s="770">
        <f t="shared" si="0"/>
        <v>100</v>
      </c>
      <c r="T10" s="769" t="s">
        <v>17</v>
      </c>
      <c r="U10" s="770">
        <f t="shared" si="1"/>
        <v>100</v>
      </c>
      <c r="V10" s="769" t="s">
        <v>17</v>
      </c>
      <c r="W10" s="770">
        <f t="shared" si="2"/>
        <v>100</v>
      </c>
      <c r="X10" s="771"/>
      <c r="Y10" s="3039"/>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65"/>
      <c r="Q11" s="1789">
        <f t="shared" si="6"/>
        <v>111</v>
      </c>
      <c r="R11" s="769" t="s">
        <v>17</v>
      </c>
      <c r="S11" s="770">
        <f t="shared" si="0"/>
        <v>100</v>
      </c>
      <c r="T11" s="769" t="s">
        <v>17</v>
      </c>
      <c r="U11" s="770">
        <f t="shared" si="1"/>
        <v>100</v>
      </c>
      <c r="V11" s="769" t="s">
        <v>17</v>
      </c>
      <c r="W11" s="770">
        <f t="shared" si="2"/>
        <v>100</v>
      </c>
      <c r="X11" s="771"/>
      <c r="Y11" s="3039"/>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6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89"/>
      <c r="H13" s="437">
        <f>SUMIF(59:59,G13,60:60)-SUMIF(59:59,C13,60:60)+100</f>
        <v>100</v>
      </c>
      <c r="I13" s="468"/>
      <c r="J13" s="434">
        <f>SUMIF(59:59,I13,60:60)-SUMIF(59:59,C13,60:60)+100</f>
        <v>100</v>
      </c>
      <c r="K13" s="612"/>
      <c r="L13" s="1136"/>
      <c r="M13" s="1127"/>
      <c r="N13" s="1127"/>
      <c r="O13" s="1135"/>
      <c r="P13" s="326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85.5">
      <c r="A14" s="439" t="s">
        <v>2554</v>
      </c>
      <c r="B14" s="69" t="s">
        <v>2704</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58" t="s">
        <v>2555</v>
      </c>
      <c r="Q14" s="1804" t="str">
        <f t="shared" si="6"/>
        <v>交通便捷度</v>
      </c>
      <c r="R14" s="773" t="s">
        <v>17</v>
      </c>
      <c r="S14" s="774">
        <f t="shared" si="0"/>
        <v>100</v>
      </c>
      <c r="T14" s="773" t="s">
        <v>17</v>
      </c>
      <c r="U14" s="774">
        <f t="shared" si="1"/>
        <v>100</v>
      </c>
      <c r="V14" s="773" t="s">
        <v>17</v>
      </c>
      <c r="W14" s="774">
        <f t="shared" si="2"/>
        <v>100</v>
      </c>
      <c r="X14" s="1807"/>
      <c r="Y14" s="3258" t="s">
        <v>2555</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6"/>
      <c r="M15" s="1127"/>
      <c r="N15" s="1127"/>
      <c r="O15" s="1135"/>
      <c r="P15" s="3259"/>
      <c r="Q15" s="1804"/>
      <c r="R15" s="773"/>
      <c r="S15" s="774"/>
      <c r="T15" s="773"/>
      <c r="U15" s="774"/>
      <c r="V15" s="773"/>
      <c r="W15" s="774"/>
      <c r="X15" s="1807"/>
      <c r="Y15" s="3259"/>
      <c r="Z15" s="1808"/>
      <c r="AA15" s="1805">
        <v>1</v>
      </c>
      <c r="AB15" s="1805">
        <v>1</v>
      </c>
      <c r="AC15" s="1805">
        <v>1</v>
      </c>
    </row>
    <row r="16" spans="1:29" ht="42.75">
      <c r="A16" s="427"/>
      <c r="B16" s="450" t="s">
        <v>2683</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59"/>
      <c r="Q16" s="1804" t="str">
        <f>B16</f>
        <v>公共配套设施</v>
      </c>
      <c r="R16" s="773" t="s">
        <v>17</v>
      </c>
      <c r="S16" s="774">
        <f>F16</f>
        <v>100</v>
      </c>
      <c r="T16" s="773" t="s">
        <v>17</v>
      </c>
      <c r="U16" s="774">
        <f>H16</f>
        <v>100</v>
      </c>
      <c r="V16" s="773" t="s">
        <v>17</v>
      </c>
      <c r="W16" s="774">
        <f>J16</f>
        <v>100</v>
      </c>
      <c r="X16" s="1807"/>
      <c r="Y16" s="3259"/>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6"/>
      <c r="M17" s="1127"/>
      <c r="N17" s="1127"/>
      <c r="O17" s="1135"/>
      <c r="P17" s="3259"/>
      <c r="Q17" s="1804"/>
      <c r="R17" s="773"/>
      <c r="S17" s="774"/>
      <c r="T17" s="773"/>
      <c r="U17" s="774"/>
      <c r="V17" s="773"/>
      <c r="W17" s="774"/>
      <c r="X17" s="1807"/>
      <c r="Y17" s="3259"/>
      <c r="Z17" s="1808"/>
      <c r="AA17" s="1805">
        <v>1</v>
      </c>
      <c r="AB17" s="1805">
        <v>1</v>
      </c>
      <c r="AC17" s="1805">
        <v>1</v>
      </c>
    </row>
    <row r="18" spans="1:29" ht="28.5">
      <c r="A18" s="427"/>
      <c r="B18" s="1380" t="s">
        <v>2684</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59"/>
      <c r="Q18" s="1804" t="str">
        <f>B18</f>
        <v>基础设施水平</v>
      </c>
      <c r="R18" s="773" t="s">
        <v>17</v>
      </c>
      <c r="S18" s="774">
        <f>F18</f>
        <v>100</v>
      </c>
      <c r="T18" s="773" t="s">
        <v>17</v>
      </c>
      <c r="U18" s="774">
        <f>H18</f>
        <v>100</v>
      </c>
      <c r="V18" s="773" t="s">
        <v>17</v>
      </c>
      <c r="W18" s="774">
        <f>J18</f>
        <v>100</v>
      </c>
      <c r="X18" s="1807"/>
      <c r="Y18" s="3259"/>
      <c r="Z18" s="1808" t="str">
        <f>Q18</f>
        <v>基础设施水平</v>
      </c>
      <c r="AA18" s="1805">
        <f t="shared" ref="AA18" si="8">D18/F18</f>
        <v>1</v>
      </c>
      <c r="AB18" s="1805">
        <f t="shared" ref="AB18" si="9">D18/H18</f>
        <v>1</v>
      </c>
      <c r="AC18" s="1805">
        <f t="shared" ref="AC18" si="10">D18/J18</f>
        <v>1</v>
      </c>
    </row>
    <row r="19" spans="1:29" ht="15">
      <c r="A19" s="427"/>
      <c r="B19" s="1380"/>
      <c r="C19" s="2601"/>
      <c r="D19" s="449"/>
      <c r="E19" s="2601"/>
      <c r="F19" s="452"/>
      <c r="G19" s="2601"/>
      <c r="H19" s="447"/>
      <c r="I19" s="446"/>
      <c r="J19" s="447"/>
      <c r="K19" s="1379"/>
      <c r="L19" s="1136"/>
      <c r="M19" s="1127"/>
      <c r="N19" s="1127"/>
      <c r="O19" s="1135"/>
      <c r="P19" s="3259"/>
      <c r="Q19" s="1804"/>
      <c r="R19" s="773"/>
      <c r="S19" s="774"/>
      <c r="T19" s="773"/>
      <c r="U19" s="774"/>
      <c r="V19" s="773"/>
      <c r="W19" s="774"/>
      <c r="X19" s="1807"/>
      <c r="Y19" s="3259"/>
      <c r="Z19" s="1808"/>
      <c r="AA19" s="1805">
        <v>1</v>
      </c>
      <c r="AB19" s="1805">
        <v>1</v>
      </c>
      <c r="AC19" s="1805">
        <v>1</v>
      </c>
    </row>
    <row r="20" spans="1:29" ht="57">
      <c r="A20" s="427"/>
      <c r="B20" s="450" t="s">
        <v>2705</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59"/>
      <c r="Q20" s="1804" t="str">
        <f>B20</f>
        <v>自然及人文环境</v>
      </c>
      <c r="R20" s="773" t="s">
        <v>17</v>
      </c>
      <c r="S20" s="774">
        <f>F20</f>
        <v>100</v>
      </c>
      <c r="T20" s="773" t="s">
        <v>17</v>
      </c>
      <c r="U20" s="774">
        <f>H20</f>
        <v>100</v>
      </c>
      <c r="V20" s="773" t="s">
        <v>17</v>
      </c>
      <c r="W20" s="774">
        <f>J20</f>
        <v>100</v>
      </c>
      <c r="X20" s="1807"/>
      <c r="Y20" s="3259"/>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6"/>
      <c r="M21" s="1127"/>
      <c r="N21" s="1127"/>
      <c r="O21" s="1135"/>
      <c r="P21" s="3259"/>
      <c r="Q21" s="1804"/>
      <c r="R21" s="773"/>
      <c r="S21" s="774"/>
      <c r="T21" s="773"/>
      <c r="U21" s="774"/>
      <c r="V21" s="773"/>
      <c r="W21" s="774"/>
      <c r="X21" s="1807"/>
      <c r="Y21" s="3259"/>
      <c r="Z21" s="1808"/>
      <c r="AA21" s="1805">
        <v>1</v>
      </c>
      <c r="AB21" s="1805">
        <v>1</v>
      </c>
      <c r="AC21" s="1805">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59"/>
      <c r="Q22" s="1804" t="str">
        <f>B22</f>
        <v>楼层</v>
      </c>
      <c r="R22" s="773" t="s">
        <v>17</v>
      </c>
      <c r="S22" s="774">
        <f>F22</f>
        <v>100</v>
      </c>
      <c r="T22" s="773" t="s">
        <v>17</v>
      </c>
      <c r="U22" s="774">
        <f>H22</f>
        <v>100</v>
      </c>
      <c r="V22" s="773" t="s">
        <v>17</v>
      </c>
      <c r="W22" s="774">
        <f>J22</f>
        <v>100</v>
      </c>
      <c r="X22" s="1807"/>
      <c r="Y22" s="3259"/>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59"/>
      <c r="Q23" s="1804">
        <f>B23</f>
        <v>111</v>
      </c>
      <c r="R23" s="773" t="s">
        <v>17</v>
      </c>
      <c r="S23" s="774">
        <f>F23</f>
        <v>100</v>
      </c>
      <c r="T23" s="773" t="s">
        <v>17</v>
      </c>
      <c r="U23" s="774">
        <f>H23</f>
        <v>100</v>
      </c>
      <c r="V23" s="773" t="s">
        <v>17</v>
      </c>
      <c r="W23" s="774">
        <f>J23</f>
        <v>100</v>
      </c>
      <c r="X23" s="1807"/>
      <c r="Y23" s="3259"/>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59"/>
      <c r="Q24" s="1804">
        <f t="shared" ref="Q24:Q34" si="11">B24</f>
        <v>111</v>
      </c>
      <c r="R24" s="773" t="s">
        <v>17</v>
      </c>
      <c r="S24" s="774">
        <f>F24</f>
        <v>100</v>
      </c>
      <c r="T24" s="773" t="s">
        <v>17</v>
      </c>
      <c r="U24" s="774">
        <f>H24</f>
        <v>100</v>
      </c>
      <c r="V24" s="773" t="s">
        <v>17</v>
      </c>
      <c r="W24" s="774">
        <f>J24</f>
        <v>100</v>
      </c>
      <c r="X24" s="1807"/>
      <c r="Y24" s="3259"/>
      <c r="Z24" s="1808">
        <f>Q24</f>
        <v>111</v>
      </c>
      <c r="AA24" s="1805">
        <f t="shared" si="3"/>
        <v>1</v>
      </c>
      <c r="AB24" s="1805">
        <f t="shared" si="4"/>
        <v>1</v>
      </c>
      <c r="AC24" s="1805">
        <f t="shared" si="5"/>
        <v>1</v>
      </c>
    </row>
    <row r="25" spans="1:29" s="116" customFormat="1" ht="15.75" thickBot="1">
      <c r="A25" s="430"/>
      <c r="B25" s="2593">
        <v>111</v>
      </c>
      <c r="C25" s="2690"/>
      <c r="D25" s="664">
        <v>100</v>
      </c>
      <c r="E25" s="2690"/>
      <c r="F25" s="665">
        <f>SUMIF(75:75,E25,76:76)-SUMIF(75:75,C25,76:76)+100</f>
        <v>100</v>
      </c>
      <c r="G25" s="2690"/>
      <c r="H25" s="664">
        <f>SUMIF(75:75,G25,76:76)-SUMIF(75:75,C25,76:76)+100</f>
        <v>100</v>
      </c>
      <c r="I25" s="2690"/>
      <c r="J25" s="664">
        <f>SUMIF(75:75,I25,76:76)-SUMIF(75:75,C25,76:76)+100</f>
        <v>100</v>
      </c>
      <c r="K25" s="612"/>
      <c r="L25" s="1128"/>
      <c r="M25" s="1129"/>
      <c r="N25" s="1129"/>
      <c r="O25" s="1130"/>
      <c r="P25" s="3259"/>
      <c r="Q25" s="1789">
        <f t="shared" si="11"/>
        <v>111</v>
      </c>
      <c r="R25" s="769" t="s">
        <v>17</v>
      </c>
      <c r="S25" s="770">
        <f>F25</f>
        <v>100</v>
      </c>
      <c r="T25" s="769" t="s">
        <v>17</v>
      </c>
      <c r="U25" s="770">
        <f>H25</f>
        <v>100</v>
      </c>
      <c r="V25" s="769" t="s">
        <v>17</v>
      </c>
      <c r="W25" s="770">
        <f>J25</f>
        <v>100</v>
      </c>
      <c r="X25" s="771"/>
      <c r="Y25" s="3259"/>
      <c r="Z25" s="55">
        <f>Q25</f>
        <v>111</v>
      </c>
      <c r="AA25" s="1805">
        <f>D25/F25</f>
        <v>1</v>
      </c>
      <c r="AB25" s="1805">
        <f>D25/H25</f>
        <v>1</v>
      </c>
      <c r="AC25" s="1805">
        <f>D25/J25</f>
        <v>1</v>
      </c>
    </row>
    <row r="26" spans="1:29" ht="28.5">
      <c r="A26" s="465" t="s">
        <v>2558</v>
      </c>
      <c r="B26" s="71" t="s">
        <v>2709</v>
      </c>
      <c r="C26" s="2671"/>
      <c r="D26" s="466">
        <v>100</v>
      </c>
      <c r="E26" s="2671"/>
      <c r="F26" s="666">
        <f>SUMIF(77:77,E26,78:78)-SUMIF(77:77,C26,78:78)+100</f>
        <v>100</v>
      </c>
      <c r="G26" s="2671"/>
      <c r="H26" s="466">
        <f>SUMIF(77:77,G26,78:78)-SUMIF(77:77,C26,78:78)+100</f>
        <v>100</v>
      </c>
      <c r="I26" s="2671"/>
      <c r="J26" s="466">
        <f>SUMIF(77:77,I26,78:78)-SUMIF(77:77,C26,78:78)+100</f>
        <v>100</v>
      </c>
      <c r="K26" s="611"/>
      <c r="L26" s="1136"/>
      <c r="M26" s="1127"/>
      <c r="N26" s="1127"/>
      <c r="O26" s="1135"/>
      <c r="P26" s="3288" t="s">
        <v>2560</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63" t="s">
        <v>2560</v>
      </c>
      <c r="Z26" s="1808" t="str">
        <f t="shared" ref="Z26:Z34" si="15">Q26</f>
        <v>公共部分装修</v>
      </c>
      <c r="AA26" s="1805">
        <f t="shared" si="3"/>
        <v>1</v>
      </c>
      <c r="AB26" s="1805">
        <f t="shared" si="4"/>
        <v>1</v>
      </c>
      <c r="AC26" s="1805">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63"/>
      <c r="Q27" s="775" t="str">
        <f t="shared" si="11"/>
        <v>成新率</v>
      </c>
      <c r="R27" s="776" t="s">
        <v>17</v>
      </c>
      <c r="S27" s="777" t="e">
        <f t="shared" si="12"/>
        <v>#N/A</v>
      </c>
      <c r="T27" s="776" t="s">
        <v>17</v>
      </c>
      <c r="U27" s="777" t="e">
        <f t="shared" si="13"/>
        <v>#N/A</v>
      </c>
      <c r="V27" s="776" t="s">
        <v>17</v>
      </c>
      <c r="W27" s="777" t="e">
        <f t="shared" si="14"/>
        <v>#N/A</v>
      </c>
      <c r="X27" s="778"/>
      <c r="Y27" s="3263"/>
      <c r="Z27" s="779" t="str">
        <f t="shared" si="15"/>
        <v>成新率</v>
      </c>
      <c r="AA27" s="1805" t="e">
        <f t="shared" si="3"/>
        <v>#N/A</v>
      </c>
      <c r="AB27" s="1805" t="e">
        <f t="shared" si="4"/>
        <v>#N/A</v>
      </c>
      <c r="AC27" s="1805"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63"/>
      <c r="Q28" s="1804" t="str">
        <f t="shared" si="11"/>
        <v>物业等级</v>
      </c>
      <c r="R28" s="773" t="s">
        <v>17</v>
      </c>
      <c r="S28" s="774">
        <f t="shared" si="12"/>
        <v>100</v>
      </c>
      <c r="T28" s="773" t="s">
        <v>17</v>
      </c>
      <c r="U28" s="774">
        <f t="shared" si="13"/>
        <v>100</v>
      </c>
      <c r="V28" s="773" t="s">
        <v>17</v>
      </c>
      <c r="W28" s="774">
        <f t="shared" si="14"/>
        <v>100</v>
      </c>
      <c r="X28" s="1807"/>
      <c r="Y28" s="3263"/>
      <c r="Z28" s="1808" t="str">
        <f t="shared" si="15"/>
        <v>物业等级</v>
      </c>
      <c r="AA28" s="1805">
        <f t="shared" si="3"/>
        <v>1</v>
      </c>
      <c r="AB28" s="1805">
        <f t="shared" si="4"/>
        <v>1</v>
      </c>
      <c r="AC28" s="1805">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63"/>
      <c r="Q29" s="1804" t="str">
        <f t="shared" si="11"/>
        <v>有无电梯</v>
      </c>
      <c r="R29" s="773" t="s">
        <v>17</v>
      </c>
      <c r="S29" s="774">
        <f t="shared" si="12"/>
        <v>100</v>
      </c>
      <c r="T29" s="773" t="s">
        <v>17</v>
      </c>
      <c r="U29" s="774">
        <f t="shared" si="13"/>
        <v>100</v>
      </c>
      <c r="V29" s="773" t="s">
        <v>17</v>
      </c>
      <c r="W29" s="774">
        <f t="shared" si="14"/>
        <v>100</v>
      </c>
      <c r="X29" s="1807"/>
      <c r="Y29" s="3263"/>
      <c r="Z29" s="1808" t="str">
        <f t="shared" si="15"/>
        <v>有无电梯</v>
      </c>
      <c r="AA29" s="1805">
        <f t="shared" si="3"/>
        <v>1</v>
      </c>
      <c r="AB29" s="1805">
        <f t="shared" si="4"/>
        <v>1</v>
      </c>
      <c r="AC29" s="1805">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63"/>
      <c r="Q30" s="1804" t="str">
        <f t="shared" si="11"/>
        <v>建筑面积</v>
      </c>
      <c r="R30" s="773" t="s">
        <v>17</v>
      </c>
      <c r="S30" s="774" t="e">
        <f t="shared" si="12"/>
        <v>#N/A</v>
      </c>
      <c r="T30" s="773" t="s">
        <v>17</v>
      </c>
      <c r="U30" s="774" t="e">
        <f t="shared" si="13"/>
        <v>#N/A</v>
      </c>
      <c r="V30" s="773" t="s">
        <v>17</v>
      </c>
      <c r="W30" s="774" t="e">
        <f t="shared" si="14"/>
        <v>#N/A</v>
      </c>
      <c r="X30" s="1807"/>
      <c r="Y30" s="3263"/>
      <c r="Z30" s="1808" t="str">
        <f t="shared" si="15"/>
        <v>建筑面积</v>
      </c>
      <c r="AA30" s="1805" t="e">
        <f t="shared" si="3"/>
        <v>#N/A</v>
      </c>
      <c r="AB30" s="1805" t="e">
        <f t="shared" si="4"/>
        <v>#N/A</v>
      </c>
      <c r="AC30" s="1805"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63"/>
      <c r="Q31" s="1789" t="str">
        <f t="shared" si="11"/>
        <v>是否封闭</v>
      </c>
      <c r="R31" s="769" t="s">
        <v>17</v>
      </c>
      <c r="S31" s="770">
        <f t="shared" si="12"/>
        <v>100</v>
      </c>
      <c r="T31" s="769" t="s">
        <v>17</v>
      </c>
      <c r="U31" s="770">
        <f t="shared" si="13"/>
        <v>100</v>
      </c>
      <c r="V31" s="769" t="s">
        <v>17</v>
      </c>
      <c r="W31" s="770">
        <f t="shared" si="14"/>
        <v>100</v>
      </c>
      <c r="X31" s="771"/>
      <c r="Y31" s="3263"/>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63" t="s">
        <v>2560</v>
      </c>
      <c r="Q32" s="1804">
        <f t="shared" si="11"/>
        <v>111</v>
      </c>
      <c r="R32" s="773" t="s">
        <v>17</v>
      </c>
      <c r="S32" s="774">
        <f t="shared" si="12"/>
        <v>100</v>
      </c>
      <c r="T32" s="773" t="s">
        <v>17</v>
      </c>
      <c r="U32" s="774">
        <f t="shared" si="13"/>
        <v>100</v>
      </c>
      <c r="V32" s="773" t="s">
        <v>17</v>
      </c>
      <c r="W32" s="774">
        <f t="shared" si="14"/>
        <v>100</v>
      </c>
      <c r="X32" s="1807"/>
      <c r="Y32" s="3263" t="s">
        <v>2560</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63"/>
      <c r="Q33" s="1804">
        <f t="shared" si="11"/>
        <v>111</v>
      </c>
      <c r="R33" s="773" t="s">
        <v>17</v>
      </c>
      <c r="S33" s="774">
        <f t="shared" si="12"/>
        <v>100</v>
      </c>
      <c r="T33" s="773" t="s">
        <v>17</v>
      </c>
      <c r="U33" s="774">
        <f t="shared" si="13"/>
        <v>100</v>
      </c>
      <c r="V33" s="773" t="s">
        <v>17</v>
      </c>
      <c r="W33" s="774">
        <f t="shared" si="14"/>
        <v>100</v>
      </c>
      <c r="X33" s="1807"/>
      <c r="Y33" s="3263"/>
      <c r="Z33" s="1808">
        <f t="shared" si="15"/>
        <v>111</v>
      </c>
      <c r="AA33" s="1805">
        <f t="shared" si="3"/>
        <v>1</v>
      </c>
      <c r="AB33" s="1805">
        <f t="shared" si="4"/>
        <v>1</v>
      </c>
      <c r="AC33" s="1805">
        <f t="shared" si="5"/>
        <v>1</v>
      </c>
    </row>
    <row r="34" spans="1:29" ht="15.75" thickBot="1">
      <c r="A34" s="477"/>
      <c r="B34" s="2595">
        <v>111</v>
      </c>
      <c r="C34" s="436"/>
      <c r="D34" s="437">
        <v>100</v>
      </c>
      <c r="E34" s="2689"/>
      <c r="F34" s="438">
        <f>SUMIF(95:95,E34,96:96)-SUMIF(95:95,C34,96:96)+100</f>
        <v>100</v>
      </c>
      <c r="G34" s="2689"/>
      <c r="H34" s="437">
        <f>SUMIF(95:95,G34,96:96)-SUMIF(95:95,C34,96:96)+100</f>
        <v>100</v>
      </c>
      <c r="I34" s="2689"/>
      <c r="J34" s="437">
        <f>SUMIF(95:95,I34,96:96)-SUMIF(95:95,C34,96:96)+100</f>
        <v>100</v>
      </c>
      <c r="K34" s="612"/>
      <c r="L34" s="1136"/>
      <c r="M34" s="1127"/>
      <c r="N34" s="1127"/>
      <c r="O34" s="1135"/>
      <c r="P34" s="3263"/>
      <c r="Q34" s="1804">
        <f t="shared" si="11"/>
        <v>111</v>
      </c>
      <c r="R34" s="773" t="s">
        <v>17</v>
      </c>
      <c r="S34" s="774">
        <f t="shared" si="12"/>
        <v>100</v>
      </c>
      <c r="T34" s="773" t="s">
        <v>17</v>
      </c>
      <c r="U34" s="774">
        <f t="shared" si="13"/>
        <v>100</v>
      </c>
      <c r="V34" s="773" t="s">
        <v>17</v>
      </c>
      <c r="W34" s="774">
        <f t="shared" si="14"/>
        <v>100</v>
      </c>
      <c r="X34" s="1807"/>
      <c r="Y34" s="3263"/>
      <c r="Z34" s="1808">
        <f t="shared" si="15"/>
        <v>111</v>
      </c>
      <c r="AA34" s="1805">
        <f t="shared" si="3"/>
        <v>1</v>
      </c>
      <c r="AB34" s="1805">
        <f t="shared" si="4"/>
        <v>1</v>
      </c>
      <c r="AC34" s="1805">
        <f t="shared" si="5"/>
        <v>1</v>
      </c>
    </row>
    <row r="35" spans="1:29" ht="15">
      <c r="A35" s="478" t="s">
        <v>2572</v>
      </c>
      <c r="B35" s="479"/>
      <c r="C35" s="1402" t="s">
        <v>1</v>
      </c>
      <c r="D35" s="1403"/>
      <c r="E35" s="1404"/>
      <c r="F35" s="1405"/>
      <c r="G35" s="1406"/>
      <c r="H35" s="1407"/>
      <c r="I35" s="1404"/>
      <c r="J35" s="1407"/>
      <c r="K35" s="782"/>
      <c r="L35" s="1139"/>
      <c r="M35" s="1140"/>
      <c r="N35" s="1127"/>
      <c r="O35" s="1140"/>
      <c r="P35" s="3265" t="str">
        <f>A35</f>
        <v>成交单价（元/平方米）</v>
      </c>
      <c r="Q35" s="3265"/>
      <c r="R35" s="3266">
        <f>E35</f>
        <v>0</v>
      </c>
      <c r="S35" s="3266"/>
      <c r="T35" s="3266">
        <f>G35</f>
        <v>0</v>
      </c>
      <c r="U35" s="3266"/>
      <c r="V35" s="3266">
        <f>I35</f>
        <v>0</v>
      </c>
      <c r="W35" s="3266"/>
      <c r="X35" s="758"/>
      <c r="Y35" s="780"/>
      <c r="Z35" s="758"/>
      <c r="AA35" s="758"/>
      <c r="AB35" s="758"/>
      <c r="AC35" s="758"/>
    </row>
    <row r="36" spans="1:29" ht="15.75" thickBot="1">
      <c r="A36" s="485" t="s">
        <v>2664</v>
      </c>
      <c r="B36" s="486"/>
      <c r="C36" s="1408" t="e">
        <f>R37</f>
        <v>#DIV/0!</v>
      </c>
      <c r="D36" s="1409"/>
      <c r="E36" s="1410" t="e">
        <f>R36</f>
        <v>#DIV/0!</v>
      </c>
      <c r="F36" s="1410"/>
      <c r="G36" s="1408" t="e">
        <f>T36</f>
        <v>#DIV/0!</v>
      </c>
      <c r="H36" s="1409"/>
      <c r="I36" s="1410" t="e">
        <f>V36</f>
        <v>#DIV/0!</v>
      </c>
      <c r="J36" s="1409"/>
      <c r="K36" s="783"/>
      <c r="L36" s="1139"/>
      <c r="M36" s="1140"/>
      <c r="N36" s="1127"/>
      <c r="O36" s="1140"/>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8"/>
      <c r="Y36" s="758"/>
      <c r="Z36" s="758"/>
      <c r="AA36" s="758"/>
      <c r="AB36" s="758"/>
      <c r="AC36" s="758"/>
    </row>
    <row r="37" spans="1:29" ht="15.75" thickBot="1">
      <c r="A37" s="491" t="s">
        <v>2665</v>
      </c>
      <c r="B37" s="492"/>
      <c r="C37" s="1412" t="e">
        <f>R37</f>
        <v>#DIV/0!</v>
      </c>
      <c r="D37" s="1412"/>
      <c r="E37" s="1412"/>
      <c r="F37" s="1412"/>
      <c r="G37" s="1412"/>
      <c r="H37" s="1412"/>
      <c r="I37" s="1412"/>
      <c r="J37" s="1412"/>
      <c r="K37" s="784"/>
      <c r="L37" s="1139"/>
      <c r="M37" s="1140"/>
      <c r="N37" s="1140"/>
      <c r="O37" s="1140"/>
      <c r="P37" s="3267" t="str">
        <f>A37</f>
        <v>估价对象XX用房的比较价值（楼面单价，元/平方米）</v>
      </c>
      <c r="Q37" s="3268"/>
      <c r="R37" s="3269" t="e">
        <f>IF(F1="售价",ROUND(AVERAGE(R36:V36),0),ROUND(AVERAGE(R36:V36),1))</f>
        <v>#DIV/0!</v>
      </c>
      <c r="S37" s="3269"/>
      <c r="T37" s="3269"/>
      <c r="U37" s="3269"/>
      <c r="V37" s="3269"/>
      <c r="W37" s="3269"/>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68" t="str">
        <f>YEAR(C7)&amp;"-"&amp;MONTH(C7)</f>
        <v>2019-6</v>
      </c>
      <c r="D46" s="1569">
        <f>EDATE(C46,-1)</f>
        <v>43586</v>
      </c>
      <c r="E46" s="1569">
        <f t="shared" ref="E46:O46" si="16">EDATE(D46,-1)</f>
        <v>43556</v>
      </c>
      <c r="F46" s="1569">
        <f t="shared" si="16"/>
        <v>43525</v>
      </c>
      <c r="G46" s="1569">
        <f t="shared" si="16"/>
        <v>43497</v>
      </c>
      <c r="H46" s="1569">
        <f t="shared" si="16"/>
        <v>43466</v>
      </c>
      <c r="I46" s="1569">
        <f t="shared" si="16"/>
        <v>43435</v>
      </c>
      <c r="J46" s="1569">
        <f t="shared" si="16"/>
        <v>43405</v>
      </c>
      <c r="K46" s="1569">
        <f t="shared" si="16"/>
        <v>43374</v>
      </c>
      <c r="L46" s="1569">
        <f t="shared" si="16"/>
        <v>43344</v>
      </c>
      <c r="M46" s="1569">
        <f t="shared" si="16"/>
        <v>43313</v>
      </c>
      <c r="N46" s="1569">
        <f t="shared" si="16"/>
        <v>43282</v>
      </c>
      <c r="O46" s="1569">
        <f t="shared" si="16"/>
        <v>43252</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2583</v>
      </c>
      <c r="B51" s="527" t="s">
        <v>2549</v>
      </c>
      <c r="C51" s="528">
        <f>C9</f>
        <v>0</v>
      </c>
      <c r="D51" s="529"/>
      <c r="E51" s="529"/>
      <c r="F51" s="529"/>
      <c r="G51" s="529"/>
      <c r="H51" s="529"/>
      <c r="I51" s="529"/>
      <c r="J51" s="529"/>
      <c r="K51" s="530"/>
      <c r="L51" s="531"/>
      <c r="M51" s="532"/>
      <c r="N51" s="1148"/>
      <c r="O51" s="1148"/>
      <c r="P51" s="45"/>
      <c r="Q51" s="503"/>
    </row>
    <row r="52" spans="1:17" ht="15.75" thickBot="1">
      <c r="A52" s="533"/>
      <c r="B52" s="534"/>
      <c r="C52" s="535">
        <v>100</v>
      </c>
      <c r="D52" s="535"/>
      <c r="E52" s="535"/>
      <c r="F52" s="535"/>
      <c r="G52" s="535"/>
      <c r="H52" s="535"/>
      <c r="I52" s="535"/>
      <c r="J52" s="535"/>
      <c r="K52" s="535"/>
      <c r="L52" s="535"/>
      <c r="M52" s="536"/>
      <c r="N52" s="1149"/>
      <c r="O52" s="1149"/>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8"/>
      <c r="O53" s="1148"/>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5"/>
      <c r="Q54" s="503"/>
    </row>
    <row r="55" spans="1:17" ht="15.75" thickTop="1">
      <c r="A55" s="533"/>
      <c r="B55" s="659">
        <f>B11</f>
        <v>111</v>
      </c>
      <c r="C55" s="548"/>
      <c r="D55" s="548"/>
      <c r="E55" s="548"/>
      <c r="F55" s="548"/>
      <c r="G55" s="548"/>
      <c r="H55" s="548"/>
      <c r="I55" s="548"/>
      <c r="J55" s="548"/>
      <c r="K55" s="549"/>
      <c r="L55" s="550"/>
      <c r="M55" s="551"/>
      <c r="N55" s="1148"/>
      <c r="O55" s="1148"/>
      <c r="P55" s="45"/>
      <c r="Q55" s="503"/>
    </row>
    <row r="56" spans="1:17" ht="15.75" thickBot="1">
      <c r="A56" s="533"/>
      <c r="B56" s="534"/>
      <c r="C56" s="559"/>
      <c r="D56" s="535"/>
      <c r="E56" s="535"/>
      <c r="F56" s="535"/>
      <c r="G56" s="535"/>
      <c r="H56" s="535"/>
      <c r="I56" s="535"/>
      <c r="J56" s="535"/>
      <c r="K56" s="535"/>
      <c r="L56" s="535"/>
      <c r="M56" s="536"/>
      <c r="N56" s="1149"/>
      <c r="O56" s="1149"/>
      <c r="P56" s="45"/>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8"/>
      <c r="O63" s="1148"/>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8"/>
      <c r="N65" s="1149"/>
      <c r="O65" s="1149"/>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8"/>
      <c r="O67" s="1148"/>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5"/>
      <c r="Q68" s="503"/>
    </row>
    <row r="69" spans="1:17" ht="15.75" thickTop="1">
      <c r="A69" s="533"/>
      <c r="B69" s="537" t="s">
        <v>2724</v>
      </c>
      <c r="C69" s="553"/>
      <c r="D69" s="553"/>
      <c r="E69" s="553"/>
      <c r="F69" s="553"/>
      <c r="G69" s="553"/>
      <c r="H69" s="582"/>
      <c r="I69" s="582"/>
      <c r="J69" s="582"/>
      <c r="K69" s="583"/>
      <c r="L69" s="584"/>
      <c r="M69" s="585"/>
      <c r="N69" s="1148"/>
      <c r="O69" s="1148"/>
      <c r="P69" s="45"/>
      <c r="Q69" s="503"/>
    </row>
    <row r="70" spans="1:17" ht="15.75" thickBot="1">
      <c r="A70" s="533"/>
      <c r="B70" s="542"/>
      <c r="C70" s="543">
        <v>100</v>
      </c>
      <c r="D70" s="543">
        <f>C70-$K22</f>
        <v>100</v>
      </c>
      <c r="E70" s="543"/>
      <c r="F70" s="543"/>
      <c r="G70" s="543"/>
      <c r="H70" s="543"/>
      <c r="I70" s="543"/>
      <c r="J70" s="543"/>
      <c r="K70" s="543"/>
      <c r="L70" s="543"/>
      <c r="M70" s="544"/>
      <c r="N70" s="1149"/>
      <c r="O70" s="1149"/>
      <c r="P70" s="45"/>
      <c r="Q70" s="503"/>
    </row>
    <row r="71" spans="1:17" s="116" customFormat="1" ht="15.75" thickTop="1">
      <c r="A71" s="578"/>
      <c r="B71" s="537">
        <f>B23</f>
        <v>111</v>
      </c>
      <c r="C71" s="548"/>
      <c r="D71" s="548"/>
      <c r="E71" s="548"/>
      <c r="F71" s="548"/>
      <c r="G71" s="553"/>
      <c r="H71" s="553"/>
      <c r="I71" s="553"/>
      <c r="J71" s="553"/>
      <c r="K71" s="553"/>
      <c r="L71" s="579"/>
      <c r="M71" s="580"/>
      <c r="N71" s="1147"/>
      <c r="O71" s="1147"/>
      <c r="P71" s="45"/>
      <c r="Q71" s="503"/>
    </row>
    <row r="72" spans="1:17" s="116" customFormat="1" ht="15.75" thickBot="1">
      <c r="A72" s="578"/>
      <c r="B72" s="542"/>
      <c r="C72" s="559"/>
      <c r="D72" s="535"/>
      <c r="E72" s="535"/>
      <c r="F72" s="535"/>
      <c r="G72" s="535"/>
      <c r="H72" s="535"/>
      <c r="I72" s="535"/>
      <c r="J72" s="535"/>
      <c r="K72" s="535"/>
      <c r="L72" s="535"/>
      <c r="M72" s="536"/>
      <c r="N72" s="1149"/>
      <c r="O72" s="1149"/>
      <c r="P72" s="45"/>
      <c r="Q72" s="503"/>
    </row>
    <row r="73" spans="1:17" s="116" customFormat="1" ht="15.75" thickTop="1">
      <c r="A73" s="578"/>
      <c r="B73" s="537">
        <f>B24</f>
        <v>111</v>
      </c>
      <c r="C73" s="548"/>
      <c r="D73" s="548"/>
      <c r="E73" s="548"/>
      <c r="F73" s="548"/>
      <c r="G73" s="553"/>
      <c r="H73" s="553"/>
      <c r="I73" s="553"/>
      <c r="J73" s="553"/>
      <c r="K73" s="553"/>
      <c r="L73" s="553"/>
      <c r="M73" s="580"/>
      <c r="N73" s="1147"/>
      <c r="O73" s="1147"/>
      <c r="P73" s="45"/>
      <c r="Q73" s="503"/>
    </row>
    <row r="74" spans="1:17" s="116" customFormat="1" ht="15.75" thickBot="1">
      <c r="A74" s="578"/>
      <c r="B74" s="542"/>
      <c r="C74" s="559"/>
      <c r="D74" s="535"/>
      <c r="E74" s="535"/>
      <c r="F74" s="535"/>
      <c r="G74" s="535"/>
      <c r="H74" s="535"/>
      <c r="I74" s="535"/>
      <c r="J74" s="535"/>
      <c r="K74" s="535"/>
      <c r="L74" s="535"/>
      <c r="M74" s="536"/>
      <c r="N74" s="1149"/>
      <c r="O74" s="1149"/>
      <c r="P74" s="45"/>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2558</v>
      </c>
      <c r="B77" s="527" t="s">
        <v>2611</v>
      </c>
      <c r="C77" s="553"/>
      <c r="D77" s="553"/>
      <c r="E77" s="529"/>
      <c r="F77" s="529"/>
      <c r="G77" s="529"/>
      <c r="H77" s="529"/>
      <c r="I77" s="529"/>
      <c r="J77" s="529"/>
      <c r="K77" s="530"/>
      <c r="L77" s="531"/>
      <c r="M77" s="532"/>
      <c r="N77" s="1148"/>
      <c r="O77" s="1148"/>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5"/>
      <c r="Q79" s="503"/>
    </row>
    <row r="80" spans="1:17" ht="15">
      <c r="A80" s="533"/>
      <c r="B80" s="545"/>
      <c r="C80" s="602">
        <v>0.5</v>
      </c>
      <c r="D80" s="602">
        <v>0.6</v>
      </c>
      <c r="E80" s="602">
        <v>0.7</v>
      </c>
      <c r="F80" s="602">
        <v>0.8</v>
      </c>
      <c r="G80" s="602">
        <v>0.9</v>
      </c>
      <c r="H80" s="602">
        <v>1.0001</v>
      </c>
      <c r="I80" s="659"/>
      <c r="J80" s="659"/>
      <c r="K80" s="667"/>
      <c r="L80" s="668"/>
      <c r="M80" s="669"/>
      <c r="N80" s="1147"/>
      <c r="O80" s="1147"/>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2728</v>
      </c>
      <c r="C82" s="553"/>
      <c r="D82" s="553"/>
      <c r="E82" s="582"/>
      <c r="F82" s="582"/>
      <c r="G82" s="582"/>
      <c r="H82" s="582"/>
      <c r="I82" s="582"/>
      <c r="J82" s="582"/>
      <c r="K82" s="583"/>
      <c r="L82" s="584"/>
      <c r="M82" s="585"/>
      <c r="N82" s="1148"/>
      <c r="O82" s="1148"/>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5"/>
      <c r="Q83" s="503"/>
    </row>
    <row r="84" spans="1:17" ht="15" thickTop="1">
      <c r="A84" s="598"/>
      <c r="B84" s="537" t="s">
        <v>2736</v>
      </c>
      <c r="C84" s="553"/>
      <c r="D84" s="553"/>
      <c r="E84" s="553"/>
      <c r="F84" s="553"/>
      <c r="G84" s="553"/>
      <c r="H84" s="553"/>
      <c r="I84" s="582"/>
      <c r="J84" s="582"/>
      <c r="K84" s="583"/>
      <c r="L84" s="584"/>
      <c r="M84" s="585"/>
      <c r="N84" s="1148"/>
      <c r="O84" s="1148"/>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5"/>
      <c r="Q86" s="503"/>
    </row>
    <row r="87" spans="1:17">
      <c r="A87" s="598"/>
      <c r="B87" s="545"/>
      <c r="C87" s="594"/>
      <c r="D87" s="594"/>
      <c r="E87" s="594"/>
      <c r="F87" s="594"/>
      <c r="G87" s="594"/>
      <c r="H87" s="594"/>
      <c r="I87" s="594"/>
      <c r="J87" s="595"/>
      <c r="K87" s="595"/>
      <c r="L87" s="596"/>
      <c r="M87" s="597"/>
      <c r="N87" s="1148"/>
      <c r="O87" s="1148"/>
      <c r="P87" s="45"/>
      <c r="Q87" s="503"/>
    </row>
    <row r="88" spans="1:17" ht="15.75" thickBot="1">
      <c r="A88" s="533"/>
      <c r="B88" s="542"/>
      <c r="C88" s="559"/>
      <c r="D88" s="535"/>
      <c r="E88" s="535"/>
      <c r="F88" s="535"/>
      <c r="G88" s="535"/>
      <c r="H88" s="535"/>
      <c r="I88" s="535"/>
      <c r="J88" s="535"/>
      <c r="K88" s="535"/>
      <c r="L88" s="535"/>
      <c r="M88" s="535"/>
      <c r="N88" s="1149"/>
      <c r="O88" s="1149"/>
      <c r="P88" s="45"/>
      <c r="Q88" s="503"/>
    </row>
    <row r="89" spans="1:17" s="470" customFormat="1" ht="15" thickTop="1">
      <c r="A89" s="592"/>
      <c r="B89" s="537" t="s">
        <v>2738</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5"/>
      <c r="Q91" s="503"/>
    </row>
    <row r="92" spans="1:17" ht="15.75" thickBot="1">
      <c r="A92" s="533"/>
      <c r="B92" s="542"/>
      <c r="C92" s="559"/>
      <c r="D92" s="535"/>
      <c r="E92" s="535"/>
      <c r="F92" s="535"/>
      <c r="G92" s="559"/>
      <c r="H92" s="561"/>
      <c r="I92" s="561"/>
      <c r="J92" s="561"/>
      <c r="K92" s="561"/>
      <c r="L92" s="561"/>
      <c r="M92" s="562"/>
      <c r="N92" s="1149"/>
      <c r="O92" s="1149"/>
      <c r="P92" s="45"/>
      <c r="Q92" s="503"/>
    </row>
    <row r="93" spans="1:17" ht="15" thickTop="1">
      <c r="A93" s="598"/>
      <c r="B93" s="537">
        <f>B33</f>
        <v>111</v>
      </c>
      <c r="C93" s="548"/>
      <c r="D93" s="548"/>
      <c r="E93" s="548"/>
      <c r="F93" s="548"/>
      <c r="G93" s="553"/>
      <c r="H93" s="554"/>
      <c r="I93" s="554"/>
      <c r="J93" s="554"/>
      <c r="K93" s="554"/>
      <c r="L93" s="555"/>
      <c r="M93" s="556"/>
      <c r="N93" s="1148"/>
      <c r="O93" s="1148"/>
      <c r="P93" s="45"/>
      <c r="Q93" s="503"/>
    </row>
    <row r="94" spans="1:17" ht="15.75" thickBot="1">
      <c r="A94" s="533"/>
      <c r="B94" s="542"/>
      <c r="C94" s="559"/>
      <c r="D94" s="535"/>
      <c r="E94" s="535"/>
      <c r="F94" s="535"/>
      <c r="G94" s="559"/>
      <c r="H94" s="561"/>
      <c r="I94" s="561"/>
      <c r="J94" s="561"/>
      <c r="K94" s="561"/>
      <c r="L94" s="561"/>
      <c r="M94" s="562"/>
      <c r="N94" s="1149"/>
      <c r="O94" s="1149"/>
      <c r="P94" s="45"/>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5"/>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49" zoomScale="70" zoomScaleNormal="70" workbookViewId="0">
      <selection activeCell="R82" sqref="R82"/>
    </sheetView>
  </sheetViews>
  <sheetFormatPr defaultColWidth="9" defaultRowHeight="14.25"/>
  <cols>
    <col min="1" max="1" width="14.375" style="402" customWidth="1"/>
    <col min="2" max="2" width="15.75" style="402" customWidth="1"/>
    <col min="3" max="3" width="16.5" style="402" customWidth="1"/>
    <col min="4" max="4" width="14.125" style="402" customWidth="1"/>
    <col min="5" max="5" width="14.375" style="402" customWidth="1"/>
    <col min="6" max="6" width="12.25" style="402" customWidth="1"/>
    <col min="7" max="7" width="14.5" style="402" customWidth="1"/>
    <col min="8" max="8" width="12.25" style="402" customWidth="1"/>
    <col min="9" max="9" width="16.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f>F66</f>
        <v>70458</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2327</v>
      </c>
      <c r="B3" s="608">
        <f>ROUND(IF(D3="",B2*10000/'数据-汇总表'!E3,B2*10000/D3),0)</f>
        <v>11061</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25" t="s">
        <v>2643</v>
      </c>
      <c r="AC4" s="3224" t="s">
        <v>2644</v>
      </c>
    </row>
    <row r="5" spans="1:30" ht="48.6" customHeight="1">
      <c r="A5" s="403"/>
      <c r="B5" s="404"/>
      <c r="C5" s="3241" t="s">
        <v>3158</v>
      </c>
      <c r="D5" s="3242"/>
      <c r="E5" s="3272" t="str">
        <f>土地案例!A11</f>
        <v>北京经济技术开发区河西区X89R1地块R2二类居住用地</v>
      </c>
      <c r="F5" s="3244"/>
      <c r="G5" s="3270" t="str">
        <f>土地案例!A20</f>
        <v>北京市昌平区北七家镇CP07-0203-0007等地块R2二类居住用地、A33基础教育用地</v>
      </c>
      <c r="H5" s="3242"/>
      <c r="I5" s="3294" t="str">
        <f>土地案例!A25</f>
        <v>北京市昌平区北七家镇东三旗村011地块R2二类居住用地</v>
      </c>
      <c r="J5" s="3295"/>
      <c r="K5" s="609"/>
      <c r="L5" s="1126"/>
      <c r="M5" s="1127"/>
      <c r="N5" s="1127"/>
      <c r="O5" s="1127"/>
      <c r="P5" s="3233"/>
      <c r="Q5" s="3234"/>
      <c r="R5" s="3239"/>
      <c r="S5" s="3240"/>
      <c r="T5" s="3239"/>
      <c r="U5" s="3240"/>
      <c r="V5" s="3251"/>
      <c r="W5" s="3251"/>
      <c r="X5" s="1807"/>
      <c r="Y5" s="3239"/>
      <c r="Z5" s="3240"/>
      <c r="AA5" s="3225"/>
      <c r="AB5" s="3225"/>
      <c r="AC5" s="3225"/>
    </row>
    <row r="6" spans="1:30" ht="15.75" thickBot="1">
      <c r="A6" s="405"/>
      <c r="B6" s="406"/>
      <c r="C6" s="3293" t="s">
        <v>3573</v>
      </c>
      <c r="D6" s="3246"/>
      <c r="E6" s="3271" t="str">
        <f>土地案例!F11</f>
        <v>北京经济技术开发区河西区X89R1地块</v>
      </c>
      <c r="F6" s="3248"/>
      <c r="G6" s="3245" t="str">
        <f>土地案例!F20</f>
        <v>昌平区北七家镇中心区,定泗路以南</v>
      </c>
      <c r="H6" s="3246"/>
      <c r="I6" s="3245" t="str">
        <f>土地案例!F25</f>
        <v>昌平区北七家镇立汤路东侧、东三旗村的东北部</v>
      </c>
      <c r="J6" s="3246"/>
      <c r="K6" s="609" t="s">
        <v>2542</v>
      </c>
      <c r="L6" s="1126"/>
      <c r="M6" s="1127"/>
      <c r="N6" s="1127"/>
      <c r="O6" s="1127"/>
      <c r="P6" s="3235"/>
      <c r="Q6" s="3236"/>
      <c r="R6" s="3239"/>
      <c r="S6" s="3240"/>
      <c r="T6" s="3249"/>
      <c r="U6" s="3250"/>
      <c r="V6" s="3251"/>
      <c r="W6" s="3251"/>
      <c r="X6" s="1807"/>
      <c r="Y6" s="3249"/>
      <c r="Z6" s="3250"/>
      <c r="AA6" s="3226"/>
      <c r="AB6" s="3226"/>
      <c r="AC6" s="3226"/>
    </row>
    <row r="7" spans="1:30" s="116" customFormat="1" ht="15.75" thickBot="1">
      <c r="A7" s="407" t="s">
        <v>2543</v>
      </c>
      <c r="B7" s="408"/>
      <c r="C7" s="409">
        <f>'数据-取费表'!B2</f>
        <v>43633</v>
      </c>
      <c r="D7" s="410">
        <v>100</v>
      </c>
      <c r="E7" s="411" t="str">
        <f>土地案例!AA11</f>
        <v>2018-10-19</v>
      </c>
      <c r="F7" s="412">
        <f>SUMIF(70:70,YEAR(E7)&amp;"-"&amp;INT((MONTH(E7)+2)/3),71:71)</f>
        <v>98</v>
      </c>
      <c r="G7" s="2688" t="str">
        <f>土地案例!AA20</f>
        <v>2017-12-21</v>
      </c>
      <c r="H7" s="410">
        <f>SUMIF(70:70,YEAR(G7)&amp;"-"&amp;INT((MONTH(G7)+2)/3),71:71)</f>
        <v>94</v>
      </c>
      <c r="I7" s="2688" t="str">
        <f>土地案例!AA25</f>
        <v>2017-10-25</v>
      </c>
      <c r="J7" s="410">
        <f>SUMIF(70:70,YEAR(I7)&amp;"-"&amp;INT((MONTH(I7)+2)/3),71:71)</f>
        <v>94</v>
      </c>
      <c r="K7" s="610"/>
      <c r="L7" s="1128"/>
      <c r="M7" s="1129"/>
      <c r="N7" s="1129"/>
      <c r="O7" s="1129"/>
      <c r="P7" s="3252" t="s">
        <v>2544</v>
      </c>
      <c r="Q7" s="3253"/>
      <c r="R7" s="769" t="s">
        <v>17</v>
      </c>
      <c r="S7" s="770">
        <f t="shared" ref="S7:S15" si="0">F7</f>
        <v>98</v>
      </c>
      <c r="T7" s="769" t="s">
        <v>17</v>
      </c>
      <c r="U7" s="770">
        <f t="shared" ref="U7:U15" si="1">H7</f>
        <v>94</v>
      </c>
      <c r="V7" s="769" t="s">
        <v>17</v>
      </c>
      <c r="W7" s="770">
        <f t="shared" ref="W7:W15" si="2">J7</f>
        <v>94</v>
      </c>
      <c r="X7" s="771"/>
      <c r="Y7" s="3252" t="s">
        <v>2544</v>
      </c>
      <c r="Z7" s="3254"/>
      <c r="AA7" s="772">
        <f>D7/F7</f>
        <v>1.0204081632653061</v>
      </c>
      <c r="AB7" s="772">
        <f>D7/H7</f>
        <v>1.0638297872340425</v>
      </c>
      <c r="AC7" s="772">
        <f>D7/J7</f>
        <v>1.0638297872340425</v>
      </c>
    </row>
    <row r="8" spans="1:30" s="116" customFormat="1" ht="15.75" thickBot="1">
      <c r="A8" s="407" t="s">
        <v>2545</v>
      </c>
      <c r="B8" s="408"/>
      <c r="C8" s="413" t="s">
        <v>2546</v>
      </c>
      <c r="D8" s="410">
        <v>100</v>
      </c>
      <c r="E8" s="413" t="s">
        <v>2546</v>
      </c>
      <c r="F8" s="412">
        <f>SUMIF(73:73,E8,74:74)-SUMIF(73:73,C8,74:74)+100</f>
        <v>100</v>
      </c>
      <c r="G8" s="413" t="s">
        <v>2546</v>
      </c>
      <c r="H8" s="410">
        <f>SUMIF(73:73,G8,74:74)-SUMIF(73:73,C8,74:74)+100</f>
        <v>100</v>
      </c>
      <c r="I8" s="413" t="s">
        <v>2546</v>
      </c>
      <c r="J8" s="410">
        <f>SUMIF(73:73,I8,74:74)-SUMIF(73:73,C8,74:74)+100</f>
        <v>100</v>
      </c>
      <c r="K8" s="610"/>
      <c r="L8" s="1128"/>
      <c r="M8" s="1129"/>
      <c r="N8" s="1129"/>
      <c r="O8" s="1129"/>
      <c r="P8" s="3252" t="s">
        <v>2547</v>
      </c>
      <c r="Q8" s="3254"/>
      <c r="R8" s="769" t="s">
        <v>17</v>
      </c>
      <c r="S8" s="770">
        <f t="shared" si="0"/>
        <v>100</v>
      </c>
      <c r="T8" s="769" t="s">
        <v>17</v>
      </c>
      <c r="U8" s="770">
        <f t="shared" si="1"/>
        <v>100</v>
      </c>
      <c r="V8" s="769" t="s">
        <v>17</v>
      </c>
      <c r="W8" s="770">
        <f t="shared" si="2"/>
        <v>100</v>
      </c>
      <c r="X8" s="771"/>
      <c r="Y8" s="3252" t="s">
        <v>2547</v>
      </c>
      <c r="Z8" s="3254"/>
      <c r="AA8" s="772">
        <f t="shared" ref="AA8:AA45" si="3">D8/F8</f>
        <v>1</v>
      </c>
      <c r="AB8" s="772">
        <f t="shared" ref="AB8:AB45" si="4">D8/H8</f>
        <v>1</v>
      </c>
      <c r="AC8" s="772">
        <f t="shared" ref="AC8:AC45" si="5">D8/J8</f>
        <v>1</v>
      </c>
    </row>
    <row r="9" spans="1:30" s="116" customFormat="1">
      <c r="A9" s="414" t="s">
        <v>2548</v>
      </c>
      <c r="B9" s="71" t="s">
        <v>2549</v>
      </c>
      <c r="C9" s="2691" t="s">
        <v>3201</v>
      </c>
      <c r="D9" s="134">
        <v>100</v>
      </c>
      <c r="E9" s="2691" t="s">
        <v>3112</v>
      </c>
      <c r="F9" s="134">
        <f>SUMIF(75:75,E9,76:76)-SUMIF(75:75,C9,76:76)+100</f>
        <v>110</v>
      </c>
      <c r="G9" s="2691" t="s">
        <v>3112</v>
      </c>
      <c r="H9" s="134">
        <f>SUMIF(75:75,G9,76:76)-SUMIF(75:75,C9,76:76)+100</f>
        <v>110</v>
      </c>
      <c r="I9" s="2691" t="s">
        <v>3112</v>
      </c>
      <c r="J9" s="134">
        <f>SUMIF(75:75,I9,76:76)-SUMIF(75:75,C9,76:76)+100</f>
        <v>110</v>
      </c>
      <c r="K9" s="610"/>
      <c r="L9" s="1128"/>
      <c r="M9" s="1129"/>
      <c r="N9" s="1129"/>
      <c r="O9" s="1130"/>
      <c r="P9" s="3265" t="s">
        <v>2550</v>
      </c>
      <c r="Q9" s="1789" t="str">
        <f t="shared" ref="Q9:Q15" si="6">B9</f>
        <v>用途</v>
      </c>
      <c r="R9" s="769" t="s">
        <v>17</v>
      </c>
      <c r="S9" s="770">
        <f t="shared" si="0"/>
        <v>110</v>
      </c>
      <c r="T9" s="769" t="s">
        <v>17</v>
      </c>
      <c r="U9" s="770">
        <f t="shared" si="1"/>
        <v>110</v>
      </c>
      <c r="V9" s="769" t="s">
        <v>17</v>
      </c>
      <c r="W9" s="770">
        <f t="shared" si="2"/>
        <v>110</v>
      </c>
      <c r="X9" s="771"/>
      <c r="Y9" s="3039" t="s">
        <v>2551</v>
      </c>
      <c r="Z9" s="55" t="str">
        <f t="shared" ref="Z9:Z15" si="7">Q9</f>
        <v>用途</v>
      </c>
      <c r="AA9" s="772">
        <f t="shared" si="3"/>
        <v>0.90909090909090906</v>
      </c>
      <c r="AB9" s="772">
        <f t="shared" si="4"/>
        <v>0.90909090909090906</v>
      </c>
      <c r="AC9" s="772">
        <f t="shared" si="5"/>
        <v>0.90909090909090906</v>
      </c>
    </row>
    <row r="10" spans="1:30" s="426" customFormat="1" ht="27">
      <c r="A10" s="420"/>
      <c r="B10" s="421" t="s">
        <v>2552</v>
      </c>
      <c r="C10" s="431"/>
      <c r="D10" s="135">
        <v>100</v>
      </c>
      <c r="E10" s="464"/>
      <c r="F10" s="135">
        <f>ROUND(100/'数据-取费表'!G16,0)</f>
        <v>102</v>
      </c>
      <c r="G10" s="462"/>
      <c r="H10" s="135">
        <f>ROUND(100/'数据-取费表'!G16,0)</f>
        <v>102</v>
      </c>
      <c r="I10" s="462"/>
      <c r="J10" s="135">
        <f>ROUND(100/'数据-取费表'!G16,0)</f>
        <v>102</v>
      </c>
      <c r="K10" s="671"/>
      <c r="L10" s="1131"/>
      <c r="M10" s="1132"/>
      <c r="N10" s="1132"/>
      <c r="O10" s="1133"/>
      <c r="P10" s="3265"/>
      <c r="Q10" s="1789" t="str">
        <f t="shared" si="6"/>
        <v>土地使用年限（年）</v>
      </c>
      <c r="R10" s="769" t="s">
        <v>17</v>
      </c>
      <c r="S10" s="770">
        <f t="shared" si="0"/>
        <v>102</v>
      </c>
      <c r="T10" s="769" t="s">
        <v>17</v>
      </c>
      <c r="U10" s="770">
        <f t="shared" si="1"/>
        <v>102</v>
      </c>
      <c r="V10" s="769" t="s">
        <v>17</v>
      </c>
      <c r="W10" s="770">
        <f t="shared" si="2"/>
        <v>102</v>
      </c>
      <c r="X10" s="771"/>
      <c r="Y10" s="3039"/>
      <c r="Z10" s="55" t="str">
        <f t="shared" si="7"/>
        <v>土地使用年限（年）</v>
      </c>
      <c r="AA10" s="772">
        <f t="shared" si="3"/>
        <v>0.98039215686274506</v>
      </c>
      <c r="AB10" s="772">
        <f t="shared" si="4"/>
        <v>0.98039215686274506</v>
      </c>
      <c r="AC10" s="772">
        <f t="shared" si="5"/>
        <v>0.98039215686274506</v>
      </c>
    </row>
    <row r="11" spans="1:30" ht="15">
      <c r="A11" s="427"/>
      <c r="B11" s="421" t="s">
        <v>2553</v>
      </c>
      <c r="C11" s="2952">
        <v>2.5</v>
      </c>
      <c r="D11" s="135">
        <v>100</v>
      </c>
      <c r="E11" s="428">
        <f>土地案例!L11</f>
        <v>2.5</v>
      </c>
      <c r="F11" s="135">
        <f>LOOKUP(E11,80:80,81:81)-LOOKUP(C11,80:80,81:81)+100</f>
        <v>100</v>
      </c>
      <c r="G11" s="429">
        <f>土地案例!L20</f>
        <v>2.4</v>
      </c>
      <c r="H11" s="135">
        <f>LOOKUP(G11,80:80,81:81)-LOOKUP(C11,80:80,81:81)+100</f>
        <v>100</v>
      </c>
      <c r="I11" s="428">
        <f>土地案例!L25</f>
        <v>2.2000000000000002</v>
      </c>
      <c r="J11" s="135">
        <f>LOOKUP(I11,80:80,81:81)-LOOKUP(C11,80:80,81:81)+100</f>
        <v>100</v>
      </c>
      <c r="K11" s="672">
        <v>2</v>
      </c>
      <c r="L11" s="1134"/>
      <c r="M11" s="1127"/>
      <c r="N11" s="1127"/>
      <c r="O11" s="1135"/>
      <c r="P11" s="3265"/>
      <c r="Q11" s="1789" t="str">
        <f t="shared" si="6"/>
        <v>容积率</v>
      </c>
      <c r="R11" s="769" t="s">
        <v>17</v>
      </c>
      <c r="S11" s="770">
        <f t="shared" si="0"/>
        <v>100</v>
      </c>
      <c r="T11" s="769" t="s">
        <v>17</v>
      </c>
      <c r="U11" s="770">
        <f t="shared" si="1"/>
        <v>100</v>
      </c>
      <c r="V11" s="769" t="s">
        <v>17</v>
      </c>
      <c r="W11" s="770">
        <f t="shared" si="2"/>
        <v>100</v>
      </c>
      <c r="X11" s="771"/>
      <c r="Y11" s="3039"/>
      <c r="Z11" s="55" t="str">
        <f t="shared" si="7"/>
        <v>容积率</v>
      </c>
      <c r="AA11" s="772">
        <f t="shared" si="3"/>
        <v>1</v>
      </c>
      <c r="AB11" s="772">
        <f t="shared" si="4"/>
        <v>1</v>
      </c>
      <c r="AC11" s="772">
        <f t="shared" si="5"/>
        <v>1</v>
      </c>
    </row>
    <row r="12" spans="1:30" s="116" customFormat="1" ht="15">
      <c r="A12" s="430"/>
      <c r="B12" s="2593" t="s">
        <v>2742</v>
      </c>
      <c r="C12" s="2942" t="s">
        <v>3120</v>
      </c>
      <c r="D12" s="432">
        <v>100</v>
      </c>
      <c r="E12" s="2943" t="s">
        <v>3121</v>
      </c>
      <c r="F12" s="135">
        <f>SUMIF(82:82,E12,83:83)-SUMIF(82:82,C12,83:83)+100</f>
        <v>110</v>
      </c>
      <c r="G12" s="2943" t="s">
        <v>3121</v>
      </c>
      <c r="H12" s="135">
        <f>SUMIF(82:82,G12,83:83)-SUMIF(82:82,C12,83:83)+100</f>
        <v>110</v>
      </c>
      <c r="I12" s="2943" t="s">
        <v>3121</v>
      </c>
      <c r="J12" s="135">
        <f>SUMIF(82:82,I12,83:83)-SUMIF(82:82,C12,83:83)+100</f>
        <v>110</v>
      </c>
      <c r="K12" s="671"/>
      <c r="L12" s="1128"/>
      <c r="M12" s="1129"/>
      <c r="N12" s="1129"/>
      <c r="O12" s="1130"/>
      <c r="P12" s="3265"/>
      <c r="Q12" s="1789" t="str">
        <f t="shared" si="6"/>
        <v>配建</v>
      </c>
      <c r="R12" s="769" t="s">
        <v>17</v>
      </c>
      <c r="S12" s="770">
        <f t="shared" si="0"/>
        <v>110</v>
      </c>
      <c r="T12" s="769" t="s">
        <v>17</v>
      </c>
      <c r="U12" s="770">
        <f t="shared" si="1"/>
        <v>110</v>
      </c>
      <c r="V12" s="769" t="s">
        <v>17</v>
      </c>
      <c r="W12" s="770">
        <f t="shared" si="2"/>
        <v>110</v>
      </c>
      <c r="X12" s="771"/>
      <c r="Y12" s="3039"/>
      <c r="Z12" s="55" t="str">
        <f t="shared" si="7"/>
        <v>配建</v>
      </c>
      <c r="AA12" s="772">
        <f>D12/F12</f>
        <v>0.90909090909090906</v>
      </c>
      <c r="AB12" s="772">
        <f>D12/H12</f>
        <v>0.90909090909090906</v>
      </c>
      <c r="AC12" s="772">
        <f>D12/J12</f>
        <v>0.90909090909090906</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65"/>
      <c r="Q13" s="1789">
        <f t="shared" si="6"/>
        <v>111</v>
      </c>
      <c r="R13" s="769" t="s">
        <v>17</v>
      </c>
      <c r="S13" s="770">
        <f t="shared" si="0"/>
        <v>100</v>
      </c>
      <c r="T13" s="769" t="s">
        <v>17</v>
      </c>
      <c r="U13" s="770">
        <f t="shared" si="1"/>
        <v>100</v>
      </c>
      <c r="V13" s="769" t="s">
        <v>17</v>
      </c>
      <c r="W13" s="770">
        <f t="shared" si="2"/>
        <v>100</v>
      </c>
      <c r="X13" s="771"/>
      <c r="Y13" s="3039"/>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65"/>
      <c r="Q14" s="1789">
        <f t="shared" si="6"/>
        <v>111</v>
      </c>
      <c r="R14" s="769" t="s">
        <v>17</v>
      </c>
      <c r="S14" s="770">
        <f t="shared" si="0"/>
        <v>100</v>
      </c>
      <c r="T14" s="769" t="s">
        <v>17</v>
      </c>
      <c r="U14" s="770">
        <f t="shared" si="1"/>
        <v>100</v>
      </c>
      <c r="V14" s="769" t="s">
        <v>17</v>
      </c>
      <c r="W14" s="770">
        <f t="shared" si="2"/>
        <v>100</v>
      </c>
      <c r="X14" s="771"/>
      <c r="Y14" s="3039"/>
      <c r="Z14" s="55">
        <f t="shared" si="7"/>
        <v>111</v>
      </c>
      <c r="AA14" s="772">
        <f>D14/F14</f>
        <v>1</v>
      </c>
      <c r="AB14" s="772">
        <f>D14/H14</f>
        <v>1</v>
      </c>
      <c r="AC14" s="772">
        <f>D14/J14</f>
        <v>1</v>
      </c>
    </row>
    <row r="15" spans="1:30" ht="85.5">
      <c r="A15" s="439" t="s">
        <v>2554</v>
      </c>
      <c r="B15" s="69" t="s">
        <v>2084</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6"/>
      <c r="M15" s="1127"/>
      <c r="N15" s="1127"/>
      <c r="O15" s="1135"/>
      <c r="P15" s="3258" t="s">
        <v>2555</v>
      </c>
      <c r="Q15" s="1804" t="str">
        <f t="shared" si="6"/>
        <v>居住社区成熟度</v>
      </c>
      <c r="R15" s="773" t="s">
        <v>17</v>
      </c>
      <c r="S15" s="774">
        <f t="shared" si="0"/>
        <v>100</v>
      </c>
      <c r="T15" s="773" t="s">
        <v>17</v>
      </c>
      <c r="U15" s="774">
        <f t="shared" si="1"/>
        <v>100</v>
      </c>
      <c r="V15" s="773" t="s">
        <v>17</v>
      </c>
      <c r="W15" s="774">
        <f t="shared" si="2"/>
        <v>100</v>
      </c>
      <c r="X15" s="1807"/>
      <c r="Y15" s="3258" t="s">
        <v>2555</v>
      </c>
      <c r="Z15" s="1808" t="str">
        <f t="shared" si="7"/>
        <v>居住社区成熟度</v>
      </c>
      <c r="AA15" s="1805">
        <f t="shared" si="3"/>
        <v>1</v>
      </c>
      <c r="AB15" s="1805">
        <f t="shared" si="4"/>
        <v>1</v>
      </c>
      <c r="AC15" s="1805">
        <f t="shared" si="5"/>
        <v>1</v>
      </c>
    </row>
    <row r="16" spans="1:30" ht="15">
      <c r="A16" s="427"/>
      <c r="B16" s="445"/>
      <c r="C16" s="446" t="s">
        <v>3048</v>
      </c>
      <c r="D16" s="447"/>
      <c r="E16" s="2598" t="s">
        <v>3048</v>
      </c>
      <c r="F16" s="447"/>
      <c r="G16" s="2598" t="s">
        <v>3048</v>
      </c>
      <c r="H16" s="449"/>
      <c r="I16" s="2597" t="s">
        <v>3048</v>
      </c>
      <c r="J16" s="447"/>
      <c r="K16" s="671"/>
      <c r="L16" s="1136"/>
      <c r="M16" s="1127"/>
      <c r="N16" s="1127"/>
      <c r="O16" s="1135"/>
      <c r="P16" s="3259"/>
      <c r="Q16" s="1804"/>
      <c r="R16" s="773"/>
      <c r="S16" s="774"/>
      <c r="T16" s="773"/>
      <c r="U16" s="774"/>
      <c r="V16" s="773"/>
      <c r="W16" s="774"/>
      <c r="X16" s="1807"/>
      <c r="Y16" s="3259"/>
      <c r="Z16" s="1808"/>
      <c r="AA16" s="1805">
        <v>1</v>
      </c>
      <c r="AB16" s="1805">
        <v>1</v>
      </c>
      <c r="AC16" s="1805">
        <v>1</v>
      </c>
    </row>
    <row r="17" spans="1:29" ht="57">
      <c r="A17" s="427"/>
      <c r="B17" s="450" t="s">
        <v>2648</v>
      </c>
      <c r="C17" s="2656"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36"/>
      <c r="M17" s="1127"/>
      <c r="N17" s="1127"/>
      <c r="O17" s="1135"/>
      <c r="P17" s="3259"/>
      <c r="Q17" s="1804" t="str">
        <f>B17</f>
        <v>商业繁华度</v>
      </c>
      <c r="R17" s="773" t="s">
        <v>17</v>
      </c>
      <c r="S17" s="774">
        <f>F17</f>
        <v>102</v>
      </c>
      <c r="T17" s="773" t="s">
        <v>17</v>
      </c>
      <c r="U17" s="774">
        <f>H17</f>
        <v>102</v>
      </c>
      <c r="V17" s="773" t="s">
        <v>17</v>
      </c>
      <c r="W17" s="774">
        <f>J17</f>
        <v>102</v>
      </c>
      <c r="X17" s="1807"/>
      <c r="Y17" s="3259"/>
      <c r="Z17" s="1808" t="str">
        <f>Q17</f>
        <v>商业繁华度</v>
      </c>
      <c r="AA17" s="1805">
        <f t="shared" si="3"/>
        <v>0.98039215686274506</v>
      </c>
      <c r="AB17" s="1805">
        <f t="shared" si="4"/>
        <v>0.98039215686274506</v>
      </c>
      <c r="AC17" s="1805">
        <f t="shared" si="5"/>
        <v>0.98039215686274506</v>
      </c>
    </row>
    <row r="18" spans="1:29" ht="15">
      <c r="A18" s="427"/>
      <c r="B18" s="455"/>
      <c r="C18" s="2601" t="s">
        <v>3114</v>
      </c>
      <c r="D18" s="449"/>
      <c r="E18" s="2603" t="s">
        <v>3115</v>
      </c>
      <c r="F18" s="449"/>
      <c r="G18" s="2603" t="s">
        <v>3115</v>
      </c>
      <c r="H18" s="447"/>
      <c r="I18" s="2603" t="s">
        <v>3115</v>
      </c>
      <c r="J18" s="447"/>
      <c r="K18" s="671"/>
      <c r="L18" s="1136"/>
      <c r="M18" s="1127"/>
      <c r="N18" s="1127"/>
      <c r="O18" s="1135"/>
      <c r="P18" s="3259"/>
      <c r="Q18" s="1804"/>
      <c r="R18" s="773"/>
      <c r="S18" s="774"/>
      <c r="T18" s="773"/>
      <c r="U18" s="774"/>
      <c r="V18" s="773"/>
      <c r="W18" s="774"/>
      <c r="X18" s="1807"/>
      <c r="Y18" s="3259"/>
      <c r="Z18" s="1808"/>
      <c r="AA18" s="1805">
        <v>1</v>
      </c>
      <c r="AB18" s="1805">
        <v>1</v>
      </c>
      <c r="AC18" s="1805">
        <v>1</v>
      </c>
    </row>
    <row r="19" spans="1:29" ht="71.25">
      <c r="A19" s="427"/>
      <c r="B19" s="450" t="s">
        <v>2682</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36"/>
      <c r="M19" s="1127"/>
      <c r="N19" s="1127"/>
      <c r="O19" s="1135"/>
      <c r="P19" s="3259"/>
      <c r="Q19" s="1804" t="str">
        <f>B19</f>
        <v>办公集聚程度</v>
      </c>
      <c r="R19" s="773" t="s">
        <v>17</v>
      </c>
      <c r="S19" s="774">
        <f>F19</f>
        <v>100</v>
      </c>
      <c r="T19" s="773" t="s">
        <v>17</v>
      </c>
      <c r="U19" s="774">
        <f>H19</f>
        <v>100</v>
      </c>
      <c r="V19" s="773" t="s">
        <v>17</v>
      </c>
      <c r="W19" s="774">
        <f>J19</f>
        <v>100</v>
      </c>
      <c r="X19" s="1807"/>
      <c r="Y19" s="3259"/>
      <c r="Z19" s="1808" t="str">
        <f>Q19</f>
        <v>办公集聚程度</v>
      </c>
      <c r="AA19" s="1805">
        <f t="shared" si="3"/>
        <v>1</v>
      </c>
      <c r="AB19" s="1805">
        <f t="shared" si="4"/>
        <v>1</v>
      </c>
      <c r="AC19" s="1805">
        <f t="shared" si="5"/>
        <v>1</v>
      </c>
    </row>
    <row r="20" spans="1:29" ht="15">
      <c r="A20" s="427"/>
      <c r="B20" s="455"/>
      <c r="C20" s="446" t="s">
        <v>3115</v>
      </c>
      <c r="D20" s="447"/>
      <c r="E20" s="2598" t="s">
        <v>3115</v>
      </c>
      <c r="F20" s="447"/>
      <c r="G20" s="2598" t="s">
        <v>3115</v>
      </c>
      <c r="H20" s="447"/>
      <c r="I20" s="2597" t="s">
        <v>3115</v>
      </c>
      <c r="J20" s="447"/>
      <c r="K20" s="671"/>
      <c r="L20" s="1136"/>
      <c r="M20" s="1127"/>
      <c r="N20" s="1127"/>
      <c r="O20" s="1135"/>
      <c r="P20" s="3259"/>
      <c r="Q20" s="1804"/>
      <c r="R20" s="773"/>
      <c r="S20" s="774"/>
      <c r="T20" s="773"/>
      <c r="U20" s="774"/>
      <c r="V20" s="773"/>
      <c r="W20" s="774"/>
      <c r="X20" s="1807"/>
      <c r="Y20" s="3259"/>
      <c r="Z20" s="1808"/>
      <c r="AA20" s="1805">
        <v>1</v>
      </c>
      <c r="AB20" s="1805">
        <v>1</v>
      </c>
      <c r="AC20" s="1805">
        <v>1</v>
      </c>
    </row>
    <row r="21" spans="1:29" ht="71.25">
      <c r="A21" s="427"/>
      <c r="B21" s="450" t="s">
        <v>2704</v>
      </c>
      <c r="C21" s="2600" t="str">
        <f>估价对象房地状况!C18</f>
        <v>估价对象周边道路状况、公共交通通达情况、停车便捷程度，综合评价交通便捷度较好</v>
      </c>
      <c r="D21" s="449">
        <v>100</v>
      </c>
      <c r="E21" s="451"/>
      <c r="F21" s="454">
        <f>SUMIF(94:94,E22,95:95)-SUMIF(94:94,C22,95:95)+100</f>
        <v>97</v>
      </c>
      <c r="G21" s="451"/>
      <c r="H21" s="449">
        <f>SUMIF(94:94,G22,95:95)-SUMIF(94:94,C22,95:95)+100</f>
        <v>97</v>
      </c>
      <c r="I21" s="453"/>
      <c r="J21" s="449">
        <f>SUMIF(94:94,I22,95:95)-SUMIF(94:94,C22,95:95)+100</f>
        <v>97</v>
      </c>
      <c r="K21" s="672">
        <v>3</v>
      </c>
      <c r="L21" s="1136"/>
      <c r="M21" s="1127"/>
      <c r="N21" s="1127"/>
      <c r="O21" s="1135"/>
      <c r="P21" s="3259"/>
      <c r="Q21" s="1804" t="str">
        <f>B21</f>
        <v>交通便捷度</v>
      </c>
      <c r="R21" s="773" t="s">
        <v>17</v>
      </c>
      <c r="S21" s="774">
        <f>F21</f>
        <v>97</v>
      </c>
      <c r="T21" s="773" t="s">
        <v>17</v>
      </c>
      <c r="U21" s="774">
        <f>H21</f>
        <v>97</v>
      </c>
      <c r="V21" s="773" t="s">
        <v>17</v>
      </c>
      <c r="W21" s="774">
        <f>J21</f>
        <v>97</v>
      </c>
      <c r="X21" s="1807"/>
      <c r="Y21" s="3259"/>
      <c r="Z21" s="1808" t="str">
        <f>Q21</f>
        <v>交通便捷度</v>
      </c>
      <c r="AA21" s="1805">
        <f t="shared" si="3"/>
        <v>1.0309278350515463</v>
      </c>
      <c r="AB21" s="1805">
        <f t="shared" si="4"/>
        <v>1.0309278350515463</v>
      </c>
      <c r="AC21" s="1805">
        <f t="shared" si="5"/>
        <v>1.0309278350515463</v>
      </c>
    </row>
    <row r="22" spans="1:29" ht="15">
      <c r="A22" s="427"/>
      <c r="B22" s="1380"/>
      <c r="C22" s="446" t="s">
        <v>3048</v>
      </c>
      <c r="D22" s="449"/>
      <c r="E22" s="2598" t="s">
        <v>3115</v>
      </c>
      <c r="F22" s="447"/>
      <c r="G22" s="2598" t="s">
        <v>3115</v>
      </c>
      <c r="H22" s="447"/>
      <c r="I22" s="2598" t="s">
        <v>3115</v>
      </c>
      <c r="J22" s="447"/>
      <c r="K22" s="671"/>
      <c r="L22" s="1136"/>
      <c r="M22" s="1127"/>
      <c r="N22" s="1127"/>
      <c r="O22" s="1135"/>
      <c r="P22" s="3259"/>
      <c r="Q22" s="1804"/>
      <c r="R22" s="773"/>
      <c r="S22" s="774"/>
      <c r="T22" s="773"/>
      <c r="U22" s="774"/>
      <c r="V22" s="773"/>
      <c r="W22" s="774"/>
      <c r="X22" s="1807"/>
      <c r="Y22" s="3259"/>
      <c r="Z22" s="1808"/>
      <c r="AA22" s="1805">
        <v>1</v>
      </c>
      <c r="AB22" s="1805">
        <v>1</v>
      </c>
      <c r="AC22" s="1805">
        <v>1</v>
      </c>
    </row>
    <row r="23" spans="1:29" ht="15">
      <c r="A23" s="403"/>
      <c r="B23" s="450" t="s">
        <v>2743</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59"/>
      <c r="Q23" s="1804" t="str">
        <f t="shared" ref="Q23:Q37" si="8">B23</f>
        <v>区域土地利用方向</v>
      </c>
      <c r="R23" s="773" t="s">
        <v>17</v>
      </c>
      <c r="S23" s="774">
        <f>F23</f>
        <v>100</v>
      </c>
      <c r="T23" s="773" t="s">
        <v>17</v>
      </c>
      <c r="U23" s="774">
        <f>H23</f>
        <v>100</v>
      </c>
      <c r="V23" s="773" t="s">
        <v>17</v>
      </c>
      <c r="W23" s="774">
        <f>J23</f>
        <v>100</v>
      </c>
      <c r="X23" s="1807"/>
      <c r="Y23" s="3259"/>
      <c r="Z23" s="1808" t="str">
        <f>Q23</f>
        <v>区域土地利用方向</v>
      </c>
      <c r="AA23" s="1805">
        <f t="shared" si="3"/>
        <v>1</v>
      </c>
      <c r="AB23" s="1805">
        <f t="shared" si="4"/>
        <v>1</v>
      </c>
      <c r="AC23" s="1805">
        <f t="shared" si="5"/>
        <v>1</v>
      </c>
    </row>
    <row r="24" spans="1:29" ht="15">
      <c r="A24" s="403"/>
      <c r="B24" s="455"/>
      <c r="C24" s="615" t="s">
        <v>3048</v>
      </c>
      <c r="D24" s="447"/>
      <c r="E24" s="2598" t="s">
        <v>3048</v>
      </c>
      <c r="F24" s="447"/>
      <c r="G24" s="2597" t="s">
        <v>3048</v>
      </c>
      <c r="H24" s="447"/>
      <c r="I24" s="2597" t="s">
        <v>3048</v>
      </c>
      <c r="J24" s="447"/>
      <c r="K24" s="805"/>
      <c r="L24" s="1136"/>
      <c r="M24" s="1127"/>
      <c r="N24" s="1127"/>
      <c r="O24" s="1135"/>
      <c r="P24" s="3259"/>
      <c r="Q24" s="1804"/>
      <c r="R24" s="773"/>
      <c r="S24" s="774"/>
      <c r="T24" s="773"/>
      <c r="U24" s="774"/>
      <c r="V24" s="773"/>
      <c r="W24" s="774"/>
      <c r="X24" s="1807"/>
      <c r="Y24" s="3259"/>
      <c r="Z24" s="1808"/>
      <c r="AA24" s="1805"/>
      <c r="AB24" s="1805"/>
      <c r="AC24" s="1805"/>
    </row>
    <row r="25" spans="1:29" ht="42.75">
      <c r="A25" s="403"/>
      <c r="B25" s="1380" t="s">
        <v>2744</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36"/>
      <c r="M25" s="1127"/>
      <c r="N25" s="1127"/>
      <c r="O25" s="1135"/>
      <c r="P25" s="3259"/>
      <c r="Q25" s="1804" t="str">
        <f t="shared" si="8"/>
        <v>自然及人文环境状况</v>
      </c>
      <c r="R25" s="773" t="s">
        <v>17</v>
      </c>
      <c r="S25" s="774">
        <f>F25</f>
        <v>100</v>
      </c>
      <c r="T25" s="773" t="s">
        <v>17</v>
      </c>
      <c r="U25" s="774">
        <f>H25</f>
        <v>100</v>
      </c>
      <c r="V25" s="773" t="s">
        <v>17</v>
      </c>
      <c r="W25" s="774">
        <f>J25</f>
        <v>100</v>
      </c>
      <c r="X25" s="1807"/>
      <c r="Y25" s="3259"/>
      <c r="Z25" s="1808" t="str">
        <f>Q25</f>
        <v>自然及人文环境状况</v>
      </c>
      <c r="AA25" s="1805">
        <f t="shared" si="3"/>
        <v>1</v>
      </c>
      <c r="AB25" s="1805">
        <f t="shared" si="4"/>
        <v>1</v>
      </c>
      <c r="AC25" s="1805">
        <f t="shared" si="5"/>
        <v>1</v>
      </c>
    </row>
    <row r="26" spans="1:29" ht="15">
      <c r="A26" s="403"/>
      <c r="B26" s="455"/>
      <c r="C26" s="446" t="s">
        <v>3115</v>
      </c>
      <c r="D26" s="447"/>
      <c r="E26" s="2604" t="s">
        <v>3115</v>
      </c>
      <c r="F26" s="447"/>
      <c r="G26" s="2604" t="s">
        <v>3115</v>
      </c>
      <c r="H26" s="447"/>
      <c r="I26" s="2604" t="s">
        <v>3115</v>
      </c>
      <c r="J26" s="447"/>
      <c r="K26" s="671"/>
      <c r="L26" s="1136"/>
      <c r="M26" s="1127"/>
      <c r="N26" s="1127"/>
      <c r="O26" s="1135"/>
      <c r="P26" s="3259"/>
      <c r="Q26" s="1804"/>
      <c r="R26" s="773"/>
      <c r="S26" s="774"/>
      <c r="T26" s="773"/>
      <c r="U26" s="774"/>
      <c r="V26" s="773"/>
      <c r="W26" s="774"/>
      <c r="X26" s="1807"/>
      <c r="Y26" s="3259"/>
      <c r="Z26" s="1808"/>
      <c r="AA26" s="1805">
        <v>1</v>
      </c>
      <c r="AB26" s="1805">
        <v>1</v>
      </c>
      <c r="AC26" s="1805">
        <v>1</v>
      </c>
    </row>
    <row r="27" spans="1:29" s="116" customFormat="1" ht="42.75">
      <c r="A27" s="648"/>
      <c r="B27" s="1380" t="s">
        <v>2649</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59"/>
      <c r="Q27" s="1789" t="str">
        <f t="shared" si="8"/>
        <v>公共配套设施</v>
      </c>
      <c r="R27" s="769" t="s">
        <v>17</v>
      </c>
      <c r="S27" s="770">
        <f>F27</f>
        <v>100</v>
      </c>
      <c r="T27" s="769" t="s">
        <v>17</v>
      </c>
      <c r="U27" s="770">
        <f>H27</f>
        <v>100</v>
      </c>
      <c r="V27" s="769" t="s">
        <v>17</v>
      </c>
      <c r="W27" s="770">
        <f>J27</f>
        <v>100</v>
      </c>
      <c r="X27" s="771"/>
      <c r="Y27" s="3259"/>
      <c r="Z27" s="55" t="str">
        <f>Q27</f>
        <v>公共配套设施</v>
      </c>
      <c r="AA27" s="1805">
        <f>D27/F27</f>
        <v>1</v>
      </c>
      <c r="AB27" s="1805">
        <f>D27/H27</f>
        <v>1</v>
      </c>
      <c r="AC27" s="1805">
        <f>D27/J27</f>
        <v>1</v>
      </c>
    </row>
    <row r="28" spans="1:29" s="116" customFormat="1" ht="15">
      <c r="A28" s="648"/>
      <c r="B28" s="455"/>
      <c r="C28" s="2692" t="s">
        <v>3048</v>
      </c>
      <c r="D28" s="447"/>
      <c r="E28" s="2692" t="s">
        <v>3048</v>
      </c>
      <c r="F28" s="447"/>
      <c r="G28" s="2692" t="s">
        <v>3048</v>
      </c>
      <c r="H28" s="447"/>
      <c r="I28" s="2692" t="s">
        <v>3048</v>
      </c>
      <c r="J28" s="447"/>
      <c r="K28" s="671"/>
      <c r="L28" s="1128"/>
      <c r="M28" s="1129"/>
      <c r="N28" s="1129"/>
      <c r="O28" s="1130"/>
      <c r="P28" s="3259"/>
      <c r="Q28" s="1789"/>
      <c r="R28" s="769"/>
      <c r="S28" s="770"/>
      <c r="T28" s="769"/>
      <c r="U28" s="770"/>
      <c r="V28" s="769"/>
      <c r="W28" s="770"/>
      <c r="X28" s="771"/>
      <c r="Y28" s="3259"/>
      <c r="Z28" s="55"/>
      <c r="AA28" s="1805">
        <v>1</v>
      </c>
      <c r="AB28" s="1805">
        <v>1</v>
      </c>
      <c r="AC28" s="1805">
        <v>1</v>
      </c>
    </row>
    <row r="29" spans="1:29" s="116" customFormat="1" ht="28.5">
      <c r="A29" s="648"/>
      <c r="B29" s="1380" t="s">
        <v>2650</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59"/>
      <c r="Q29" s="1789" t="str">
        <f t="shared" ref="Q29" si="9">B29</f>
        <v>基础设施水平</v>
      </c>
      <c r="R29" s="769" t="s">
        <v>17</v>
      </c>
      <c r="S29" s="770">
        <f>F29</f>
        <v>100</v>
      </c>
      <c r="T29" s="769" t="s">
        <v>17</v>
      </c>
      <c r="U29" s="770">
        <f>H29</f>
        <v>100</v>
      </c>
      <c r="V29" s="769" t="s">
        <v>17</v>
      </c>
      <c r="W29" s="770">
        <f>J29</f>
        <v>100</v>
      </c>
      <c r="X29" s="771"/>
      <c r="Y29" s="3259"/>
      <c r="Z29" s="55" t="str">
        <f>Q29</f>
        <v>基础设施水平</v>
      </c>
      <c r="AA29" s="1805">
        <f>D29/F29</f>
        <v>1</v>
      </c>
      <c r="AB29" s="1805">
        <f>D29/H29</f>
        <v>1</v>
      </c>
      <c r="AC29" s="1805">
        <f>D29/J29</f>
        <v>1</v>
      </c>
    </row>
    <row r="30" spans="1:29" s="116" customFormat="1" ht="15">
      <c r="A30" s="648"/>
      <c r="B30" s="455"/>
      <c r="C30" s="2692" t="s">
        <v>3116</v>
      </c>
      <c r="D30" s="447"/>
      <c r="E30" s="2693" t="s">
        <v>3116</v>
      </c>
      <c r="F30" s="447"/>
      <c r="G30" s="2693" t="s">
        <v>3116</v>
      </c>
      <c r="H30" s="447"/>
      <c r="I30" s="2693" t="s">
        <v>3116</v>
      </c>
      <c r="J30" s="447"/>
      <c r="K30" s="671"/>
      <c r="L30" s="1128"/>
      <c r="M30" s="1129"/>
      <c r="N30" s="1129"/>
      <c r="O30" s="1130"/>
      <c r="P30" s="3259"/>
      <c r="Q30" s="1789"/>
      <c r="R30" s="769"/>
      <c r="S30" s="770"/>
      <c r="T30" s="769"/>
      <c r="U30" s="770"/>
      <c r="V30" s="769"/>
      <c r="W30" s="770"/>
      <c r="X30" s="771"/>
      <c r="Y30" s="3259"/>
      <c r="Z30" s="55"/>
      <c r="AA30" s="1805">
        <v>1</v>
      </c>
      <c r="AB30" s="1805">
        <v>1</v>
      </c>
      <c r="AC30" s="1805">
        <v>1</v>
      </c>
    </row>
    <row r="31" spans="1:29" ht="15">
      <c r="A31" s="427"/>
      <c r="B31" s="455" t="s">
        <v>2651</v>
      </c>
      <c r="C31" s="615" t="s">
        <v>3117</v>
      </c>
      <c r="D31" s="434">
        <v>100</v>
      </c>
      <c r="E31" s="615" t="s">
        <v>3117</v>
      </c>
      <c r="F31" s="434">
        <f>SUMIF(104:104,E31,105:105)-SUMIF(104:104,C31,105:105)+100</f>
        <v>100</v>
      </c>
      <c r="G31" s="615" t="s">
        <v>3117</v>
      </c>
      <c r="H31" s="434">
        <f>SUMIF(104:104,G31,105:105)-SUMIF(104:104,C31,105:105)+100</f>
        <v>100</v>
      </c>
      <c r="I31" s="615" t="s">
        <v>3117</v>
      </c>
      <c r="J31" s="434">
        <f>SUMIF(104:104,I31,105:105)-SUMIF(104:104,C31,105:105)+100</f>
        <v>100</v>
      </c>
      <c r="K31" s="672">
        <v>2</v>
      </c>
      <c r="L31" s="1136"/>
      <c r="M31" s="1127"/>
      <c r="N31" s="1127"/>
      <c r="O31" s="1135"/>
      <c r="P31" s="3259"/>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59"/>
      <c r="Z31" s="1808" t="str">
        <f t="shared" ref="Z31:Z45" si="13">Q31</f>
        <v>临街状况</v>
      </c>
      <c r="AA31" s="1805">
        <f t="shared" si="3"/>
        <v>1</v>
      </c>
      <c r="AB31" s="1805">
        <f t="shared" si="4"/>
        <v>1</v>
      </c>
      <c r="AC31" s="1805">
        <f t="shared" si="5"/>
        <v>1</v>
      </c>
    </row>
    <row r="32" spans="1:29" ht="27">
      <c r="A32" s="427"/>
      <c r="B32" s="1380"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6"/>
      <c r="M32" s="1127"/>
      <c r="N32" s="1127"/>
      <c r="O32" s="1135"/>
      <c r="P32" s="3259"/>
      <c r="Q32" s="1804" t="str">
        <f t="shared" si="8"/>
        <v>毗邻道路的类型与等级</v>
      </c>
      <c r="R32" s="773" t="s">
        <v>17</v>
      </c>
      <c r="S32" s="774">
        <f t="shared" si="10"/>
        <v>100</v>
      </c>
      <c r="T32" s="773" t="s">
        <v>17</v>
      </c>
      <c r="U32" s="774">
        <f t="shared" si="11"/>
        <v>100</v>
      </c>
      <c r="V32" s="773" t="s">
        <v>17</v>
      </c>
      <c r="W32" s="774">
        <f t="shared" si="12"/>
        <v>100</v>
      </c>
      <c r="X32" s="1807"/>
      <c r="Y32" s="3259"/>
      <c r="Z32" s="1808" t="str">
        <f t="shared" si="13"/>
        <v>毗邻道路的类型与等级</v>
      </c>
      <c r="AA32" s="1805">
        <f t="shared" si="3"/>
        <v>1</v>
      </c>
      <c r="AB32" s="1805">
        <f t="shared" si="4"/>
        <v>1</v>
      </c>
      <c r="AC32" s="1805">
        <f t="shared" si="5"/>
        <v>1</v>
      </c>
    </row>
    <row r="33" spans="1:29" ht="15">
      <c r="A33" s="427"/>
      <c r="B33" s="455"/>
      <c r="C33" s="446" t="s">
        <v>3127</v>
      </c>
      <c r="D33" s="447"/>
      <c r="E33" s="2604" t="s">
        <v>3127</v>
      </c>
      <c r="F33" s="447"/>
      <c r="G33" s="2604" t="s">
        <v>3127</v>
      </c>
      <c r="H33" s="447"/>
      <c r="I33" s="446" t="s">
        <v>3127</v>
      </c>
      <c r="J33" s="447"/>
      <c r="K33" s="612"/>
      <c r="L33" s="1136"/>
      <c r="M33" s="1127"/>
      <c r="N33" s="1127"/>
      <c r="O33" s="1135"/>
      <c r="P33" s="3259"/>
      <c r="Q33" s="1804"/>
      <c r="R33" s="773"/>
      <c r="S33" s="774"/>
      <c r="T33" s="773"/>
      <c r="U33" s="774"/>
      <c r="V33" s="773"/>
      <c r="W33" s="774"/>
      <c r="X33" s="1807"/>
      <c r="Y33" s="3259"/>
      <c r="Z33" s="1808"/>
      <c r="AA33" s="1805">
        <v>1</v>
      </c>
      <c r="AB33" s="1805">
        <v>1</v>
      </c>
      <c r="AC33" s="1805">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36"/>
      <c r="M34" s="1127"/>
      <c r="N34" s="1127"/>
      <c r="O34" s="1135"/>
      <c r="P34" s="3259"/>
      <c r="Q34" s="1804" t="str">
        <f t="shared" si="8"/>
        <v>土地级别</v>
      </c>
      <c r="R34" s="773" t="s">
        <v>17</v>
      </c>
      <c r="S34" s="774">
        <f t="shared" si="10"/>
        <v>100</v>
      </c>
      <c r="T34" s="773" t="s">
        <v>17</v>
      </c>
      <c r="U34" s="774">
        <f t="shared" si="11"/>
        <v>100</v>
      </c>
      <c r="V34" s="773" t="s">
        <v>17</v>
      </c>
      <c r="W34" s="774">
        <f t="shared" si="12"/>
        <v>100</v>
      </c>
      <c r="X34" s="1807"/>
      <c r="Y34" s="3259"/>
      <c r="Z34" s="1808" t="str">
        <f t="shared" si="13"/>
        <v>土地级别</v>
      </c>
      <c r="AA34" s="1805">
        <f t="shared" si="3"/>
        <v>1</v>
      </c>
      <c r="AB34" s="1805">
        <f t="shared" si="4"/>
        <v>1</v>
      </c>
      <c r="AC34" s="1805">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59"/>
      <c r="Q35" s="1804">
        <f t="shared" si="8"/>
        <v>111</v>
      </c>
      <c r="R35" s="773" t="s">
        <v>17</v>
      </c>
      <c r="S35" s="774">
        <f t="shared" si="10"/>
        <v>100</v>
      </c>
      <c r="T35" s="773" t="s">
        <v>17</v>
      </c>
      <c r="U35" s="774">
        <f t="shared" si="11"/>
        <v>100</v>
      </c>
      <c r="V35" s="773" t="s">
        <v>17</v>
      </c>
      <c r="W35" s="774">
        <f t="shared" si="12"/>
        <v>100</v>
      </c>
      <c r="X35" s="1807"/>
      <c r="Y35" s="3259"/>
      <c r="Z35" s="1808">
        <f t="shared" si="13"/>
        <v>111</v>
      </c>
      <c r="AA35" s="1805">
        <f t="shared" si="3"/>
        <v>1</v>
      </c>
      <c r="AB35" s="1805">
        <f t="shared" si="4"/>
        <v>1</v>
      </c>
      <c r="AC35" s="1805">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288" t="s">
        <v>2560</v>
      </c>
      <c r="Q36" s="1804">
        <f t="shared" si="8"/>
        <v>111</v>
      </c>
      <c r="R36" s="773" t="s">
        <v>17</v>
      </c>
      <c r="S36" s="774">
        <f t="shared" si="10"/>
        <v>100</v>
      </c>
      <c r="T36" s="773" t="s">
        <v>17</v>
      </c>
      <c r="U36" s="774">
        <f t="shared" si="11"/>
        <v>100</v>
      </c>
      <c r="V36" s="773" t="s">
        <v>17</v>
      </c>
      <c r="W36" s="774">
        <f t="shared" si="12"/>
        <v>100</v>
      </c>
      <c r="X36" s="1807"/>
      <c r="Y36" s="3263" t="s">
        <v>2560</v>
      </c>
      <c r="Z36" s="1808">
        <f t="shared" si="13"/>
        <v>111</v>
      </c>
      <c r="AA36" s="1805">
        <f t="shared" si="3"/>
        <v>1</v>
      </c>
      <c r="AB36" s="1805">
        <f t="shared" si="4"/>
        <v>1</v>
      </c>
      <c r="AC36" s="1805">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63"/>
      <c r="Q37" s="1804">
        <f t="shared" si="8"/>
        <v>111</v>
      </c>
      <c r="R37" s="776" t="s">
        <v>17</v>
      </c>
      <c r="S37" s="777">
        <f t="shared" si="10"/>
        <v>100</v>
      </c>
      <c r="T37" s="776" t="s">
        <v>17</v>
      </c>
      <c r="U37" s="777">
        <f t="shared" si="11"/>
        <v>100</v>
      </c>
      <c r="V37" s="776" t="s">
        <v>17</v>
      </c>
      <c r="W37" s="777">
        <f t="shared" si="12"/>
        <v>100</v>
      </c>
      <c r="X37" s="778"/>
      <c r="Y37" s="3263"/>
      <c r="Z37" s="779">
        <f t="shared" si="13"/>
        <v>111</v>
      </c>
      <c r="AA37" s="1805">
        <f t="shared" si="3"/>
        <v>1</v>
      </c>
      <c r="AB37" s="1805">
        <f t="shared" si="4"/>
        <v>1</v>
      </c>
      <c r="AC37" s="1805">
        <f t="shared" si="5"/>
        <v>1</v>
      </c>
    </row>
    <row r="38" spans="1:29" ht="15">
      <c r="A38" s="471" t="s">
        <v>2558</v>
      </c>
      <c r="B38" s="455" t="s">
        <v>2746</v>
      </c>
      <c r="C38" s="678">
        <v>83893</v>
      </c>
      <c r="D38" s="466">
        <v>100</v>
      </c>
      <c r="E38" s="678">
        <f>土地案例!J11</f>
        <v>38121.199999999997</v>
      </c>
      <c r="F38" s="466">
        <f>LOOKUP(E38,117:117,118:118)-LOOKUP(C38,117:117,118:118)+100</f>
        <v>97</v>
      </c>
      <c r="G38" s="678">
        <f>土地案例!J20</f>
        <v>71022.78</v>
      </c>
      <c r="H38" s="466">
        <f>LOOKUP(G38,117:117,118:118)-LOOKUP(C38,117:117,118:118)+100</f>
        <v>99</v>
      </c>
      <c r="I38" s="529">
        <f>土地案例!J25</f>
        <v>30890.99</v>
      </c>
      <c r="J38" s="466">
        <f>LOOKUP(I38,117:117,118:118)-LOOKUP(C38,117:117,118:118)+100</f>
        <v>97</v>
      </c>
      <c r="K38" s="612"/>
      <c r="L38" s="1136"/>
      <c r="M38" s="1127"/>
      <c r="N38" s="1127"/>
      <c r="O38" s="1135"/>
      <c r="P38" s="3263"/>
      <c r="Q38" s="1804" t="str">
        <f>B38</f>
        <v>宗地面积</v>
      </c>
      <c r="R38" s="773" t="s">
        <v>17</v>
      </c>
      <c r="S38" s="774">
        <f t="shared" si="10"/>
        <v>97</v>
      </c>
      <c r="T38" s="773" t="s">
        <v>17</v>
      </c>
      <c r="U38" s="774">
        <f t="shared" si="11"/>
        <v>99</v>
      </c>
      <c r="V38" s="773" t="s">
        <v>17</v>
      </c>
      <c r="W38" s="774">
        <f t="shared" si="12"/>
        <v>97</v>
      </c>
      <c r="X38" s="1807"/>
      <c r="Y38" s="3263"/>
      <c r="Z38" s="1808" t="str">
        <f t="shared" si="13"/>
        <v>宗地面积</v>
      </c>
      <c r="AA38" s="1805">
        <f t="shared" si="3"/>
        <v>1.0309278350515463</v>
      </c>
      <c r="AB38" s="1805">
        <f t="shared" si="4"/>
        <v>1.0101010101010102</v>
      </c>
      <c r="AC38" s="1805">
        <f t="shared" si="5"/>
        <v>1.0309278350515463</v>
      </c>
    </row>
    <row r="39" spans="1:29" ht="15">
      <c r="A39" s="471"/>
      <c r="B39" s="421" t="s">
        <v>2747</v>
      </c>
      <c r="C39" s="2606" t="s">
        <v>3146</v>
      </c>
      <c r="D39" s="434">
        <v>100</v>
      </c>
      <c r="E39" s="2606" t="s">
        <v>3146</v>
      </c>
      <c r="F39" s="434">
        <f>SUMIF(119:119,E39,120:120)-SUMIF(119:119,C39,120:120)+100</f>
        <v>100</v>
      </c>
      <c r="G39" s="2606" t="s">
        <v>3146</v>
      </c>
      <c r="H39" s="434">
        <f>SUMIF(119:119,G39,120:120)-SUMIF(119:119,C39,120:120)+100</f>
        <v>100</v>
      </c>
      <c r="I39" s="2606" t="s">
        <v>3146</v>
      </c>
      <c r="J39" s="434">
        <f>SUMIF(119:119,I39,120:120)-SUMIF(119:119,C39,120:120)+100</f>
        <v>100</v>
      </c>
      <c r="K39" s="611">
        <v>2</v>
      </c>
      <c r="L39" s="1136"/>
      <c r="M39" s="1127"/>
      <c r="N39" s="1127"/>
      <c r="O39" s="1135"/>
      <c r="P39" s="3263"/>
      <c r="Q39" s="1804" t="str">
        <f t="shared" ref="Q39:Q45" si="14">B39</f>
        <v>宗地形状</v>
      </c>
      <c r="R39" s="773" t="s">
        <v>17</v>
      </c>
      <c r="S39" s="774">
        <f t="shared" si="10"/>
        <v>100</v>
      </c>
      <c r="T39" s="773" t="s">
        <v>17</v>
      </c>
      <c r="U39" s="774">
        <f t="shared" si="11"/>
        <v>100</v>
      </c>
      <c r="V39" s="773" t="s">
        <v>17</v>
      </c>
      <c r="W39" s="774">
        <f t="shared" si="12"/>
        <v>100</v>
      </c>
      <c r="X39" s="1807"/>
      <c r="Y39" s="3263"/>
      <c r="Z39" s="1808" t="str">
        <f t="shared" si="13"/>
        <v>宗地形状</v>
      </c>
      <c r="AA39" s="1805">
        <f t="shared" si="3"/>
        <v>1</v>
      </c>
      <c r="AB39" s="1805">
        <f t="shared" si="4"/>
        <v>1</v>
      </c>
      <c r="AC39" s="1805">
        <f t="shared" si="5"/>
        <v>1</v>
      </c>
    </row>
    <row r="40" spans="1:29" ht="15">
      <c r="A40" s="471"/>
      <c r="B40" s="421" t="s">
        <v>2748</v>
      </c>
      <c r="C40" s="2606" t="s">
        <v>3147</v>
      </c>
      <c r="D40" s="434">
        <v>100</v>
      </c>
      <c r="E40" s="2606" t="s">
        <v>3147</v>
      </c>
      <c r="F40" s="434">
        <f>SUMIF(121:121,E40,122:122)-SUMIF(121:121,C40,122:122)+100</f>
        <v>100</v>
      </c>
      <c r="G40" s="2606" t="s">
        <v>3147</v>
      </c>
      <c r="H40" s="434">
        <f>SUMIF(121:121,G40,122:122)-SUMIF(121:121,C40,122:122)+100</f>
        <v>100</v>
      </c>
      <c r="I40" s="2606" t="s">
        <v>3147</v>
      </c>
      <c r="J40" s="434">
        <f>SUMIF(121:121,I40,122:122)-SUMIF(121:121,C40,122:122)+100</f>
        <v>100</v>
      </c>
      <c r="K40" s="611">
        <v>2</v>
      </c>
      <c r="L40" s="1136"/>
      <c r="M40" s="1127"/>
      <c r="N40" s="1127"/>
      <c r="O40" s="1135"/>
      <c r="P40" s="3263"/>
      <c r="Q40" s="1804" t="str">
        <f t="shared" si="14"/>
        <v>临街宽度及深度</v>
      </c>
      <c r="R40" s="773" t="s">
        <v>17</v>
      </c>
      <c r="S40" s="774">
        <f t="shared" si="10"/>
        <v>100</v>
      </c>
      <c r="T40" s="773" t="s">
        <v>17</v>
      </c>
      <c r="U40" s="774">
        <f t="shared" si="11"/>
        <v>100</v>
      </c>
      <c r="V40" s="773" t="s">
        <v>17</v>
      </c>
      <c r="W40" s="774">
        <f t="shared" si="12"/>
        <v>100</v>
      </c>
      <c r="X40" s="1807"/>
      <c r="Y40" s="3263"/>
      <c r="Z40" s="1808" t="str">
        <f t="shared" si="13"/>
        <v>临街宽度及深度</v>
      </c>
      <c r="AA40" s="1805">
        <f t="shared" si="3"/>
        <v>1</v>
      </c>
      <c r="AB40" s="1805">
        <f t="shared" si="4"/>
        <v>1</v>
      </c>
      <c r="AC40" s="1805">
        <f t="shared" si="5"/>
        <v>1</v>
      </c>
    </row>
    <row r="41" spans="1:29" s="116" customFormat="1" ht="15">
      <c r="A41" s="472"/>
      <c r="B41" s="421" t="s">
        <v>2749</v>
      </c>
      <c r="C41" s="2694" t="s">
        <v>3148</v>
      </c>
      <c r="D41" s="135">
        <v>100</v>
      </c>
      <c r="E41" s="2694" t="s">
        <v>3044</v>
      </c>
      <c r="F41" s="434">
        <f>SUMIF(123:123,E41,124:124)-SUMIF(123:123,C41,124:124)+100</f>
        <v>99</v>
      </c>
      <c r="G41" s="2694" t="s">
        <v>3149</v>
      </c>
      <c r="H41" s="434">
        <f>SUMIF(123:123,G41,124:124)-SUMIF(123:123,C41,124:124)+100</f>
        <v>96</v>
      </c>
      <c r="I41" s="2694" t="s">
        <v>3150</v>
      </c>
      <c r="J41" s="434">
        <f>SUMIF(123:123,I41,124:124)-SUMIF(123:123,C41,124:124)+100</f>
        <v>98</v>
      </c>
      <c r="K41" s="611">
        <v>1</v>
      </c>
      <c r="L41" s="1128"/>
      <c r="M41" s="1129"/>
      <c r="N41" s="1129"/>
      <c r="O41" s="1130"/>
      <c r="P41" s="3263"/>
      <c r="Q41" s="1804" t="str">
        <f t="shared" si="14"/>
        <v>宗地开发程度</v>
      </c>
      <c r="R41" s="769" t="s">
        <v>17</v>
      </c>
      <c r="S41" s="770">
        <f t="shared" si="10"/>
        <v>99</v>
      </c>
      <c r="T41" s="769" t="s">
        <v>17</v>
      </c>
      <c r="U41" s="770">
        <f t="shared" si="11"/>
        <v>96</v>
      </c>
      <c r="V41" s="769" t="s">
        <v>17</v>
      </c>
      <c r="W41" s="770">
        <f t="shared" si="12"/>
        <v>98</v>
      </c>
      <c r="X41" s="771"/>
      <c r="Y41" s="3263"/>
      <c r="Z41" s="55" t="str">
        <f t="shared" si="13"/>
        <v>宗地开发程度</v>
      </c>
      <c r="AA41" s="772">
        <f t="shared" si="3"/>
        <v>1.0101010101010102</v>
      </c>
      <c r="AB41" s="772">
        <f t="shared" si="4"/>
        <v>1.0416666666666667</v>
      </c>
      <c r="AC41" s="772">
        <f t="shared" si="5"/>
        <v>1.0204081632653061</v>
      </c>
    </row>
    <row r="42" spans="1:29" ht="15">
      <c r="A42" s="471"/>
      <c r="B42" s="421" t="s">
        <v>2750</v>
      </c>
      <c r="C42" s="2606" t="s">
        <v>3048</v>
      </c>
      <c r="D42" s="434">
        <v>100</v>
      </c>
      <c r="E42" s="2606" t="s">
        <v>3048</v>
      </c>
      <c r="F42" s="434">
        <f>SUMIF(125:125,E42,126:126)-SUMIF(125:125,C42,126:126)+100</f>
        <v>100</v>
      </c>
      <c r="G42" s="2606" t="s">
        <v>3048</v>
      </c>
      <c r="H42" s="434">
        <f>SUMIF(125:125,G42,126:126)-SUMIF(125:125,C42,126:126)+100</f>
        <v>100</v>
      </c>
      <c r="I42" s="2606" t="s">
        <v>3048</v>
      </c>
      <c r="J42" s="434">
        <f>SUMIF(125:125,I42,126:126)-SUMIF(125:125,C42,126:126)+100</f>
        <v>100</v>
      </c>
      <c r="K42" s="611">
        <v>2</v>
      </c>
      <c r="L42" s="1136"/>
      <c r="M42" s="1127"/>
      <c r="N42" s="1127"/>
      <c r="O42" s="1135"/>
      <c r="P42" s="3263" t="s">
        <v>2560</v>
      </c>
      <c r="Q42" s="1804" t="str">
        <f t="shared" si="14"/>
        <v>工程地质条件</v>
      </c>
      <c r="R42" s="773" t="s">
        <v>17</v>
      </c>
      <c r="S42" s="774">
        <f t="shared" si="10"/>
        <v>100</v>
      </c>
      <c r="T42" s="773" t="s">
        <v>17</v>
      </c>
      <c r="U42" s="774">
        <f t="shared" si="11"/>
        <v>100</v>
      </c>
      <c r="V42" s="773" t="s">
        <v>17</v>
      </c>
      <c r="W42" s="774">
        <f t="shared" si="12"/>
        <v>100</v>
      </c>
      <c r="X42" s="1807"/>
      <c r="Y42" s="3263" t="s">
        <v>2560</v>
      </c>
      <c r="Z42" s="1808" t="str">
        <f t="shared" si="13"/>
        <v>工程地质条件</v>
      </c>
      <c r="AA42" s="1805">
        <f t="shared" si="3"/>
        <v>1</v>
      </c>
      <c r="AB42" s="1805">
        <f t="shared" si="4"/>
        <v>1</v>
      </c>
      <c r="AC42" s="1805">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63"/>
      <c r="Q43" s="1804">
        <f t="shared" si="14"/>
        <v>111</v>
      </c>
      <c r="R43" s="773" t="s">
        <v>17</v>
      </c>
      <c r="S43" s="774">
        <f t="shared" si="10"/>
        <v>100</v>
      </c>
      <c r="T43" s="773" t="s">
        <v>17</v>
      </c>
      <c r="U43" s="774">
        <f t="shared" si="11"/>
        <v>100</v>
      </c>
      <c r="V43" s="773" t="s">
        <v>17</v>
      </c>
      <c r="W43" s="774">
        <f t="shared" si="12"/>
        <v>100</v>
      </c>
      <c r="X43" s="1807"/>
      <c r="Y43" s="3263"/>
      <c r="Z43" s="1808">
        <f t="shared" si="13"/>
        <v>111</v>
      </c>
      <c r="AA43" s="1805">
        <f t="shared" si="3"/>
        <v>1</v>
      </c>
      <c r="AB43" s="1805">
        <f t="shared" si="4"/>
        <v>1</v>
      </c>
      <c r="AC43" s="1805">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63"/>
      <c r="Q44" s="1804">
        <f t="shared" si="14"/>
        <v>111</v>
      </c>
      <c r="R44" s="773" t="s">
        <v>17</v>
      </c>
      <c r="S44" s="774">
        <f t="shared" si="10"/>
        <v>100</v>
      </c>
      <c r="T44" s="773" t="s">
        <v>17</v>
      </c>
      <c r="U44" s="774">
        <f t="shared" si="11"/>
        <v>100</v>
      </c>
      <c r="V44" s="773" t="s">
        <v>17</v>
      </c>
      <c r="W44" s="774">
        <f t="shared" si="12"/>
        <v>100</v>
      </c>
      <c r="X44" s="1807"/>
      <c r="Y44" s="3263"/>
      <c r="Z44" s="1808">
        <f t="shared" si="13"/>
        <v>111</v>
      </c>
      <c r="AA44" s="1805">
        <f t="shared" si="3"/>
        <v>1</v>
      </c>
      <c r="AB44" s="1805">
        <f t="shared" si="4"/>
        <v>1</v>
      </c>
      <c r="AC44" s="1805">
        <f t="shared" si="5"/>
        <v>1</v>
      </c>
    </row>
    <row r="45" spans="1:29" s="470" customFormat="1" ht="15.75" thickBot="1">
      <c r="A45" s="467"/>
      <c r="B45" s="1383">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63"/>
      <c r="Q45" s="1804">
        <f t="shared" si="14"/>
        <v>111</v>
      </c>
      <c r="R45" s="776" t="s">
        <v>17</v>
      </c>
      <c r="S45" s="777">
        <f t="shared" si="10"/>
        <v>100</v>
      </c>
      <c r="T45" s="776" t="s">
        <v>17</v>
      </c>
      <c r="U45" s="777">
        <f t="shared" si="11"/>
        <v>100</v>
      </c>
      <c r="V45" s="776" t="s">
        <v>17</v>
      </c>
      <c r="W45" s="777">
        <f t="shared" si="12"/>
        <v>100</v>
      </c>
      <c r="X45" s="778"/>
      <c r="Y45" s="3263"/>
      <c r="Z45" s="779">
        <f t="shared" si="13"/>
        <v>111</v>
      </c>
      <c r="AA45" s="1805">
        <f t="shared" si="3"/>
        <v>1</v>
      </c>
      <c r="AB45" s="1805">
        <f t="shared" si="4"/>
        <v>1</v>
      </c>
      <c r="AC45" s="1805">
        <f t="shared" si="5"/>
        <v>1</v>
      </c>
    </row>
    <row r="46" spans="1:29" ht="15">
      <c r="A46" s="478" t="s">
        <v>2715</v>
      </c>
      <c r="B46" s="2696" t="s">
        <v>2751</v>
      </c>
      <c r="C46" s="681" t="s">
        <v>1</v>
      </c>
      <c r="D46" s="480"/>
      <c r="E46" s="481">
        <f>ROUND(土地案例!AK11,0)</f>
        <v>34836</v>
      </c>
      <c r="F46" s="482"/>
      <c r="G46" s="483">
        <f>ROUND(土地案例!AK20,0)</f>
        <v>38025</v>
      </c>
      <c r="H46" s="484"/>
      <c r="I46" s="481">
        <f>ROUND(土地案例!AK25,0)</f>
        <v>35021</v>
      </c>
      <c r="J46" s="484"/>
      <c r="K46" s="782"/>
      <c r="L46" s="1139"/>
      <c r="M46" s="1140"/>
      <c r="N46" s="1127"/>
      <c r="O46" s="1140"/>
      <c r="P46" s="3265" t="str">
        <f>A46</f>
        <v>成交单价</v>
      </c>
      <c r="Q46" s="3265"/>
      <c r="R46" s="3251">
        <f>E46</f>
        <v>34836</v>
      </c>
      <c r="S46" s="3251"/>
      <c r="T46" s="3251">
        <f>G46</f>
        <v>38025</v>
      </c>
      <c r="U46" s="3251"/>
      <c r="V46" s="3251">
        <f>I46</f>
        <v>35021</v>
      </c>
      <c r="W46" s="3251"/>
      <c r="X46" s="758"/>
      <c r="Y46" s="780"/>
      <c r="Z46" s="758"/>
      <c r="AA46" s="758"/>
      <c r="AB46" s="758"/>
      <c r="AC46" s="758"/>
    </row>
    <row r="47" spans="1:29" ht="15.75" thickBot="1">
      <c r="A47" s="485" t="s">
        <v>2664</v>
      </c>
      <c r="B47" s="682"/>
      <c r="C47" s="489">
        <f>R48</f>
        <v>32422</v>
      </c>
      <c r="D47" s="488"/>
      <c r="E47" s="489">
        <f>R47</f>
        <v>30314</v>
      </c>
      <c r="F47" s="490"/>
      <c r="G47" s="487">
        <f>T47</f>
        <v>34856</v>
      </c>
      <c r="H47" s="488"/>
      <c r="I47" s="489">
        <f>V47</f>
        <v>32096</v>
      </c>
      <c r="J47" s="488"/>
      <c r="K47" s="783"/>
      <c r="L47" s="1139"/>
      <c r="M47" s="1140"/>
      <c r="N47" s="1140"/>
      <c r="O47" s="1140"/>
      <c r="P47" s="3265" t="str">
        <f>A47</f>
        <v>比较价值（元/平方米）</v>
      </c>
      <c r="Q47" s="3265"/>
      <c r="R47" s="3289">
        <f>ROUND(PRODUCT(R46,AA7:AA45),0)</f>
        <v>30314</v>
      </c>
      <c r="S47" s="3289"/>
      <c r="T47" s="3289">
        <f>ROUND(PRODUCT(T46,AB7:AB45),0)</f>
        <v>34856</v>
      </c>
      <c r="U47" s="3289"/>
      <c r="V47" s="3289">
        <f>ROUND(PRODUCT(V46,AC7:AC45),0)</f>
        <v>32096</v>
      </c>
      <c r="W47" s="3289"/>
      <c r="X47" s="758"/>
      <c r="Y47" s="758"/>
      <c r="Z47" s="758"/>
      <c r="AA47" s="758"/>
      <c r="AB47" s="758"/>
      <c r="AC47" s="758"/>
    </row>
    <row r="48" spans="1:29" ht="15.75" thickBot="1">
      <c r="A48" s="491" t="s">
        <v>2752</v>
      </c>
      <c r="B48" s="492"/>
      <c r="C48" s="493">
        <f>R48</f>
        <v>32422</v>
      </c>
      <c r="D48" s="493"/>
      <c r="E48" s="493"/>
      <c r="F48" s="493"/>
      <c r="G48" s="493"/>
      <c r="H48" s="493"/>
      <c r="I48" s="493"/>
      <c r="J48" s="493"/>
      <c r="K48" s="784"/>
      <c r="L48" s="1139"/>
      <c r="M48" s="1140"/>
      <c r="N48" s="1140"/>
      <c r="O48" s="1140"/>
      <c r="P48" s="3267" t="str">
        <f>A48</f>
        <v>估价对象XX用房的比较价值（楼面单价，元/平方米）</v>
      </c>
      <c r="Q48" s="3268"/>
      <c r="R48" s="3290">
        <f>ROUND(AVERAGE(R47:V47),0)</f>
        <v>32422</v>
      </c>
      <c r="S48" s="3290"/>
      <c r="T48" s="3290"/>
      <c r="U48" s="3290"/>
      <c r="V48" s="3290"/>
      <c r="W48" s="3290"/>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2666</v>
      </c>
      <c r="D51" s="497"/>
      <c r="E51" s="498">
        <f>IF(E46&lt;E47,E47/E46-1,E46/E47-1)</f>
        <v>0.14917199973609563</v>
      </c>
      <c r="F51" s="499" t="str">
        <f>IF(OR(E51&gt;=0.3,E51&lt;=-0.3),"超过30%","")</f>
        <v/>
      </c>
      <c r="G51" s="498">
        <f>IF(G46&lt;G47,G47/G46-1,G46/G47-1)</f>
        <v>9.0916915308698609E-2</v>
      </c>
      <c r="H51" s="499" t="str">
        <f>IF(OR(G51&gt;=0.3,G51&lt;=-0.3),"超过30%","")</f>
        <v/>
      </c>
      <c r="I51" s="498">
        <f>IF(I46&lt;I47,I47/I46-1,I46/I47-1)</f>
        <v>9.1132851445663077E-2</v>
      </c>
      <c r="J51" s="499" t="str">
        <f>IF(OR(I51&gt;=0.3,I51&lt;=-0.3),"超过30%","")</f>
        <v/>
      </c>
      <c r="K51" s="1101"/>
      <c r="L51" s="1102"/>
      <c r="M51" s="1140"/>
      <c r="N51" s="1140"/>
      <c r="O51" s="1140"/>
    </row>
    <row r="52" spans="1:15" ht="13.5" customHeight="1">
      <c r="A52" s="1140"/>
      <c r="B52" s="1140"/>
      <c r="C52" s="496" t="s">
        <v>2667</v>
      </c>
      <c r="D52" s="500"/>
      <c r="E52" s="498">
        <f>IF(E47&lt;G47,G47/E47-1,E47/G47-1)</f>
        <v>0.14983176090255323</v>
      </c>
      <c r="F52" s="499" t="str">
        <f>IF(OR(E52&gt;=0.2,E52&lt;=-0.2),"超过20%","")</f>
        <v/>
      </c>
      <c r="G52" s="498">
        <f>IF(G47&lt;I47,I47/G47-1,G47/I47-1)</f>
        <v>8.5992023928215255E-2</v>
      </c>
      <c r="H52" s="499" t="str">
        <f>IF(OR(G52&gt;=0.2,G52&lt;=-0.2),"超过20%","")</f>
        <v/>
      </c>
      <c r="I52" s="498">
        <f>IF(I47&lt;E47,E47/I47-1,I47/E47-1)</f>
        <v>5.8784719931384899E-2</v>
      </c>
      <c r="J52" s="499" t="str">
        <f>IF(OR(I52&gt;=0.2,I52&lt;=-0.2),"超过20%","")</f>
        <v/>
      </c>
      <c r="K52" s="1101"/>
      <c r="L52" s="1102"/>
      <c r="M52" s="1140"/>
      <c r="N52" s="1140"/>
      <c r="O52" s="1140"/>
    </row>
    <row r="53" spans="1:15" s="501" customFormat="1" ht="13.5" customHeight="1">
      <c r="A53" s="1141"/>
      <c r="B53" s="1141"/>
      <c r="C53" s="496" t="s">
        <v>2668</v>
      </c>
      <c r="D53" s="500"/>
      <c r="E53" s="498">
        <f>IF(E46&lt;G46,G46/E46-1,E46/G46-1)</f>
        <v>9.1543231140199799E-2</v>
      </c>
      <c r="F53" s="499" t="str">
        <f>IF(OR(E53&gt;=0.3,E53&lt;=-0.3),"超过30%","")</f>
        <v/>
      </c>
      <c r="G53" s="498">
        <f>IF(G46&lt;I46,I46/G46-1,G46/I46-1)</f>
        <v>8.5777105165472101E-2</v>
      </c>
      <c r="H53" s="499" t="str">
        <f>IF(OR(G53&gt;=0.3,G53&lt;=-0.3),"超过30%","")</f>
        <v/>
      </c>
      <c r="I53" s="498">
        <f>IF(I46&lt;E46,E46/I46-1,I46/E46-1)</f>
        <v>5.3105982317143141E-3</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2753</v>
      </c>
      <c r="B55" s="684" t="s">
        <v>2754</v>
      </c>
      <c r="C55" s="2697" t="s">
        <v>2755</v>
      </c>
      <c r="D55" s="2698" t="s">
        <v>2756</v>
      </c>
      <c r="E55" s="685" t="s">
        <v>2757</v>
      </c>
      <c r="F55" s="1103" t="s">
        <v>2758</v>
      </c>
      <c r="G55" s="3227" t="s">
        <v>2759</v>
      </c>
      <c r="H55" s="3291"/>
      <c r="I55" s="143" t="s">
        <v>2760</v>
      </c>
      <c r="J55" s="2699">
        <f>项目基本情况!F35</f>
        <v>0</v>
      </c>
      <c r="K55" s="2700" t="s">
        <v>2761</v>
      </c>
      <c r="L55" s="1102"/>
      <c r="M55" s="1140"/>
      <c r="N55" s="1140"/>
      <c r="O55" s="1140"/>
    </row>
    <row r="56" spans="1:15" s="691" customFormat="1">
      <c r="A56" s="687" t="s">
        <v>2762</v>
      </c>
      <c r="B56" s="688">
        <f>C48</f>
        <v>32422</v>
      </c>
      <c r="C56" s="689">
        <v>1</v>
      </c>
      <c r="D56" s="1159">
        <v>1</v>
      </c>
      <c r="E56" s="689">
        <f>'数据-汇总表'!E8+'数据-汇总表'!E9</f>
        <v>19990.119999999995</v>
      </c>
      <c r="F56" s="1099">
        <f t="shared" ref="F56:F65" si="15">ROUND(B56*E56/10000,0)</f>
        <v>64812</v>
      </c>
      <c r="G56" s="3255"/>
      <c r="H56" s="3265"/>
      <c r="I56" s="1104">
        <v>1</v>
      </c>
      <c r="J56" s="1107">
        <v>1</v>
      </c>
      <c r="K56" s="1141"/>
      <c r="L56" s="937"/>
      <c r="M56" s="937"/>
      <c r="N56" s="937"/>
      <c r="O56" s="937"/>
    </row>
    <row r="57" spans="1:15" s="691" customFormat="1">
      <c r="A57" s="692" t="s">
        <v>2763</v>
      </c>
      <c r="B57" s="261">
        <f>ROUND($C$48*C57*D57,0)</f>
        <v>4863</v>
      </c>
      <c r="C57" s="199">
        <f t="shared" ref="C57:C65" si="16">IF($C$55="北京市系数",I57,J57)</f>
        <v>0.6</v>
      </c>
      <c r="D57" s="1160">
        <v>0.25</v>
      </c>
      <c r="E57" s="693"/>
      <c r="F57" s="1099">
        <f t="shared" si="15"/>
        <v>0</v>
      </c>
      <c r="G57" s="3292" t="s">
        <v>2764</v>
      </c>
      <c r="H57" s="1100" t="str">
        <f>项目基本情况!B37</f>
        <v>八级</v>
      </c>
      <c r="I57" s="1104">
        <f>SUMIF(修正!A45:A56,H57,修正!B45:B56)</f>
        <v>0.6</v>
      </c>
      <c r="J57" s="1108"/>
      <c r="K57" s="1140"/>
      <c r="L57" s="937"/>
      <c r="M57" s="937"/>
      <c r="N57" s="937"/>
      <c r="O57" s="937"/>
    </row>
    <row r="58" spans="1:15" s="691" customFormat="1">
      <c r="A58" s="692" t="s">
        <v>2765</v>
      </c>
      <c r="B58" s="261">
        <f t="shared" ref="B58:B65" si="17">ROUND($C$48*C58*D58,0)</f>
        <v>2432</v>
      </c>
      <c r="C58" s="199">
        <f t="shared" si="16"/>
        <v>0.3</v>
      </c>
      <c r="D58" s="1160">
        <v>0.25</v>
      </c>
      <c r="E58" s="693"/>
      <c r="F58" s="1099">
        <f t="shared" si="15"/>
        <v>0</v>
      </c>
      <c r="G58" s="3292"/>
      <c r="H58" s="1100" t="str">
        <f>项目基本情况!B37</f>
        <v>八级</v>
      </c>
      <c r="I58" s="1104">
        <f>SUMIF(修正!A45:A56,H58,修正!C45:C56)</f>
        <v>0.3</v>
      </c>
      <c r="J58" s="1108"/>
      <c r="K58" s="1141"/>
      <c r="L58" s="937"/>
      <c r="M58" s="937"/>
      <c r="N58" s="937"/>
      <c r="O58" s="937"/>
    </row>
    <row r="59" spans="1:15" s="691" customFormat="1">
      <c r="A59" s="692" t="s">
        <v>2766</v>
      </c>
      <c r="B59" s="261">
        <f t="shared" si="17"/>
        <v>1621</v>
      </c>
      <c r="C59" s="199">
        <f t="shared" si="16"/>
        <v>0.2</v>
      </c>
      <c r="D59" s="1160">
        <v>0.25</v>
      </c>
      <c r="E59" s="693"/>
      <c r="F59" s="1099">
        <f t="shared" si="15"/>
        <v>0</v>
      </c>
      <c r="G59" s="3292"/>
      <c r="H59" s="1100" t="str">
        <f>项目基本情况!B37</f>
        <v>八级</v>
      </c>
      <c r="I59" s="1104">
        <f>SUMIF(修正!A45:A56,H59,修正!D45:D56)</f>
        <v>0.2</v>
      </c>
      <c r="J59" s="1108"/>
      <c r="K59" s="1140"/>
      <c r="L59" s="937"/>
      <c r="M59" s="937"/>
      <c r="N59" s="937"/>
      <c r="O59" s="937"/>
    </row>
    <row r="60" spans="1:15" s="691" customFormat="1">
      <c r="A60" s="692" t="s">
        <v>2767</v>
      </c>
      <c r="B60" s="261">
        <f t="shared" si="17"/>
        <v>1621</v>
      </c>
      <c r="C60" s="199">
        <f t="shared" si="16"/>
        <v>0.2</v>
      </c>
      <c r="D60" s="1160">
        <v>0.25</v>
      </c>
      <c r="E60" s="693"/>
      <c r="F60" s="1099">
        <f t="shared" si="15"/>
        <v>0</v>
      </c>
      <c r="G60" s="3292"/>
      <c r="H60" s="1100" t="str">
        <f>项目基本情况!B37</f>
        <v>八级</v>
      </c>
      <c r="I60" s="1104">
        <f>SUMIF(修正!A45:A56,H60,修正!E45:E56)</f>
        <v>0.2</v>
      </c>
      <c r="J60" s="1108"/>
      <c r="K60" s="1141"/>
      <c r="L60" s="937"/>
      <c r="M60" s="937"/>
      <c r="N60" s="937"/>
      <c r="O60" s="937"/>
    </row>
    <row r="61" spans="1:15" s="691" customFormat="1">
      <c r="A61" s="692" t="s">
        <v>2768</v>
      </c>
      <c r="B61" s="261">
        <f t="shared" si="17"/>
        <v>1621</v>
      </c>
      <c r="C61" s="199">
        <f t="shared" si="16"/>
        <v>0.2</v>
      </c>
      <c r="D61" s="1160">
        <v>0.25</v>
      </c>
      <c r="E61" s="260">
        <f>'数据-汇总表'!E11</f>
        <v>0</v>
      </c>
      <c r="F61" s="1099">
        <f t="shared" si="15"/>
        <v>0</v>
      </c>
      <c r="G61" s="2701" t="s">
        <v>2769</v>
      </c>
      <c r="H61" s="1100" t="str">
        <f>项目基本情况!C37</f>
        <v>八级</v>
      </c>
      <c r="I61" s="1104">
        <f>SUMIF(修正!A45:A56,H61,修正!F45:F56)</f>
        <v>0.2</v>
      </c>
      <c r="J61" s="1108"/>
      <c r="K61" s="1140"/>
      <c r="L61" s="937"/>
      <c r="M61" s="937"/>
      <c r="N61" s="937"/>
      <c r="O61" s="937"/>
    </row>
    <row r="62" spans="1:15" s="691" customFormat="1">
      <c r="A62" s="692" t="s">
        <v>2770</v>
      </c>
      <c r="B62" s="261">
        <f t="shared" si="17"/>
        <v>1621</v>
      </c>
      <c r="C62" s="199">
        <f t="shared" si="16"/>
        <v>0.2</v>
      </c>
      <c r="D62" s="1160">
        <v>0.25</v>
      </c>
      <c r="E62" s="260">
        <f>'数据-汇总表'!E12</f>
        <v>8182.909999999998</v>
      </c>
      <c r="F62" s="1099">
        <f t="shared" si="15"/>
        <v>1326</v>
      </c>
      <c r="G62" s="1105" t="s">
        <v>2771</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2772</v>
      </c>
      <c r="B63" s="261">
        <f t="shared" si="17"/>
        <v>1216</v>
      </c>
      <c r="C63" s="199">
        <f t="shared" si="16"/>
        <v>0.15</v>
      </c>
      <c r="D63" s="1160">
        <v>0.25</v>
      </c>
      <c r="E63" s="260">
        <f>'数据-汇总表'!E13</f>
        <v>35529.1</v>
      </c>
      <c r="F63" s="1099">
        <f t="shared" si="15"/>
        <v>4320</v>
      </c>
      <c r="G63" s="1105" t="s">
        <v>2773</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91" customFormat="1">
      <c r="A64" s="692" t="s">
        <v>2774</v>
      </c>
      <c r="B64" s="261">
        <f t="shared" si="17"/>
        <v>1216</v>
      </c>
      <c r="C64" s="199">
        <f t="shared" si="16"/>
        <v>0.15</v>
      </c>
      <c r="D64" s="1160">
        <v>0.25</v>
      </c>
      <c r="E64" s="260">
        <f>'数据-汇总表'!E14</f>
        <v>0</v>
      </c>
      <c r="F64" s="1099">
        <f t="shared" si="15"/>
        <v>0</v>
      </c>
      <c r="G64" s="2701" t="s">
        <v>2764</v>
      </c>
      <c r="H64" s="1100" t="str">
        <f>项目基本情况!B37</f>
        <v>八级</v>
      </c>
      <c r="I64" s="1104">
        <f>SUMIF(修正!A45:A56,H64,修正!H45:H56)</f>
        <v>0.15</v>
      </c>
      <c r="J64" s="1108"/>
      <c r="K64" s="1141"/>
      <c r="L64" s="937"/>
      <c r="M64" s="937"/>
      <c r="N64" s="937"/>
      <c r="O64" s="937"/>
    </row>
    <row r="65" spans="1:17" s="691" customFormat="1" ht="15" thickBot="1">
      <c r="A65" s="692" t="s">
        <v>2775</v>
      </c>
      <c r="B65" s="261">
        <f t="shared" si="17"/>
        <v>1216</v>
      </c>
      <c r="C65" s="199">
        <f t="shared" si="16"/>
        <v>0.15</v>
      </c>
      <c r="D65" s="1160">
        <v>0.25</v>
      </c>
      <c r="E65" s="260">
        <f>'数据-汇总表'!E15</f>
        <v>0</v>
      </c>
      <c r="F65" s="1099">
        <f t="shared" si="15"/>
        <v>0</v>
      </c>
      <c r="G65" s="2702" t="s">
        <v>2769</v>
      </c>
      <c r="H65" s="1110" t="str">
        <f>项目基本情况!C37</f>
        <v>八级</v>
      </c>
      <c r="I65" s="1106">
        <f>SUMIF(修正!A45:A56,H65,修正!H45:H56)</f>
        <v>0.15</v>
      </c>
      <c r="J65" s="1109"/>
      <c r="K65" s="1140"/>
      <c r="L65" s="937"/>
      <c r="M65" s="937"/>
      <c r="N65" s="937"/>
      <c r="O65" s="937"/>
    </row>
    <row r="66" spans="1:17" s="691" customFormat="1" ht="13.5" thickBot="1">
      <c r="A66" s="694" t="s">
        <v>2776</v>
      </c>
      <c r="B66" s="695" t="s">
        <v>28</v>
      </c>
      <c r="C66" s="695" t="s">
        <v>29</v>
      </c>
      <c r="D66" s="695" t="s">
        <v>1029</v>
      </c>
      <c r="E66" s="695">
        <f>IF(B46="楼面地价",SUM(E56:E65),'数据-汇总表'!D3)</f>
        <v>63702.12999999999</v>
      </c>
      <c r="F66" s="696">
        <f>IF(B46="楼面地价",SUM(F56:F65),ROUND(C48*E66/10000,0))</f>
        <v>70458</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2669</v>
      </c>
      <c r="B69" s="758"/>
      <c r="C69" s="763"/>
      <c r="D69" s="763"/>
      <c r="E69" s="763"/>
      <c r="F69" s="764"/>
      <c r="G69" s="764"/>
      <c r="H69" s="763"/>
      <c r="I69" s="763"/>
      <c r="J69" s="1155"/>
      <c r="K69" s="1156"/>
      <c r="L69" s="1157"/>
      <c r="M69" s="1155"/>
      <c r="N69" s="1155"/>
      <c r="O69" s="1155"/>
      <c r="P69" s="502"/>
      <c r="Q69" s="503"/>
    </row>
    <row r="70" spans="1:17" s="507" customFormat="1" ht="15">
      <c r="A70" s="2703" t="s">
        <v>2777</v>
      </c>
      <c r="B70" s="1355"/>
      <c r="C70" s="1566" t="str">
        <f>YEAR(C68)&amp;"-"&amp;ROUNDUP(MONTH(C68)/3,0)</f>
        <v>2019-2</v>
      </c>
      <c r="D70" s="1566" t="str">
        <f>YEAR(D68)&amp;"-"&amp;ROUNDUP(MONTH(D68)/3,0)</f>
        <v>2019-1</v>
      </c>
      <c r="E70" s="1566" t="str">
        <f t="shared" ref="E70:O70" si="19">YEAR(E68)&amp;"-"&amp;ROUNDUP(MONTH(E68)/3,0)</f>
        <v>2018-4</v>
      </c>
      <c r="F70" s="1566" t="str">
        <f t="shared" si="19"/>
        <v>2018-3</v>
      </c>
      <c r="G70" s="1566" t="str">
        <f t="shared" si="19"/>
        <v>2018-2</v>
      </c>
      <c r="H70" s="1566" t="str">
        <f t="shared" si="19"/>
        <v>2018-1</v>
      </c>
      <c r="I70" s="1566" t="str">
        <f t="shared" si="19"/>
        <v>2017-4</v>
      </c>
      <c r="J70" s="1566" t="str">
        <f t="shared" si="19"/>
        <v>2017-3</v>
      </c>
      <c r="K70" s="1566" t="str">
        <f t="shared" si="19"/>
        <v>2017-2</v>
      </c>
      <c r="L70" s="1566" t="str">
        <f t="shared" si="19"/>
        <v>2017-1</v>
      </c>
      <c r="M70" s="1566" t="str">
        <f t="shared" si="19"/>
        <v>2016-4</v>
      </c>
      <c r="N70" s="1566" t="str">
        <f t="shared" si="19"/>
        <v>2016-3</v>
      </c>
      <c r="O70" s="1566" t="str">
        <f t="shared" si="19"/>
        <v>2016-2</v>
      </c>
      <c r="P70" s="506"/>
    </row>
    <row r="71" spans="1:17" s="116" customFormat="1" ht="30" customHeight="1">
      <c r="A71" s="2704" t="s">
        <v>2778</v>
      </c>
      <c r="B71" s="331" t="str">
        <f>"北京市平均增长率"&amp;TEXT(SUMIF(基准地价修正!N21:N25,A71,基准地价修正!P21:P25),"0.00%")</f>
        <v>北京市平均增长率0.00%</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75" thickBot="1">
      <c r="A72" s="514" t="s">
        <v>2580</v>
      </c>
      <c r="B72" s="515"/>
      <c r="C72" s="516"/>
      <c r="D72" s="517"/>
      <c r="E72" s="517"/>
      <c r="F72" s="517"/>
      <c r="G72" s="517"/>
      <c r="H72" s="517"/>
      <c r="I72" s="517"/>
      <c r="J72" s="517"/>
      <c r="K72" s="517" t="s">
        <v>3151</v>
      </c>
      <c r="L72" s="517"/>
      <c r="M72" s="518"/>
      <c r="N72" s="517"/>
      <c r="O72" s="1158"/>
      <c r="P72" s="503"/>
      <c r="Q72" s="503"/>
    </row>
    <row r="73" spans="1:17" s="116" customFormat="1" ht="15">
      <c r="A73" s="520" t="s">
        <v>2545</v>
      </c>
      <c r="B73" s="509"/>
      <c r="C73" s="521" t="s">
        <v>2647</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2583</v>
      </c>
      <c r="B75" s="527" t="s">
        <v>2549</v>
      </c>
      <c r="C75" s="2938" t="s">
        <v>3113</v>
      </c>
      <c r="D75" s="529" t="s">
        <v>3202</v>
      </c>
      <c r="E75" s="529"/>
      <c r="F75" s="529"/>
      <c r="G75" s="529"/>
      <c r="H75" s="529"/>
      <c r="I75" s="529"/>
      <c r="J75" s="529"/>
      <c r="K75" s="530"/>
      <c r="L75" s="531"/>
      <c r="M75" s="532"/>
      <c r="N75" s="1148"/>
      <c r="O75" s="1148"/>
      <c r="P75" s="45"/>
      <c r="Q75" s="503"/>
    </row>
    <row r="76" spans="1:17" ht="15.75" thickBot="1">
      <c r="A76" s="533"/>
      <c r="B76" s="534"/>
      <c r="C76" s="535">
        <v>100</v>
      </c>
      <c r="D76" s="535">
        <v>90</v>
      </c>
      <c r="E76" s="535"/>
      <c r="F76" s="535"/>
      <c r="G76" s="535"/>
      <c r="H76" s="535"/>
      <c r="I76" s="535"/>
      <c r="J76" s="535"/>
      <c r="K76" s="535"/>
      <c r="L76" s="535"/>
      <c r="M76" s="536"/>
      <c r="N76" s="1149"/>
      <c r="O76" s="1149"/>
      <c r="P76" s="45"/>
      <c r="Q76" s="503"/>
    </row>
    <row r="77" spans="1:17" ht="27.75" thickTop="1">
      <c r="A77" s="533"/>
      <c r="B77" s="537" t="s">
        <v>2552</v>
      </c>
      <c r="C77" s="538"/>
      <c r="D77" s="538"/>
      <c r="E77" s="538"/>
      <c r="F77" s="538"/>
      <c r="G77" s="538"/>
      <c r="H77" s="538"/>
      <c r="I77" s="538"/>
      <c r="J77" s="538"/>
      <c r="K77" s="539"/>
      <c r="L77" s="540"/>
      <c r="M77" s="541"/>
      <c r="N77" s="1148"/>
      <c r="O77" s="1148"/>
      <c r="P77" s="45"/>
      <c r="Q77" s="503"/>
    </row>
    <row r="78" spans="1:17" ht="15.75" thickBot="1">
      <c r="A78" s="533"/>
      <c r="B78" s="542"/>
      <c r="C78" s="543"/>
      <c r="D78" s="543"/>
      <c r="E78" s="543"/>
      <c r="F78" s="543"/>
      <c r="G78" s="543"/>
      <c r="H78" s="543"/>
      <c r="I78" s="543"/>
      <c r="J78" s="543"/>
      <c r="K78" s="543"/>
      <c r="L78" s="543"/>
      <c r="M78" s="544"/>
      <c r="N78" s="1149"/>
      <c r="O78" s="1149"/>
      <c r="P78" s="45"/>
      <c r="Q78" s="503"/>
    </row>
    <row r="79" spans="1:17" ht="15.75" thickTop="1">
      <c r="A79" s="533"/>
      <c r="B79" s="545" t="s">
        <v>2553</v>
      </c>
      <c r="C79" s="546" t="str">
        <f>C80&amp;"（含）"&amp;"-"&amp;D80</f>
        <v>1（含）-2</v>
      </c>
      <c r="D79" s="546" t="str">
        <f t="shared" ref="D79:L79" si="21">D80&amp;"（含）"&amp;"-"&amp;E80</f>
        <v>2（含）-3</v>
      </c>
      <c r="E79" s="546" t="str">
        <f t="shared" si="21"/>
        <v>3（含）-4</v>
      </c>
      <c r="F79" s="546" t="str">
        <f t="shared" si="21"/>
        <v>4（含）-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49"/>
      <c r="O79" s="1149"/>
      <c r="P79" s="45"/>
      <c r="Q79" s="503"/>
    </row>
    <row r="80" spans="1:17" ht="15">
      <c r="A80" s="533"/>
      <c r="B80" s="547"/>
      <c r="C80" s="548">
        <v>1</v>
      </c>
      <c r="D80" s="548">
        <v>2</v>
      </c>
      <c r="E80" s="548">
        <v>3</v>
      </c>
      <c r="F80" s="548">
        <v>4</v>
      </c>
      <c r="G80" s="548"/>
      <c r="H80" s="548"/>
      <c r="I80" s="548"/>
      <c r="J80" s="548"/>
      <c r="K80" s="549"/>
      <c r="L80" s="550"/>
      <c r="M80" s="551"/>
      <c r="N80" s="1148"/>
      <c r="O80" s="1148"/>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9"/>
      <c r="O81" s="1149"/>
      <c r="P81" s="45"/>
      <c r="Q81" s="503"/>
    </row>
    <row r="82" spans="1:17" s="470" customFormat="1" ht="15.75" thickTop="1">
      <c r="A82" s="552"/>
      <c r="B82" s="537" t="str">
        <f>B12</f>
        <v>配建</v>
      </c>
      <c r="C82" s="2939" t="s">
        <v>3118</v>
      </c>
      <c r="D82" s="2940" t="s">
        <v>3119</v>
      </c>
      <c r="E82" s="2941" t="s">
        <v>3122</v>
      </c>
      <c r="F82" s="553"/>
      <c r="G82" s="553"/>
      <c r="H82" s="554"/>
      <c r="I82" s="554"/>
      <c r="J82" s="554"/>
      <c r="K82" s="554"/>
      <c r="L82" s="555"/>
      <c r="M82" s="556"/>
      <c r="N82" s="1150"/>
      <c r="O82" s="1150"/>
      <c r="P82" s="557"/>
      <c r="Q82" s="558"/>
    </row>
    <row r="83" spans="1:17" s="470" customFormat="1" ht="15.75" thickBot="1">
      <c r="A83" s="552"/>
      <c r="B83" s="542"/>
      <c r="C83" s="559">
        <v>100</v>
      </c>
      <c r="D83" s="535">
        <v>90</v>
      </c>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8"/>
      <c r="O88" s="1148"/>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49"/>
      <c r="O89" s="1149"/>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48"/>
      <c r="O90" s="1148"/>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8"/>
      <c r="O92" s="1148"/>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49"/>
      <c r="O93" s="1149"/>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8"/>
      <c r="O94" s="1148"/>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49"/>
      <c r="O95" s="1149"/>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47"/>
      <c r="O96" s="1147"/>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47"/>
      <c r="O98" s="1147"/>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49"/>
      <c r="O99" s="1149"/>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48"/>
      <c r="O104" s="1148"/>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9"/>
      <c r="O105" s="1149"/>
      <c r="P105" s="45"/>
      <c r="Q105" s="503"/>
    </row>
    <row r="106" spans="1:17" ht="27.75" thickTop="1">
      <c r="A106" s="533"/>
      <c r="B106" s="537" t="s">
        <v>2686</v>
      </c>
      <c r="C106" s="2945" t="s">
        <v>3123</v>
      </c>
      <c r="D106" s="2945" t="s">
        <v>3124</v>
      </c>
      <c r="E106" s="2945" t="s">
        <v>3125</v>
      </c>
      <c r="F106" s="2945" t="s">
        <v>3126</v>
      </c>
      <c r="G106" s="2945" t="s">
        <v>3128</v>
      </c>
      <c r="H106" s="582"/>
      <c r="I106" s="582"/>
      <c r="J106" s="582"/>
      <c r="K106" s="583"/>
      <c r="L106" s="584"/>
      <c r="M106" s="585"/>
      <c r="N106" s="1148"/>
      <c r="O106" s="1148"/>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9"/>
      <c r="O107" s="1149"/>
      <c r="P107" s="45"/>
      <c r="Q107" s="503"/>
    </row>
    <row r="108" spans="1:17" ht="15.75" thickTop="1">
      <c r="A108" s="533"/>
      <c r="B108" s="537" t="s">
        <v>2745</v>
      </c>
      <c r="C108" s="582"/>
      <c r="D108" s="582"/>
      <c r="E108" s="582"/>
      <c r="F108" s="582"/>
      <c r="G108" s="582"/>
      <c r="H108" s="582"/>
      <c r="I108" s="582"/>
      <c r="J108" s="582"/>
      <c r="K108" s="583"/>
      <c r="L108" s="584"/>
      <c r="M108" s="585"/>
      <c r="N108" s="1148"/>
      <c r="O108" s="1148"/>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9"/>
      <c r="O109" s="1149"/>
      <c r="P109" s="45"/>
      <c r="Q109" s="503"/>
    </row>
    <row r="110" spans="1:17" ht="15.75" thickTop="1">
      <c r="A110" s="533"/>
      <c r="B110" s="545">
        <f>B35</f>
        <v>111</v>
      </c>
      <c r="C110" s="553"/>
      <c r="D110" s="553"/>
      <c r="E110" s="553"/>
      <c r="F110" s="553"/>
      <c r="G110" s="586"/>
      <c r="H110" s="586"/>
      <c r="I110" s="586"/>
      <c r="J110" s="586"/>
      <c r="K110" s="587"/>
      <c r="L110" s="588"/>
      <c r="M110" s="589"/>
      <c r="N110" s="1148"/>
      <c r="O110" s="1148"/>
      <c r="P110" s="45"/>
      <c r="Q110" s="503"/>
    </row>
    <row r="111" spans="1:17" ht="15.75" thickBot="1">
      <c r="A111" s="533"/>
      <c r="B111" s="568"/>
      <c r="C111" s="559"/>
      <c r="D111" s="559"/>
      <c r="E111" s="559"/>
      <c r="F111" s="559"/>
      <c r="G111" s="590"/>
      <c r="H111" s="590"/>
      <c r="I111" s="590"/>
      <c r="J111" s="590"/>
      <c r="K111" s="590"/>
      <c r="L111" s="590"/>
      <c r="M111" s="591"/>
      <c r="N111" s="1149"/>
      <c r="O111" s="1149"/>
      <c r="P111" s="45"/>
      <c r="Q111" s="503"/>
    </row>
    <row r="112" spans="1:17" ht="15" thickTop="1">
      <c r="A112" s="674"/>
      <c r="B112" s="537">
        <f>B36</f>
        <v>111</v>
      </c>
      <c r="C112" s="522"/>
      <c r="D112" s="522"/>
      <c r="E112" s="522"/>
      <c r="F112" s="522"/>
      <c r="G112" s="582"/>
      <c r="H112" s="582"/>
      <c r="I112" s="582"/>
      <c r="J112" s="582"/>
      <c r="K112" s="583"/>
      <c r="L112" s="584"/>
      <c r="M112" s="585"/>
      <c r="N112" s="1148"/>
      <c r="O112" s="1148"/>
      <c r="P112" s="45"/>
      <c r="Q112" s="503"/>
    </row>
    <row r="113" spans="1:17" ht="15.75" thickBot="1">
      <c r="A113" s="533"/>
      <c r="B113" s="542"/>
      <c r="C113" s="569"/>
      <c r="D113" s="569"/>
      <c r="E113" s="569"/>
      <c r="F113" s="569"/>
      <c r="G113" s="535"/>
      <c r="H113" s="535"/>
      <c r="I113" s="535"/>
      <c r="J113" s="535"/>
      <c r="K113" s="535"/>
      <c r="L113" s="535"/>
      <c r="M113" s="536"/>
      <c r="N113" s="1149"/>
      <c r="O113" s="1149"/>
      <c r="P113" s="45"/>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2558</v>
      </c>
      <c r="B116" s="527" t="s">
        <v>2786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v>
      </c>
      <c r="J116" s="528" t="str">
        <f t="shared" si="26"/>
        <v>(含)-</v>
      </c>
      <c r="K116" s="528" t="str">
        <f t="shared" si="26"/>
        <v>(含)-</v>
      </c>
      <c r="L116" s="528" t="str">
        <f t="shared" si="26"/>
        <v>(含)-</v>
      </c>
      <c r="M116" s="528" t="str">
        <f t="shared" si="26"/>
        <v>(含)-</v>
      </c>
      <c r="N116" s="1148"/>
      <c r="O116" s="1148"/>
      <c r="P116" s="45"/>
      <c r="Q116" s="503"/>
    </row>
    <row r="117" spans="1:17" ht="15">
      <c r="A117" s="533"/>
      <c r="B117" s="545"/>
      <c r="C117" s="594">
        <v>0</v>
      </c>
      <c r="D117" s="594">
        <f>C117+20000</f>
        <v>20000</v>
      </c>
      <c r="E117" s="594">
        <f t="shared" ref="E117:I117" si="27">D117+20000</f>
        <v>40000</v>
      </c>
      <c r="F117" s="594">
        <f t="shared" si="27"/>
        <v>60000</v>
      </c>
      <c r="G117" s="594">
        <f t="shared" si="27"/>
        <v>80000</v>
      </c>
      <c r="H117" s="594">
        <f t="shared" si="27"/>
        <v>100000</v>
      </c>
      <c r="I117" s="594">
        <f t="shared" si="27"/>
        <v>120000</v>
      </c>
      <c r="J117" s="595"/>
      <c r="K117" s="595"/>
      <c r="L117" s="596"/>
      <c r="M117" s="597"/>
      <c r="N117" s="1148"/>
      <c r="O117" s="1148"/>
      <c r="P117" s="45"/>
      <c r="Q117" s="503"/>
    </row>
    <row r="118" spans="1:17" ht="15.75" thickBot="1">
      <c r="A118" s="533"/>
      <c r="B118" s="542"/>
      <c r="C118" s="569">
        <v>100</v>
      </c>
      <c r="D118" s="590">
        <f>C118+1</f>
        <v>101</v>
      </c>
      <c r="E118" s="590">
        <f t="shared" ref="E118:I118" si="28">D118+1</f>
        <v>102</v>
      </c>
      <c r="F118" s="590">
        <f t="shared" si="28"/>
        <v>103</v>
      </c>
      <c r="G118" s="590">
        <f t="shared" si="28"/>
        <v>104</v>
      </c>
      <c r="H118" s="590">
        <f t="shared" si="28"/>
        <v>105</v>
      </c>
      <c r="I118" s="590">
        <f t="shared" si="28"/>
        <v>106</v>
      </c>
      <c r="J118" s="590"/>
      <c r="K118" s="590"/>
      <c r="L118" s="590"/>
      <c r="M118" s="591"/>
      <c r="N118" s="1149"/>
      <c r="O118" s="1149"/>
      <c r="P118" s="45"/>
      <c r="Q118" s="503"/>
    </row>
    <row r="119" spans="1:17" ht="15" thickTop="1">
      <c r="A119" s="598"/>
      <c r="B119" s="537" t="s">
        <v>2787</v>
      </c>
      <c r="C119" s="582" t="s">
        <v>3129</v>
      </c>
      <c r="D119" s="582" t="s">
        <v>3130</v>
      </c>
      <c r="E119" s="582" t="s">
        <v>3131</v>
      </c>
      <c r="F119" s="582" t="s">
        <v>3132</v>
      </c>
      <c r="G119" s="582"/>
      <c r="H119" s="582"/>
      <c r="I119" s="582"/>
      <c r="J119" s="582"/>
      <c r="K119" s="583"/>
      <c r="L119" s="584"/>
      <c r="M119" s="585"/>
      <c r="N119" s="1148"/>
      <c r="O119" s="1148"/>
      <c r="P119" s="45"/>
      <c r="Q119" s="503"/>
    </row>
    <row r="120" spans="1:17" ht="15.75" thickBot="1">
      <c r="A120" s="533"/>
      <c r="B120" s="542"/>
      <c r="C120" s="543">
        <v>100</v>
      </c>
      <c r="D120" s="543">
        <f t="shared" ref="D120:M120" si="29">C120-$K39</f>
        <v>98</v>
      </c>
      <c r="E120" s="543">
        <f t="shared" si="29"/>
        <v>96</v>
      </c>
      <c r="F120" s="543">
        <f t="shared" si="29"/>
        <v>94</v>
      </c>
      <c r="G120" s="543">
        <f t="shared" si="29"/>
        <v>92</v>
      </c>
      <c r="H120" s="543">
        <f t="shared" si="29"/>
        <v>90</v>
      </c>
      <c r="I120" s="543">
        <f t="shared" si="29"/>
        <v>88</v>
      </c>
      <c r="J120" s="543">
        <f t="shared" si="29"/>
        <v>86</v>
      </c>
      <c r="K120" s="543">
        <f t="shared" si="29"/>
        <v>84</v>
      </c>
      <c r="L120" s="543">
        <f t="shared" si="29"/>
        <v>82</v>
      </c>
      <c r="M120" s="544">
        <f t="shared" si="29"/>
        <v>80</v>
      </c>
      <c r="N120" s="1149"/>
      <c r="O120" s="1149"/>
      <c r="P120" s="45"/>
      <c r="Q120" s="503"/>
    </row>
    <row r="121" spans="1:17" ht="15" thickTop="1">
      <c r="A121" s="598"/>
      <c r="B121" s="537" t="s">
        <v>2788</v>
      </c>
      <c r="C121" s="553" t="s">
        <v>3133</v>
      </c>
      <c r="D121" s="553" t="s">
        <v>3134</v>
      </c>
      <c r="E121" s="553" t="s">
        <v>3135</v>
      </c>
      <c r="F121" s="582"/>
      <c r="G121" s="582"/>
      <c r="H121" s="582"/>
      <c r="I121" s="582"/>
      <c r="J121" s="582"/>
      <c r="K121" s="583"/>
      <c r="L121" s="584"/>
      <c r="M121" s="585"/>
      <c r="N121" s="1148"/>
      <c r="O121" s="1148"/>
      <c r="P121" s="45"/>
      <c r="Q121" s="503"/>
    </row>
    <row r="122" spans="1:17" ht="15.75" thickBot="1">
      <c r="A122" s="533"/>
      <c r="B122" s="542"/>
      <c r="C122" s="543">
        <v>100</v>
      </c>
      <c r="D122" s="543">
        <f t="shared" ref="D122:M122" si="30">C122-$K40</f>
        <v>98</v>
      </c>
      <c r="E122" s="543">
        <f t="shared" si="30"/>
        <v>96</v>
      </c>
      <c r="F122" s="543">
        <f t="shared" si="30"/>
        <v>94</v>
      </c>
      <c r="G122" s="543">
        <f t="shared" si="30"/>
        <v>92</v>
      </c>
      <c r="H122" s="543">
        <f t="shared" si="30"/>
        <v>90</v>
      </c>
      <c r="I122" s="543">
        <f t="shared" si="30"/>
        <v>88</v>
      </c>
      <c r="J122" s="543">
        <f t="shared" si="30"/>
        <v>86</v>
      </c>
      <c r="K122" s="543">
        <f t="shared" si="30"/>
        <v>84</v>
      </c>
      <c r="L122" s="543">
        <f t="shared" si="30"/>
        <v>82</v>
      </c>
      <c r="M122" s="544">
        <f t="shared" si="30"/>
        <v>80</v>
      </c>
      <c r="N122" s="1149"/>
      <c r="O122" s="1149"/>
      <c r="P122" s="45"/>
      <c r="Q122" s="503"/>
    </row>
    <row r="123" spans="1:17" s="470" customFormat="1" ht="15" thickTop="1">
      <c r="A123" s="592"/>
      <c r="B123" s="537" t="s">
        <v>2789</v>
      </c>
      <c r="C123" s="2946" t="s">
        <v>3136</v>
      </c>
      <c r="D123" s="2946" t="s">
        <v>3137</v>
      </c>
      <c r="E123" s="2946" t="s">
        <v>3138</v>
      </c>
      <c r="F123" s="2946" t="s">
        <v>3139</v>
      </c>
      <c r="G123" s="2946" t="s">
        <v>3140</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0"/>
      <c r="O124" s="1150"/>
      <c r="P124" s="557"/>
      <c r="Q124" s="558"/>
    </row>
    <row r="125" spans="1:17" ht="15" thickTop="1">
      <c r="A125" s="598"/>
      <c r="B125" s="537" t="s">
        <v>2790</v>
      </c>
      <c r="C125" s="553" t="s">
        <v>3141</v>
      </c>
      <c r="D125" s="553" t="s">
        <v>3142</v>
      </c>
      <c r="E125" s="582" t="s">
        <v>3143</v>
      </c>
      <c r="F125" s="582" t="s">
        <v>3144</v>
      </c>
      <c r="G125" s="582" t="s">
        <v>3145</v>
      </c>
      <c r="H125" s="582"/>
      <c r="I125" s="582"/>
      <c r="J125" s="582"/>
      <c r="K125" s="583"/>
      <c r="L125" s="584"/>
      <c r="M125" s="585"/>
      <c r="N125" s="1148"/>
      <c r="O125" s="1148"/>
      <c r="P125" s="45"/>
      <c r="Q125" s="503"/>
    </row>
    <row r="126" spans="1:17" ht="15.75" thickBot="1">
      <c r="A126" s="533"/>
      <c r="B126" s="542"/>
      <c r="C126" s="543">
        <v>100</v>
      </c>
      <c r="D126" s="543">
        <f t="shared" ref="D126:M126" si="32">C126-$K42</f>
        <v>98</v>
      </c>
      <c r="E126" s="543">
        <f t="shared" si="32"/>
        <v>96</v>
      </c>
      <c r="F126" s="543">
        <f t="shared" si="32"/>
        <v>94</v>
      </c>
      <c r="G126" s="543">
        <f t="shared" si="32"/>
        <v>92</v>
      </c>
      <c r="H126" s="543">
        <f t="shared" si="32"/>
        <v>90</v>
      </c>
      <c r="I126" s="543">
        <f t="shared" si="32"/>
        <v>88</v>
      </c>
      <c r="J126" s="543">
        <f t="shared" si="32"/>
        <v>86</v>
      </c>
      <c r="K126" s="543">
        <f t="shared" si="32"/>
        <v>84</v>
      </c>
      <c r="L126" s="543">
        <f t="shared" si="32"/>
        <v>82</v>
      </c>
      <c r="M126" s="544">
        <f t="shared" si="32"/>
        <v>80</v>
      </c>
      <c r="N126" s="1149"/>
      <c r="O126" s="1149"/>
      <c r="P126" s="45"/>
      <c r="Q126" s="503"/>
    </row>
    <row r="127" spans="1:17" ht="15" thickTop="1">
      <c r="A127" s="598"/>
      <c r="B127" s="537">
        <f>B43</f>
        <v>111</v>
      </c>
      <c r="C127" s="553"/>
      <c r="D127" s="553"/>
      <c r="E127" s="553"/>
      <c r="F127" s="553"/>
      <c r="G127" s="553"/>
      <c r="H127" s="582"/>
      <c r="I127" s="582"/>
      <c r="J127" s="582"/>
      <c r="K127" s="583"/>
      <c r="L127" s="584"/>
      <c r="M127" s="585"/>
      <c r="N127" s="1148"/>
      <c r="O127" s="1148"/>
      <c r="P127" s="45"/>
      <c r="Q127" s="503"/>
    </row>
    <row r="128" spans="1:17" ht="15.75" thickBot="1">
      <c r="A128" s="533"/>
      <c r="B128" s="542"/>
      <c r="C128" s="559"/>
      <c r="D128" s="559"/>
      <c r="E128" s="559"/>
      <c r="F128" s="559"/>
      <c r="G128" s="535"/>
      <c r="H128" s="535"/>
      <c r="I128" s="535"/>
      <c r="J128" s="535"/>
      <c r="K128" s="535"/>
      <c r="L128" s="535"/>
      <c r="M128" s="536"/>
      <c r="N128" s="1149"/>
      <c r="O128" s="1149"/>
      <c r="P128" s="45"/>
      <c r="Q128" s="503"/>
    </row>
    <row r="129" spans="1:17" ht="15" thickTop="1">
      <c r="A129" s="598"/>
      <c r="B129" s="537">
        <f>B44</f>
        <v>111</v>
      </c>
      <c r="C129" s="522"/>
      <c r="D129" s="522"/>
      <c r="E129" s="522"/>
      <c r="F129" s="522"/>
      <c r="G129" s="582"/>
      <c r="H129" s="582"/>
      <c r="I129" s="582"/>
      <c r="J129" s="582"/>
      <c r="K129" s="583"/>
      <c r="L129" s="584"/>
      <c r="M129" s="585"/>
      <c r="N129" s="1148"/>
      <c r="O129" s="1148"/>
      <c r="P129" s="45"/>
      <c r="Q129" s="503"/>
    </row>
    <row r="130" spans="1:17" ht="15.75" thickBot="1">
      <c r="A130" s="533"/>
      <c r="B130" s="542"/>
      <c r="C130" s="569"/>
      <c r="D130" s="569"/>
      <c r="E130" s="569"/>
      <c r="F130" s="569"/>
      <c r="G130" s="535"/>
      <c r="H130" s="535"/>
      <c r="I130" s="535"/>
      <c r="J130" s="535"/>
      <c r="K130" s="535"/>
      <c r="L130" s="535"/>
      <c r="M130" s="536"/>
      <c r="N130" s="1149"/>
      <c r="O130" s="1149"/>
      <c r="P130" s="45"/>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dimension ref="A1:AS42"/>
  <sheetViews>
    <sheetView zoomScale="70" zoomScaleNormal="70" workbookViewId="0">
      <selection activeCell="K47" sqref="K47"/>
    </sheetView>
  </sheetViews>
  <sheetFormatPr defaultRowHeight="13.5"/>
  <cols>
    <col min="1" max="1" width="36.875" style="1629" customWidth="1"/>
    <col min="2" max="2" width="7.125" style="1629" customWidth="1"/>
    <col min="3" max="3" width="9.625" style="1629" customWidth="1"/>
    <col min="4" max="4" width="7.125" style="1629" customWidth="1"/>
    <col min="5" max="5" width="5.25" style="1629" hidden="1" customWidth="1"/>
    <col min="6" max="6" width="16.375" style="1629" customWidth="1"/>
    <col min="7" max="7" width="9" style="1629" hidden="1" customWidth="1"/>
    <col min="8" max="8" width="24.125" style="1629" hidden="1" customWidth="1"/>
    <col min="9" max="9" width="20.875" style="1629" customWidth="1"/>
    <col min="10" max="11" width="15.875" style="1629" customWidth="1"/>
    <col min="12" max="12" width="9.625" style="1629" customWidth="1"/>
    <col min="13" max="13" width="9" style="1629" hidden="1" customWidth="1"/>
    <col min="14" max="14" width="36.875" style="1629" hidden="1" customWidth="1"/>
    <col min="15" max="15" width="44.25" style="1629" hidden="1" customWidth="1"/>
    <col min="16" max="16" width="11.375" style="1629" hidden="1" customWidth="1"/>
    <col min="17" max="18" width="17.75" style="1629" hidden="1" customWidth="1"/>
    <col min="19" max="19" width="79.375" style="1629" hidden="1" customWidth="1"/>
    <col min="20" max="20" width="57.25" style="1629" hidden="1" customWidth="1"/>
    <col min="21" max="21" width="42.625" style="1629" hidden="1" customWidth="1"/>
    <col min="22" max="22" width="20.375" style="1629" hidden="1" customWidth="1"/>
    <col min="23" max="23" width="9" style="1629" hidden="1" customWidth="1"/>
    <col min="24" max="26" width="10.25" style="1629" hidden="1" customWidth="1"/>
    <col min="27" max="27" width="12.875" style="1629" customWidth="1"/>
    <col min="28" max="28" width="24.125" style="1629" hidden="1" customWidth="1"/>
    <col min="29" max="29" width="9" style="1629" hidden="1" customWidth="1"/>
    <col min="30" max="30" width="24.875" style="1629" customWidth="1"/>
    <col min="31" max="32" width="12.125" style="1629" hidden="1" customWidth="1"/>
    <col min="33" max="33" width="12.125" style="1629" customWidth="1"/>
    <col min="34" max="34" width="18.25" style="1629" hidden="1" customWidth="1"/>
    <col min="35" max="35" width="12" style="1629" customWidth="1"/>
    <col min="36" max="36" width="16.375" style="1629" hidden="1" customWidth="1"/>
    <col min="37" max="37" width="12.625" style="1629" customWidth="1"/>
    <col min="38" max="39" width="25" style="1629" hidden="1" customWidth="1"/>
    <col min="40" max="40" width="7.125" style="1629" customWidth="1"/>
    <col min="41" max="41" width="28" style="1629" customWidth="1"/>
    <col min="42" max="42" width="19.25" style="1629" customWidth="1"/>
    <col min="43" max="43" width="23" style="1629" customWidth="1"/>
    <col min="44" max="44" width="23" style="1629" hidden="1" customWidth="1"/>
    <col min="45" max="45" width="9" style="1629" customWidth="1"/>
    <col min="46" max="256" width="8.875" style="1629"/>
    <col min="257" max="257" width="122.375" style="1629" customWidth="1"/>
    <col min="258" max="258" width="7.125" style="1629" customWidth="1"/>
    <col min="259" max="259" width="15.875" style="1629" customWidth="1"/>
    <col min="260" max="260" width="7.125" style="1629" customWidth="1"/>
    <col min="261" max="261" width="5.25" style="1629" customWidth="1"/>
    <col min="262" max="262" width="63.375" style="1629" customWidth="1"/>
    <col min="263" max="263" width="9" style="1629" customWidth="1"/>
    <col min="264" max="264" width="24.125" style="1629" customWidth="1"/>
    <col min="265" max="265" width="78" style="1629" customWidth="1"/>
    <col min="266" max="267" width="15.875" style="1629" customWidth="1"/>
    <col min="268" max="268" width="19.375" style="1629" customWidth="1"/>
    <col min="269" max="269" width="9" style="1629" customWidth="1"/>
    <col min="270" max="270" width="36.875" style="1629" customWidth="1"/>
    <col min="271" max="271" width="44.25" style="1629" customWidth="1"/>
    <col min="272" max="272" width="11.375" style="1629" customWidth="1"/>
    <col min="273" max="274" width="17.75" style="1629" customWidth="1"/>
    <col min="275" max="275" width="79.375" style="1629" customWidth="1"/>
    <col min="276" max="276" width="57.25" style="1629" customWidth="1"/>
    <col min="277" max="277" width="42.625" style="1629" customWidth="1"/>
    <col min="278" max="278" width="20.375" style="1629" customWidth="1"/>
    <col min="279" max="279" width="9" style="1629" customWidth="1"/>
    <col min="280" max="283" width="10.25" style="1629" customWidth="1"/>
    <col min="284" max="284" width="24.125" style="1629" customWidth="1"/>
    <col min="285" max="285" width="9" style="1629" customWidth="1"/>
    <col min="286" max="286" width="102.75" style="1629" customWidth="1"/>
    <col min="287" max="289" width="12.125" style="1629" customWidth="1"/>
    <col min="290" max="291" width="18.25" style="1629" customWidth="1"/>
    <col min="292" max="293" width="16.375" style="1629" customWidth="1"/>
    <col min="294" max="295" width="25" style="1629" customWidth="1"/>
    <col min="296" max="296" width="7.125" style="1629" customWidth="1"/>
    <col min="297" max="297" width="28" style="1629" customWidth="1"/>
    <col min="298" max="298" width="19.25" style="1629" customWidth="1"/>
    <col min="299" max="300" width="23" style="1629" customWidth="1"/>
    <col min="301" max="301" width="9" style="1629" customWidth="1"/>
    <col min="302" max="512" width="8.875" style="1629"/>
    <col min="513" max="513" width="122.375" style="1629" customWidth="1"/>
    <col min="514" max="514" width="7.125" style="1629" customWidth="1"/>
    <col min="515" max="515" width="15.875" style="1629" customWidth="1"/>
    <col min="516" max="516" width="7.125" style="1629" customWidth="1"/>
    <col min="517" max="517" width="5.25" style="1629" customWidth="1"/>
    <col min="518" max="518" width="63.375" style="1629" customWidth="1"/>
    <col min="519" max="519" width="9" style="1629" customWidth="1"/>
    <col min="520" max="520" width="24.125" style="1629" customWidth="1"/>
    <col min="521" max="521" width="78" style="1629" customWidth="1"/>
    <col min="522" max="523" width="15.875" style="1629" customWidth="1"/>
    <col min="524" max="524" width="19.375" style="1629" customWidth="1"/>
    <col min="525" max="525" width="9" style="1629" customWidth="1"/>
    <col min="526" max="526" width="36.875" style="1629" customWidth="1"/>
    <col min="527" max="527" width="44.25" style="1629" customWidth="1"/>
    <col min="528" max="528" width="11.375" style="1629" customWidth="1"/>
    <col min="529" max="530" width="17.75" style="1629" customWidth="1"/>
    <col min="531" max="531" width="79.375" style="1629" customWidth="1"/>
    <col min="532" max="532" width="57.25" style="1629" customWidth="1"/>
    <col min="533" max="533" width="42.625" style="1629" customWidth="1"/>
    <col min="534" max="534" width="20.375" style="1629" customWidth="1"/>
    <col min="535" max="535" width="9" style="1629" customWidth="1"/>
    <col min="536" max="539" width="10.25" style="1629" customWidth="1"/>
    <col min="540" max="540" width="24.125" style="1629" customWidth="1"/>
    <col min="541" max="541" width="9" style="1629" customWidth="1"/>
    <col min="542" max="542" width="102.75" style="1629" customWidth="1"/>
    <col min="543" max="545" width="12.125" style="1629" customWidth="1"/>
    <col min="546" max="547" width="18.25" style="1629" customWidth="1"/>
    <col min="548" max="549" width="16.375" style="1629" customWidth="1"/>
    <col min="550" max="551" width="25" style="1629" customWidth="1"/>
    <col min="552" max="552" width="7.125" style="1629" customWidth="1"/>
    <col min="553" max="553" width="28" style="1629" customWidth="1"/>
    <col min="554" max="554" width="19.25" style="1629" customWidth="1"/>
    <col min="555" max="556" width="23" style="1629" customWidth="1"/>
    <col min="557" max="557" width="9" style="1629" customWidth="1"/>
    <col min="558" max="768" width="8.875" style="1629"/>
    <col min="769" max="769" width="122.375" style="1629" customWidth="1"/>
    <col min="770" max="770" width="7.125" style="1629" customWidth="1"/>
    <col min="771" max="771" width="15.875" style="1629" customWidth="1"/>
    <col min="772" max="772" width="7.125" style="1629" customWidth="1"/>
    <col min="773" max="773" width="5.25" style="1629" customWidth="1"/>
    <col min="774" max="774" width="63.375" style="1629" customWidth="1"/>
    <col min="775" max="775" width="9" style="1629" customWidth="1"/>
    <col min="776" max="776" width="24.125" style="1629" customWidth="1"/>
    <col min="777" max="777" width="78" style="1629" customWidth="1"/>
    <col min="778" max="779" width="15.875" style="1629" customWidth="1"/>
    <col min="780" max="780" width="19.375" style="1629" customWidth="1"/>
    <col min="781" max="781" width="9" style="1629" customWidth="1"/>
    <col min="782" max="782" width="36.875" style="1629" customWidth="1"/>
    <col min="783" max="783" width="44.25" style="1629" customWidth="1"/>
    <col min="784" max="784" width="11.375" style="1629" customWidth="1"/>
    <col min="785" max="786" width="17.75" style="1629" customWidth="1"/>
    <col min="787" max="787" width="79.375" style="1629" customWidth="1"/>
    <col min="788" max="788" width="57.25" style="1629" customWidth="1"/>
    <col min="789" max="789" width="42.625" style="1629" customWidth="1"/>
    <col min="790" max="790" width="20.375" style="1629" customWidth="1"/>
    <col min="791" max="791" width="9" style="1629" customWidth="1"/>
    <col min="792" max="795" width="10.25" style="1629" customWidth="1"/>
    <col min="796" max="796" width="24.125" style="1629" customWidth="1"/>
    <col min="797" max="797" width="9" style="1629" customWidth="1"/>
    <col min="798" max="798" width="102.75" style="1629" customWidth="1"/>
    <col min="799" max="801" width="12.125" style="1629" customWidth="1"/>
    <col min="802" max="803" width="18.25" style="1629" customWidth="1"/>
    <col min="804" max="805" width="16.375" style="1629" customWidth="1"/>
    <col min="806" max="807" width="25" style="1629" customWidth="1"/>
    <col min="808" max="808" width="7.125" style="1629" customWidth="1"/>
    <col min="809" max="809" width="28" style="1629" customWidth="1"/>
    <col min="810" max="810" width="19.25" style="1629" customWidth="1"/>
    <col min="811" max="812" width="23" style="1629" customWidth="1"/>
    <col min="813" max="813" width="9" style="1629" customWidth="1"/>
    <col min="814" max="1024" width="8.875" style="1629"/>
    <col min="1025" max="1025" width="122.375" style="1629" customWidth="1"/>
    <col min="1026" max="1026" width="7.125" style="1629" customWidth="1"/>
    <col min="1027" max="1027" width="15.875" style="1629" customWidth="1"/>
    <col min="1028" max="1028" width="7.125" style="1629" customWidth="1"/>
    <col min="1029" max="1029" width="5.25" style="1629" customWidth="1"/>
    <col min="1030" max="1030" width="63.375" style="1629" customWidth="1"/>
    <col min="1031" max="1031" width="9" style="1629" customWidth="1"/>
    <col min="1032" max="1032" width="24.125" style="1629" customWidth="1"/>
    <col min="1033" max="1033" width="78" style="1629" customWidth="1"/>
    <col min="1034" max="1035" width="15.875" style="1629" customWidth="1"/>
    <col min="1036" max="1036" width="19.375" style="1629" customWidth="1"/>
    <col min="1037" max="1037" width="9" style="1629" customWidth="1"/>
    <col min="1038" max="1038" width="36.875" style="1629" customWidth="1"/>
    <col min="1039" max="1039" width="44.25" style="1629" customWidth="1"/>
    <col min="1040" max="1040" width="11.375" style="1629" customWidth="1"/>
    <col min="1041" max="1042" width="17.75" style="1629" customWidth="1"/>
    <col min="1043" max="1043" width="79.375" style="1629" customWidth="1"/>
    <col min="1044" max="1044" width="57.25" style="1629" customWidth="1"/>
    <col min="1045" max="1045" width="42.625" style="1629" customWidth="1"/>
    <col min="1046" max="1046" width="20.375" style="1629" customWidth="1"/>
    <col min="1047" max="1047" width="9" style="1629" customWidth="1"/>
    <col min="1048" max="1051" width="10.25" style="1629" customWidth="1"/>
    <col min="1052" max="1052" width="24.125" style="1629" customWidth="1"/>
    <col min="1053" max="1053" width="9" style="1629" customWidth="1"/>
    <col min="1054" max="1054" width="102.75" style="1629" customWidth="1"/>
    <col min="1055" max="1057" width="12.125" style="1629" customWidth="1"/>
    <col min="1058" max="1059" width="18.25" style="1629" customWidth="1"/>
    <col min="1060" max="1061" width="16.375" style="1629" customWidth="1"/>
    <col min="1062" max="1063" width="25" style="1629" customWidth="1"/>
    <col min="1064" max="1064" width="7.125" style="1629" customWidth="1"/>
    <col min="1065" max="1065" width="28" style="1629" customWidth="1"/>
    <col min="1066" max="1066" width="19.25" style="1629" customWidth="1"/>
    <col min="1067" max="1068" width="23" style="1629" customWidth="1"/>
    <col min="1069" max="1069" width="9" style="1629" customWidth="1"/>
    <col min="1070" max="1280" width="8.875" style="1629"/>
    <col min="1281" max="1281" width="122.375" style="1629" customWidth="1"/>
    <col min="1282" max="1282" width="7.125" style="1629" customWidth="1"/>
    <col min="1283" max="1283" width="15.875" style="1629" customWidth="1"/>
    <col min="1284" max="1284" width="7.125" style="1629" customWidth="1"/>
    <col min="1285" max="1285" width="5.25" style="1629" customWidth="1"/>
    <col min="1286" max="1286" width="63.375" style="1629" customWidth="1"/>
    <col min="1287" max="1287" width="9" style="1629" customWidth="1"/>
    <col min="1288" max="1288" width="24.125" style="1629" customWidth="1"/>
    <col min="1289" max="1289" width="78" style="1629" customWidth="1"/>
    <col min="1290" max="1291" width="15.875" style="1629" customWidth="1"/>
    <col min="1292" max="1292" width="19.375" style="1629" customWidth="1"/>
    <col min="1293" max="1293" width="9" style="1629" customWidth="1"/>
    <col min="1294" max="1294" width="36.875" style="1629" customWidth="1"/>
    <col min="1295" max="1295" width="44.25" style="1629" customWidth="1"/>
    <col min="1296" max="1296" width="11.375" style="1629" customWidth="1"/>
    <col min="1297" max="1298" width="17.75" style="1629" customWidth="1"/>
    <col min="1299" max="1299" width="79.375" style="1629" customWidth="1"/>
    <col min="1300" max="1300" width="57.25" style="1629" customWidth="1"/>
    <col min="1301" max="1301" width="42.625" style="1629" customWidth="1"/>
    <col min="1302" max="1302" width="20.375" style="1629" customWidth="1"/>
    <col min="1303" max="1303" width="9" style="1629" customWidth="1"/>
    <col min="1304" max="1307" width="10.25" style="1629" customWidth="1"/>
    <col min="1308" max="1308" width="24.125" style="1629" customWidth="1"/>
    <col min="1309" max="1309" width="9" style="1629" customWidth="1"/>
    <col min="1310" max="1310" width="102.75" style="1629" customWidth="1"/>
    <col min="1311" max="1313" width="12.125" style="1629" customWidth="1"/>
    <col min="1314" max="1315" width="18.25" style="1629" customWidth="1"/>
    <col min="1316" max="1317" width="16.375" style="1629" customWidth="1"/>
    <col min="1318" max="1319" width="25" style="1629" customWidth="1"/>
    <col min="1320" max="1320" width="7.125" style="1629" customWidth="1"/>
    <col min="1321" max="1321" width="28" style="1629" customWidth="1"/>
    <col min="1322" max="1322" width="19.25" style="1629" customWidth="1"/>
    <col min="1323" max="1324" width="23" style="1629" customWidth="1"/>
    <col min="1325" max="1325" width="9" style="1629" customWidth="1"/>
    <col min="1326" max="1536" width="8.875" style="1629"/>
    <col min="1537" max="1537" width="122.375" style="1629" customWidth="1"/>
    <col min="1538" max="1538" width="7.125" style="1629" customWidth="1"/>
    <col min="1539" max="1539" width="15.875" style="1629" customWidth="1"/>
    <col min="1540" max="1540" width="7.125" style="1629" customWidth="1"/>
    <col min="1541" max="1541" width="5.25" style="1629" customWidth="1"/>
    <col min="1542" max="1542" width="63.375" style="1629" customWidth="1"/>
    <col min="1543" max="1543" width="9" style="1629" customWidth="1"/>
    <col min="1544" max="1544" width="24.125" style="1629" customWidth="1"/>
    <col min="1545" max="1545" width="78" style="1629" customWidth="1"/>
    <col min="1546" max="1547" width="15.875" style="1629" customWidth="1"/>
    <col min="1548" max="1548" width="19.375" style="1629" customWidth="1"/>
    <col min="1549" max="1549" width="9" style="1629" customWidth="1"/>
    <col min="1550" max="1550" width="36.875" style="1629" customWidth="1"/>
    <col min="1551" max="1551" width="44.25" style="1629" customWidth="1"/>
    <col min="1552" max="1552" width="11.375" style="1629" customWidth="1"/>
    <col min="1553" max="1554" width="17.75" style="1629" customWidth="1"/>
    <col min="1555" max="1555" width="79.375" style="1629" customWidth="1"/>
    <col min="1556" max="1556" width="57.25" style="1629" customWidth="1"/>
    <col min="1557" max="1557" width="42.625" style="1629" customWidth="1"/>
    <col min="1558" max="1558" width="20.375" style="1629" customWidth="1"/>
    <col min="1559" max="1559" width="9" style="1629" customWidth="1"/>
    <col min="1560" max="1563" width="10.25" style="1629" customWidth="1"/>
    <col min="1564" max="1564" width="24.125" style="1629" customWidth="1"/>
    <col min="1565" max="1565" width="9" style="1629" customWidth="1"/>
    <col min="1566" max="1566" width="102.75" style="1629" customWidth="1"/>
    <col min="1567" max="1569" width="12.125" style="1629" customWidth="1"/>
    <col min="1570" max="1571" width="18.25" style="1629" customWidth="1"/>
    <col min="1572" max="1573" width="16.375" style="1629" customWidth="1"/>
    <col min="1574" max="1575" width="25" style="1629" customWidth="1"/>
    <col min="1576" max="1576" width="7.125" style="1629" customWidth="1"/>
    <col min="1577" max="1577" width="28" style="1629" customWidth="1"/>
    <col min="1578" max="1578" width="19.25" style="1629" customWidth="1"/>
    <col min="1579" max="1580" width="23" style="1629" customWidth="1"/>
    <col min="1581" max="1581" width="9" style="1629" customWidth="1"/>
    <col min="1582" max="1792" width="8.875" style="1629"/>
    <col min="1793" max="1793" width="122.375" style="1629" customWidth="1"/>
    <col min="1794" max="1794" width="7.125" style="1629" customWidth="1"/>
    <col min="1795" max="1795" width="15.875" style="1629" customWidth="1"/>
    <col min="1796" max="1796" width="7.125" style="1629" customWidth="1"/>
    <col min="1797" max="1797" width="5.25" style="1629" customWidth="1"/>
    <col min="1798" max="1798" width="63.375" style="1629" customWidth="1"/>
    <col min="1799" max="1799" width="9" style="1629" customWidth="1"/>
    <col min="1800" max="1800" width="24.125" style="1629" customWidth="1"/>
    <col min="1801" max="1801" width="78" style="1629" customWidth="1"/>
    <col min="1802" max="1803" width="15.875" style="1629" customWidth="1"/>
    <col min="1804" max="1804" width="19.375" style="1629" customWidth="1"/>
    <col min="1805" max="1805" width="9" style="1629" customWidth="1"/>
    <col min="1806" max="1806" width="36.875" style="1629" customWidth="1"/>
    <col min="1807" max="1807" width="44.25" style="1629" customWidth="1"/>
    <col min="1808" max="1808" width="11.375" style="1629" customWidth="1"/>
    <col min="1809" max="1810" width="17.75" style="1629" customWidth="1"/>
    <col min="1811" max="1811" width="79.375" style="1629" customWidth="1"/>
    <col min="1812" max="1812" width="57.25" style="1629" customWidth="1"/>
    <col min="1813" max="1813" width="42.625" style="1629" customWidth="1"/>
    <col min="1814" max="1814" width="20.375" style="1629" customWidth="1"/>
    <col min="1815" max="1815" width="9" style="1629" customWidth="1"/>
    <col min="1816" max="1819" width="10.25" style="1629" customWidth="1"/>
    <col min="1820" max="1820" width="24.125" style="1629" customWidth="1"/>
    <col min="1821" max="1821" width="9" style="1629" customWidth="1"/>
    <col min="1822" max="1822" width="102.75" style="1629" customWidth="1"/>
    <col min="1823" max="1825" width="12.125" style="1629" customWidth="1"/>
    <col min="1826" max="1827" width="18.25" style="1629" customWidth="1"/>
    <col min="1828" max="1829" width="16.375" style="1629" customWidth="1"/>
    <col min="1830" max="1831" width="25" style="1629" customWidth="1"/>
    <col min="1832" max="1832" width="7.125" style="1629" customWidth="1"/>
    <col min="1833" max="1833" width="28" style="1629" customWidth="1"/>
    <col min="1834" max="1834" width="19.25" style="1629" customWidth="1"/>
    <col min="1835" max="1836" width="23" style="1629" customWidth="1"/>
    <col min="1837" max="1837" width="9" style="1629" customWidth="1"/>
    <col min="1838" max="2048" width="8.875" style="1629"/>
    <col min="2049" max="2049" width="122.375" style="1629" customWidth="1"/>
    <col min="2050" max="2050" width="7.125" style="1629" customWidth="1"/>
    <col min="2051" max="2051" width="15.875" style="1629" customWidth="1"/>
    <col min="2052" max="2052" width="7.125" style="1629" customWidth="1"/>
    <col min="2053" max="2053" width="5.25" style="1629" customWidth="1"/>
    <col min="2054" max="2054" width="63.375" style="1629" customWidth="1"/>
    <col min="2055" max="2055" width="9" style="1629" customWidth="1"/>
    <col min="2056" max="2056" width="24.125" style="1629" customWidth="1"/>
    <col min="2057" max="2057" width="78" style="1629" customWidth="1"/>
    <col min="2058" max="2059" width="15.875" style="1629" customWidth="1"/>
    <col min="2060" max="2060" width="19.375" style="1629" customWidth="1"/>
    <col min="2061" max="2061" width="9" style="1629" customWidth="1"/>
    <col min="2062" max="2062" width="36.875" style="1629" customWidth="1"/>
    <col min="2063" max="2063" width="44.25" style="1629" customWidth="1"/>
    <col min="2064" max="2064" width="11.375" style="1629" customWidth="1"/>
    <col min="2065" max="2066" width="17.75" style="1629" customWidth="1"/>
    <col min="2067" max="2067" width="79.375" style="1629" customWidth="1"/>
    <col min="2068" max="2068" width="57.25" style="1629" customWidth="1"/>
    <col min="2069" max="2069" width="42.625" style="1629" customWidth="1"/>
    <col min="2070" max="2070" width="20.375" style="1629" customWidth="1"/>
    <col min="2071" max="2071" width="9" style="1629" customWidth="1"/>
    <col min="2072" max="2075" width="10.25" style="1629" customWidth="1"/>
    <col min="2076" max="2076" width="24.125" style="1629" customWidth="1"/>
    <col min="2077" max="2077" width="9" style="1629" customWidth="1"/>
    <col min="2078" max="2078" width="102.75" style="1629" customWidth="1"/>
    <col min="2079" max="2081" width="12.125" style="1629" customWidth="1"/>
    <col min="2082" max="2083" width="18.25" style="1629" customWidth="1"/>
    <col min="2084" max="2085" width="16.375" style="1629" customWidth="1"/>
    <col min="2086" max="2087" width="25" style="1629" customWidth="1"/>
    <col min="2088" max="2088" width="7.125" style="1629" customWidth="1"/>
    <col min="2089" max="2089" width="28" style="1629" customWidth="1"/>
    <col min="2090" max="2090" width="19.25" style="1629" customWidth="1"/>
    <col min="2091" max="2092" width="23" style="1629" customWidth="1"/>
    <col min="2093" max="2093" width="9" style="1629" customWidth="1"/>
    <col min="2094" max="2304" width="8.875" style="1629"/>
    <col min="2305" max="2305" width="122.375" style="1629" customWidth="1"/>
    <col min="2306" max="2306" width="7.125" style="1629" customWidth="1"/>
    <col min="2307" max="2307" width="15.875" style="1629" customWidth="1"/>
    <col min="2308" max="2308" width="7.125" style="1629" customWidth="1"/>
    <col min="2309" max="2309" width="5.25" style="1629" customWidth="1"/>
    <col min="2310" max="2310" width="63.375" style="1629" customWidth="1"/>
    <col min="2311" max="2311" width="9" style="1629" customWidth="1"/>
    <col min="2312" max="2312" width="24.125" style="1629" customWidth="1"/>
    <col min="2313" max="2313" width="78" style="1629" customWidth="1"/>
    <col min="2314" max="2315" width="15.875" style="1629" customWidth="1"/>
    <col min="2316" max="2316" width="19.375" style="1629" customWidth="1"/>
    <col min="2317" max="2317" width="9" style="1629" customWidth="1"/>
    <col min="2318" max="2318" width="36.875" style="1629" customWidth="1"/>
    <col min="2319" max="2319" width="44.25" style="1629" customWidth="1"/>
    <col min="2320" max="2320" width="11.375" style="1629" customWidth="1"/>
    <col min="2321" max="2322" width="17.75" style="1629" customWidth="1"/>
    <col min="2323" max="2323" width="79.375" style="1629" customWidth="1"/>
    <col min="2324" max="2324" width="57.25" style="1629" customWidth="1"/>
    <col min="2325" max="2325" width="42.625" style="1629" customWidth="1"/>
    <col min="2326" max="2326" width="20.375" style="1629" customWidth="1"/>
    <col min="2327" max="2327" width="9" style="1629" customWidth="1"/>
    <col min="2328" max="2331" width="10.25" style="1629" customWidth="1"/>
    <col min="2332" max="2332" width="24.125" style="1629" customWidth="1"/>
    <col min="2333" max="2333" width="9" style="1629" customWidth="1"/>
    <col min="2334" max="2334" width="102.75" style="1629" customWidth="1"/>
    <col min="2335" max="2337" width="12.125" style="1629" customWidth="1"/>
    <col min="2338" max="2339" width="18.25" style="1629" customWidth="1"/>
    <col min="2340" max="2341" width="16.375" style="1629" customWidth="1"/>
    <col min="2342" max="2343" width="25" style="1629" customWidth="1"/>
    <col min="2344" max="2344" width="7.125" style="1629" customWidth="1"/>
    <col min="2345" max="2345" width="28" style="1629" customWidth="1"/>
    <col min="2346" max="2346" width="19.25" style="1629" customWidth="1"/>
    <col min="2347" max="2348" width="23" style="1629" customWidth="1"/>
    <col min="2349" max="2349" width="9" style="1629" customWidth="1"/>
    <col min="2350" max="2560" width="8.875" style="1629"/>
    <col min="2561" max="2561" width="122.375" style="1629" customWidth="1"/>
    <col min="2562" max="2562" width="7.125" style="1629" customWidth="1"/>
    <col min="2563" max="2563" width="15.875" style="1629" customWidth="1"/>
    <col min="2564" max="2564" width="7.125" style="1629" customWidth="1"/>
    <col min="2565" max="2565" width="5.25" style="1629" customWidth="1"/>
    <col min="2566" max="2566" width="63.375" style="1629" customWidth="1"/>
    <col min="2567" max="2567" width="9" style="1629" customWidth="1"/>
    <col min="2568" max="2568" width="24.125" style="1629" customWidth="1"/>
    <col min="2569" max="2569" width="78" style="1629" customWidth="1"/>
    <col min="2570" max="2571" width="15.875" style="1629" customWidth="1"/>
    <col min="2572" max="2572" width="19.375" style="1629" customWidth="1"/>
    <col min="2573" max="2573" width="9" style="1629" customWidth="1"/>
    <col min="2574" max="2574" width="36.875" style="1629" customWidth="1"/>
    <col min="2575" max="2575" width="44.25" style="1629" customWidth="1"/>
    <col min="2576" max="2576" width="11.375" style="1629" customWidth="1"/>
    <col min="2577" max="2578" width="17.75" style="1629" customWidth="1"/>
    <col min="2579" max="2579" width="79.375" style="1629" customWidth="1"/>
    <col min="2580" max="2580" width="57.25" style="1629" customWidth="1"/>
    <col min="2581" max="2581" width="42.625" style="1629" customWidth="1"/>
    <col min="2582" max="2582" width="20.375" style="1629" customWidth="1"/>
    <col min="2583" max="2583" width="9" style="1629" customWidth="1"/>
    <col min="2584" max="2587" width="10.25" style="1629" customWidth="1"/>
    <col min="2588" max="2588" width="24.125" style="1629" customWidth="1"/>
    <col min="2589" max="2589" width="9" style="1629" customWidth="1"/>
    <col min="2590" max="2590" width="102.75" style="1629" customWidth="1"/>
    <col min="2591" max="2593" width="12.125" style="1629" customWidth="1"/>
    <col min="2594" max="2595" width="18.25" style="1629" customWidth="1"/>
    <col min="2596" max="2597" width="16.375" style="1629" customWidth="1"/>
    <col min="2598" max="2599" width="25" style="1629" customWidth="1"/>
    <col min="2600" max="2600" width="7.125" style="1629" customWidth="1"/>
    <col min="2601" max="2601" width="28" style="1629" customWidth="1"/>
    <col min="2602" max="2602" width="19.25" style="1629" customWidth="1"/>
    <col min="2603" max="2604" width="23" style="1629" customWidth="1"/>
    <col min="2605" max="2605" width="9" style="1629" customWidth="1"/>
    <col min="2606" max="2816" width="8.875" style="1629"/>
    <col min="2817" max="2817" width="122.375" style="1629" customWidth="1"/>
    <col min="2818" max="2818" width="7.125" style="1629" customWidth="1"/>
    <col min="2819" max="2819" width="15.875" style="1629" customWidth="1"/>
    <col min="2820" max="2820" width="7.125" style="1629" customWidth="1"/>
    <col min="2821" max="2821" width="5.25" style="1629" customWidth="1"/>
    <col min="2822" max="2822" width="63.375" style="1629" customWidth="1"/>
    <col min="2823" max="2823" width="9" style="1629" customWidth="1"/>
    <col min="2824" max="2824" width="24.125" style="1629" customWidth="1"/>
    <col min="2825" max="2825" width="78" style="1629" customWidth="1"/>
    <col min="2826" max="2827" width="15.875" style="1629" customWidth="1"/>
    <col min="2828" max="2828" width="19.375" style="1629" customWidth="1"/>
    <col min="2829" max="2829" width="9" style="1629" customWidth="1"/>
    <col min="2830" max="2830" width="36.875" style="1629" customWidth="1"/>
    <col min="2831" max="2831" width="44.25" style="1629" customWidth="1"/>
    <col min="2832" max="2832" width="11.375" style="1629" customWidth="1"/>
    <col min="2833" max="2834" width="17.75" style="1629" customWidth="1"/>
    <col min="2835" max="2835" width="79.375" style="1629" customWidth="1"/>
    <col min="2836" max="2836" width="57.25" style="1629" customWidth="1"/>
    <col min="2837" max="2837" width="42.625" style="1629" customWidth="1"/>
    <col min="2838" max="2838" width="20.375" style="1629" customWidth="1"/>
    <col min="2839" max="2839" width="9" style="1629" customWidth="1"/>
    <col min="2840" max="2843" width="10.25" style="1629" customWidth="1"/>
    <col min="2844" max="2844" width="24.125" style="1629" customWidth="1"/>
    <col min="2845" max="2845" width="9" style="1629" customWidth="1"/>
    <col min="2846" max="2846" width="102.75" style="1629" customWidth="1"/>
    <col min="2847" max="2849" width="12.125" style="1629" customWidth="1"/>
    <col min="2850" max="2851" width="18.25" style="1629" customWidth="1"/>
    <col min="2852" max="2853" width="16.375" style="1629" customWidth="1"/>
    <col min="2854" max="2855" width="25" style="1629" customWidth="1"/>
    <col min="2856" max="2856" width="7.125" style="1629" customWidth="1"/>
    <col min="2857" max="2857" width="28" style="1629" customWidth="1"/>
    <col min="2858" max="2858" width="19.25" style="1629" customWidth="1"/>
    <col min="2859" max="2860" width="23" style="1629" customWidth="1"/>
    <col min="2861" max="2861" width="9" style="1629" customWidth="1"/>
    <col min="2862" max="3072" width="8.875" style="1629"/>
    <col min="3073" max="3073" width="122.375" style="1629" customWidth="1"/>
    <col min="3074" max="3074" width="7.125" style="1629" customWidth="1"/>
    <col min="3075" max="3075" width="15.875" style="1629" customWidth="1"/>
    <col min="3076" max="3076" width="7.125" style="1629" customWidth="1"/>
    <col min="3077" max="3077" width="5.25" style="1629" customWidth="1"/>
    <col min="3078" max="3078" width="63.375" style="1629" customWidth="1"/>
    <col min="3079" max="3079" width="9" style="1629" customWidth="1"/>
    <col min="3080" max="3080" width="24.125" style="1629" customWidth="1"/>
    <col min="3081" max="3081" width="78" style="1629" customWidth="1"/>
    <col min="3082" max="3083" width="15.875" style="1629" customWidth="1"/>
    <col min="3084" max="3084" width="19.375" style="1629" customWidth="1"/>
    <col min="3085" max="3085" width="9" style="1629" customWidth="1"/>
    <col min="3086" max="3086" width="36.875" style="1629" customWidth="1"/>
    <col min="3087" max="3087" width="44.25" style="1629" customWidth="1"/>
    <col min="3088" max="3088" width="11.375" style="1629" customWidth="1"/>
    <col min="3089" max="3090" width="17.75" style="1629" customWidth="1"/>
    <col min="3091" max="3091" width="79.375" style="1629" customWidth="1"/>
    <col min="3092" max="3092" width="57.25" style="1629" customWidth="1"/>
    <col min="3093" max="3093" width="42.625" style="1629" customWidth="1"/>
    <col min="3094" max="3094" width="20.375" style="1629" customWidth="1"/>
    <col min="3095" max="3095" width="9" style="1629" customWidth="1"/>
    <col min="3096" max="3099" width="10.25" style="1629" customWidth="1"/>
    <col min="3100" max="3100" width="24.125" style="1629" customWidth="1"/>
    <col min="3101" max="3101" width="9" style="1629" customWidth="1"/>
    <col min="3102" max="3102" width="102.75" style="1629" customWidth="1"/>
    <col min="3103" max="3105" width="12.125" style="1629" customWidth="1"/>
    <col min="3106" max="3107" width="18.25" style="1629" customWidth="1"/>
    <col min="3108" max="3109" width="16.375" style="1629" customWidth="1"/>
    <col min="3110" max="3111" width="25" style="1629" customWidth="1"/>
    <col min="3112" max="3112" width="7.125" style="1629" customWidth="1"/>
    <col min="3113" max="3113" width="28" style="1629" customWidth="1"/>
    <col min="3114" max="3114" width="19.25" style="1629" customWidth="1"/>
    <col min="3115" max="3116" width="23" style="1629" customWidth="1"/>
    <col min="3117" max="3117" width="9" style="1629" customWidth="1"/>
    <col min="3118" max="3328" width="8.875" style="1629"/>
    <col min="3329" max="3329" width="122.375" style="1629" customWidth="1"/>
    <col min="3330" max="3330" width="7.125" style="1629" customWidth="1"/>
    <col min="3331" max="3331" width="15.875" style="1629" customWidth="1"/>
    <col min="3332" max="3332" width="7.125" style="1629" customWidth="1"/>
    <col min="3333" max="3333" width="5.25" style="1629" customWidth="1"/>
    <col min="3334" max="3334" width="63.375" style="1629" customWidth="1"/>
    <col min="3335" max="3335" width="9" style="1629" customWidth="1"/>
    <col min="3336" max="3336" width="24.125" style="1629" customWidth="1"/>
    <col min="3337" max="3337" width="78" style="1629" customWidth="1"/>
    <col min="3338" max="3339" width="15.875" style="1629" customWidth="1"/>
    <col min="3340" max="3340" width="19.375" style="1629" customWidth="1"/>
    <col min="3341" max="3341" width="9" style="1629" customWidth="1"/>
    <col min="3342" max="3342" width="36.875" style="1629" customWidth="1"/>
    <col min="3343" max="3343" width="44.25" style="1629" customWidth="1"/>
    <col min="3344" max="3344" width="11.375" style="1629" customWidth="1"/>
    <col min="3345" max="3346" width="17.75" style="1629" customWidth="1"/>
    <col min="3347" max="3347" width="79.375" style="1629" customWidth="1"/>
    <col min="3348" max="3348" width="57.25" style="1629" customWidth="1"/>
    <col min="3349" max="3349" width="42.625" style="1629" customWidth="1"/>
    <col min="3350" max="3350" width="20.375" style="1629" customWidth="1"/>
    <col min="3351" max="3351" width="9" style="1629" customWidth="1"/>
    <col min="3352" max="3355" width="10.25" style="1629" customWidth="1"/>
    <col min="3356" max="3356" width="24.125" style="1629" customWidth="1"/>
    <col min="3357" max="3357" width="9" style="1629" customWidth="1"/>
    <col min="3358" max="3358" width="102.75" style="1629" customWidth="1"/>
    <col min="3359" max="3361" width="12.125" style="1629" customWidth="1"/>
    <col min="3362" max="3363" width="18.25" style="1629" customWidth="1"/>
    <col min="3364" max="3365" width="16.375" style="1629" customWidth="1"/>
    <col min="3366" max="3367" width="25" style="1629" customWidth="1"/>
    <col min="3368" max="3368" width="7.125" style="1629" customWidth="1"/>
    <col min="3369" max="3369" width="28" style="1629" customWidth="1"/>
    <col min="3370" max="3370" width="19.25" style="1629" customWidth="1"/>
    <col min="3371" max="3372" width="23" style="1629" customWidth="1"/>
    <col min="3373" max="3373" width="9" style="1629" customWidth="1"/>
    <col min="3374" max="3584" width="8.875" style="1629"/>
    <col min="3585" max="3585" width="122.375" style="1629" customWidth="1"/>
    <col min="3586" max="3586" width="7.125" style="1629" customWidth="1"/>
    <col min="3587" max="3587" width="15.875" style="1629" customWidth="1"/>
    <col min="3588" max="3588" width="7.125" style="1629" customWidth="1"/>
    <col min="3589" max="3589" width="5.25" style="1629" customWidth="1"/>
    <col min="3590" max="3590" width="63.375" style="1629" customWidth="1"/>
    <col min="3591" max="3591" width="9" style="1629" customWidth="1"/>
    <col min="3592" max="3592" width="24.125" style="1629" customWidth="1"/>
    <col min="3593" max="3593" width="78" style="1629" customWidth="1"/>
    <col min="3594" max="3595" width="15.875" style="1629" customWidth="1"/>
    <col min="3596" max="3596" width="19.375" style="1629" customWidth="1"/>
    <col min="3597" max="3597" width="9" style="1629" customWidth="1"/>
    <col min="3598" max="3598" width="36.875" style="1629" customWidth="1"/>
    <col min="3599" max="3599" width="44.25" style="1629" customWidth="1"/>
    <col min="3600" max="3600" width="11.375" style="1629" customWidth="1"/>
    <col min="3601" max="3602" width="17.75" style="1629" customWidth="1"/>
    <col min="3603" max="3603" width="79.375" style="1629" customWidth="1"/>
    <col min="3604" max="3604" width="57.25" style="1629" customWidth="1"/>
    <col min="3605" max="3605" width="42.625" style="1629" customWidth="1"/>
    <col min="3606" max="3606" width="20.375" style="1629" customWidth="1"/>
    <col min="3607" max="3607" width="9" style="1629" customWidth="1"/>
    <col min="3608" max="3611" width="10.25" style="1629" customWidth="1"/>
    <col min="3612" max="3612" width="24.125" style="1629" customWidth="1"/>
    <col min="3613" max="3613" width="9" style="1629" customWidth="1"/>
    <col min="3614" max="3614" width="102.75" style="1629" customWidth="1"/>
    <col min="3615" max="3617" width="12.125" style="1629" customWidth="1"/>
    <col min="3618" max="3619" width="18.25" style="1629" customWidth="1"/>
    <col min="3620" max="3621" width="16.375" style="1629" customWidth="1"/>
    <col min="3622" max="3623" width="25" style="1629" customWidth="1"/>
    <col min="3624" max="3624" width="7.125" style="1629" customWidth="1"/>
    <col min="3625" max="3625" width="28" style="1629" customWidth="1"/>
    <col min="3626" max="3626" width="19.25" style="1629" customWidth="1"/>
    <col min="3627" max="3628" width="23" style="1629" customWidth="1"/>
    <col min="3629" max="3629" width="9" style="1629" customWidth="1"/>
    <col min="3630" max="3840" width="8.875" style="1629"/>
    <col min="3841" max="3841" width="122.375" style="1629" customWidth="1"/>
    <col min="3842" max="3842" width="7.125" style="1629" customWidth="1"/>
    <col min="3843" max="3843" width="15.875" style="1629" customWidth="1"/>
    <col min="3844" max="3844" width="7.125" style="1629" customWidth="1"/>
    <col min="3845" max="3845" width="5.25" style="1629" customWidth="1"/>
    <col min="3846" max="3846" width="63.375" style="1629" customWidth="1"/>
    <col min="3847" max="3847" width="9" style="1629" customWidth="1"/>
    <col min="3848" max="3848" width="24.125" style="1629" customWidth="1"/>
    <col min="3849" max="3849" width="78" style="1629" customWidth="1"/>
    <col min="3850" max="3851" width="15.875" style="1629" customWidth="1"/>
    <col min="3852" max="3852" width="19.375" style="1629" customWidth="1"/>
    <col min="3853" max="3853" width="9" style="1629" customWidth="1"/>
    <col min="3854" max="3854" width="36.875" style="1629" customWidth="1"/>
    <col min="3855" max="3855" width="44.25" style="1629" customWidth="1"/>
    <col min="3856" max="3856" width="11.375" style="1629" customWidth="1"/>
    <col min="3857" max="3858" width="17.75" style="1629" customWidth="1"/>
    <col min="3859" max="3859" width="79.375" style="1629" customWidth="1"/>
    <col min="3860" max="3860" width="57.25" style="1629" customWidth="1"/>
    <col min="3861" max="3861" width="42.625" style="1629" customWidth="1"/>
    <col min="3862" max="3862" width="20.375" style="1629" customWidth="1"/>
    <col min="3863" max="3863" width="9" style="1629" customWidth="1"/>
    <col min="3864" max="3867" width="10.25" style="1629" customWidth="1"/>
    <col min="3868" max="3868" width="24.125" style="1629" customWidth="1"/>
    <col min="3869" max="3869" width="9" style="1629" customWidth="1"/>
    <col min="3870" max="3870" width="102.75" style="1629" customWidth="1"/>
    <col min="3871" max="3873" width="12.125" style="1629" customWidth="1"/>
    <col min="3874" max="3875" width="18.25" style="1629" customWidth="1"/>
    <col min="3876" max="3877" width="16.375" style="1629" customWidth="1"/>
    <col min="3878" max="3879" width="25" style="1629" customWidth="1"/>
    <col min="3880" max="3880" width="7.125" style="1629" customWidth="1"/>
    <col min="3881" max="3881" width="28" style="1629" customWidth="1"/>
    <col min="3882" max="3882" width="19.25" style="1629" customWidth="1"/>
    <col min="3883" max="3884" width="23" style="1629" customWidth="1"/>
    <col min="3885" max="3885" width="9" style="1629" customWidth="1"/>
    <col min="3886" max="4096" width="8.875" style="1629"/>
    <col min="4097" max="4097" width="122.375" style="1629" customWidth="1"/>
    <col min="4098" max="4098" width="7.125" style="1629" customWidth="1"/>
    <col min="4099" max="4099" width="15.875" style="1629" customWidth="1"/>
    <col min="4100" max="4100" width="7.125" style="1629" customWidth="1"/>
    <col min="4101" max="4101" width="5.25" style="1629" customWidth="1"/>
    <col min="4102" max="4102" width="63.375" style="1629" customWidth="1"/>
    <col min="4103" max="4103" width="9" style="1629" customWidth="1"/>
    <col min="4104" max="4104" width="24.125" style="1629" customWidth="1"/>
    <col min="4105" max="4105" width="78" style="1629" customWidth="1"/>
    <col min="4106" max="4107" width="15.875" style="1629" customWidth="1"/>
    <col min="4108" max="4108" width="19.375" style="1629" customWidth="1"/>
    <col min="4109" max="4109" width="9" style="1629" customWidth="1"/>
    <col min="4110" max="4110" width="36.875" style="1629" customWidth="1"/>
    <col min="4111" max="4111" width="44.25" style="1629" customWidth="1"/>
    <col min="4112" max="4112" width="11.375" style="1629" customWidth="1"/>
    <col min="4113" max="4114" width="17.75" style="1629" customWidth="1"/>
    <col min="4115" max="4115" width="79.375" style="1629" customWidth="1"/>
    <col min="4116" max="4116" width="57.25" style="1629" customWidth="1"/>
    <col min="4117" max="4117" width="42.625" style="1629" customWidth="1"/>
    <col min="4118" max="4118" width="20.375" style="1629" customWidth="1"/>
    <col min="4119" max="4119" width="9" style="1629" customWidth="1"/>
    <col min="4120" max="4123" width="10.25" style="1629" customWidth="1"/>
    <col min="4124" max="4124" width="24.125" style="1629" customWidth="1"/>
    <col min="4125" max="4125" width="9" style="1629" customWidth="1"/>
    <col min="4126" max="4126" width="102.75" style="1629" customWidth="1"/>
    <col min="4127" max="4129" width="12.125" style="1629" customWidth="1"/>
    <col min="4130" max="4131" width="18.25" style="1629" customWidth="1"/>
    <col min="4132" max="4133" width="16.375" style="1629" customWidth="1"/>
    <col min="4134" max="4135" width="25" style="1629" customWidth="1"/>
    <col min="4136" max="4136" width="7.125" style="1629" customWidth="1"/>
    <col min="4137" max="4137" width="28" style="1629" customWidth="1"/>
    <col min="4138" max="4138" width="19.25" style="1629" customWidth="1"/>
    <col min="4139" max="4140" width="23" style="1629" customWidth="1"/>
    <col min="4141" max="4141" width="9" style="1629" customWidth="1"/>
    <col min="4142" max="4352" width="8.875" style="1629"/>
    <col min="4353" max="4353" width="122.375" style="1629" customWidth="1"/>
    <col min="4354" max="4354" width="7.125" style="1629" customWidth="1"/>
    <col min="4355" max="4355" width="15.875" style="1629" customWidth="1"/>
    <col min="4356" max="4356" width="7.125" style="1629" customWidth="1"/>
    <col min="4357" max="4357" width="5.25" style="1629" customWidth="1"/>
    <col min="4358" max="4358" width="63.375" style="1629" customWidth="1"/>
    <col min="4359" max="4359" width="9" style="1629" customWidth="1"/>
    <col min="4360" max="4360" width="24.125" style="1629" customWidth="1"/>
    <col min="4361" max="4361" width="78" style="1629" customWidth="1"/>
    <col min="4362" max="4363" width="15.875" style="1629" customWidth="1"/>
    <col min="4364" max="4364" width="19.375" style="1629" customWidth="1"/>
    <col min="4365" max="4365" width="9" style="1629" customWidth="1"/>
    <col min="4366" max="4366" width="36.875" style="1629" customWidth="1"/>
    <col min="4367" max="4367" width="44.25" style="1629" customWidth="1"/>
    <col min="4368" max="4368" width="11.375" style="1629" customWidth="1"/>
    <col min="4369" max="4370" width="17.75" style="1629" customWidth="1"/>
    <col min="4371" max="4371" width="79.375" style="1629" customWidth="1"/>
    <col min="4372" max="4372" width="57.25" style="1629" customWidth="1"/>
    <col min="4373" max="4373" width="42.625" style="1629" customWidth="1"/>
    <col min="4374" max="4374" width="20.375" style="1629" customWidth="1"/>
    <col min="4375" max="4375" width="9" style="1629" customWidth="1"/>
    <col min="4376" max="4379" width="10.25" style="1629" customWidth="1"/>
    <col min="4380" max="4380" width="24.125" style="1629" customWidth="1"/>
    <col min="4381" max="4381" width="9" style="1629" customWidth="1"/>
    <col min="4382" max="4382" width="102.75" style="1629" customWidth="1"/>
    <col min="4383" max="4385" width="12.125" style="1629" customWidth="1"/>
    <col min="4386" max="4387" width="18.25" style="1629" customWidth="1"/>
    <col min="4388" max="4389" width="16.375" style="1629" customWidth="1"/>
    <col min="4390" max="4391" width="25" style="1629" customWidth="1"/>
    <col min="4392" max="4392" width="7.125" style="1629" customWidth="1"/>
    <col min="4393" max="4393" width="28" style="1629" customWidth="1"/>
    <col min="4394" max="4394" width="19.25" style="1629" customWidth="1"/>
    <col min="4395" max="4396" width="23" style="1629" customWidth="1"/>
    <col min="4397" max="4397" width="9" style="1629" customWidth="1"/>
    <col min="4398" max="4608" width="8.875" style="1629"/>
    <col min="4609" max="4609" width="122.375" style="1629" customWidth="1"/>
    <col min="4610" max="4610" width="7.125" style="1629" customWidth="1"/>
    <col min="4611" max="4611" width="15.875" style="1629" customWidth="1"/>
    <col min="4612" max="4612" width="7.125" style="1629" customWidth="1"/>
    <col min="4613" max="4613" width="5.25" style="1629" customWidth="1"/>
    <col min="4614" max="4614" width="63.375" style="1629" customWidth="1"/>
    <col min="4615" max="4615" width="9" style="1629" customWidth="1"/>
    <col min="4616" max="4616" width="24.125" style="1629" customWidth="1"/>
    <col min="4617" max="4617" width="78" style="1629" customWidth="1"/>
    <col min="4618" max="4619" width="15.875" style="1629" customWidth="1"/>
    <col min="4620" max="4620" width="19.375" style="1629" customWidth="1"/>
    <col min="4621" max="4621" width="9" style="1629" customWidth="1"/>
    <col min="4622" max="4622" width="36.875" style="1629" customWidth="1"/>
    <col min="4623" max="4623" width="44.25" style="1629" customWidth="1"/>
    <col min="4624" max="4624" width="11.375" style="1629" customWidth="1"/>
    <col min="4625" max="4626" width="17.75" style="1629" customWidth="1"/>
    <col min="4627" max="4627" width="79.375" style="1629" customWidth="1"/>
    <col min="4628" max="4628" width="57.25" style="1629" customWidth="1"/>
    <col min="4629" max="4629" width="42.625" style="1629" customWidth="1"/>
    <col min="4630" max="4630" width="20.375" style="1629" customWidth="1"/>
    <col min="4631" max="4631" width="9" style="1629" customWidth="1"/>
    <col min="4632" max="4635" width="10.25" style="1629" customWidth="1"/>
    <col min="4636" max="4636" width="24.125" style="1629" customWidth="1"/>
    <col min="4637" max="4637" width="9" style="1629" customWidth="1"/>
    <col min="4638" max="4638" width="102.75" style="1629" customWidth="1"/>
    <col min="4639" max="4641" width="12.125" style="1629" customWidth="1"/>
    <col min="4642" max="4643" width="18.25" style="1629" customWidth="1"/>
    <col min="4644" max="4645" width="16.375" style="1629" customWidth="1"/>
    <col min="4646" max="4647" width="25" style="1629" customWidth="1"/>
    <col min="4648" max="4648" width="7.125" style="1629" customWidth="1"/>
    <col min="4649" max="4649" width="28" style="1629" customWidth="1"/>
    <col min="4650" max="4650" width="19.25" style="1629" customWidth="1"/>
    <col min="4651" max="4652" width="23" style="1629" customWidth="1"/>
    <col min="4653" max="4653" width="9" style="1629" customWidth="1"/>
    <col min="4654" max="4864" width="8.875" style="1629"/>
    <col min="4865" max="4865" width="122.375" style="1629" customWidth="1"/>
    <col min="4866" max="4866" width="7.125" style="1629" customWidth="1"/>
    <col min="4867" max="4867" width="15.875" style="1629" customWidth="1"/>
    <col min="4868" max="4868" width="7.125" style="1629" customWidth="1"/>
    <col min="4869" max="4869" width="5.25" style="1629" customWidth="1"/>
    <col min="4870" max="4870" width="63.375" style="1629" customWidth="1"/>
    <col min="4871" max="4871" width="9" style="1629" customWidth="1"/>
    <col min="4872" max="4872" width="24.125" style="1629" customWidth="1"/>
    <col min="4873" max="4873" width="78" style="1629" customWidth="1"/>
    <col min="4874" max="4875" width="15.875" style="1629" customWidth="1"/>
    <col min="4876" max="4876" width="19.375" style="1629" customWidth="1"/>
    <col min="4877" max="4877" width="9" style="1629" customWidth="1"/>
    <col min="4878" max="4878" width="36.875" style="1629" customWidth="1"/>
    <col min="4879" max="4879" width="44.25" style="1629" customWidth="1"/>
    <col min="4880" max="4880" width="11.375" style="1629" customWidth="1"/>
    <col min="4881" max="4882" width="17.75" style="1629" customWidth="1"/>
    <col min="4883" max="4883" width="79.375" style="1629" customWidth="1"/>
    <col min="4884" max="4884" width="57.25" style="1629" customWidth="1"/>
    <col min="4885" max="4885" width="42.625" style="1629" customWidth="1"/>
    <col min="4886" max="4886" width="20.375" style="1629" customWidth="1"/>
    <col min="4887" max="4887" width="9" style="1629" customWidth="1"/>
    <col min="4888" max="4891" width="10.25" style="1629" customWidth="1"/>
    <col min="4892" max="4892" width="24.125" style="1629" customWidth="1"/>
    <col min="4893" max="4893" width="9" style="1629" customWidth="1"/>
    <col min="4894" max="4894" width="102.75" style="1629" customWidth="1"/>
    <col min="4895" max="4897" width="12.125" style="1629" customWidth="1"/>
    <col min="4898" max="4899" width="18.25" style="1629" customWidth="1"/>
    <col min="4900" max="4901" width="16.375" style="1629" customWidth="1"/>
    <col min="4902" max="4903" width="25" style="1629" customWidth="1"/>
    <col min="4904" max="4904" width="7.125" style="1629" customWidth="1"/>
    <col min="4905" max="4905" width="28" style="1629" customWidth="1"/>
    <col min="4906" max="4906" width="19.25" style="1629" customWidth="1"/>
    <col min="4907" max="4908" width="23" style="1629" customWidth="1"/>
    <col min="4909" max="4909" width="9" style="1629" customWidth="1"/>
    <col min="4910" max="5120" width="8.875" style="1629"/>
    <col min="5121" max="5121" width="122.375" style="1629" customWidth="1"/>
    <col min="5122" max="5122" width="7.125" style="1629" customWidth="1"/>
    <col min="5123" max="5123" width="15.875" style="1629" customWidth="1"/>
    <col min="5124" max="5124" width="7.125" style="1629" customWidth="1"/>
    <col min="5125" max="5125" width="5.25" style="1629" customWidth="1"/>
    <col min="5126" max="5126" width="63.375" style="1629" customWidth="1"/>
    <col min="5127" max="5127" width="9" style="1629" customWidth="1"/>
    <col min="5128" max="5128" width="24.125" style="1629" customWidth="1"/>
    <col min="5129" max="5129" width="78" style="1629" customWidth="1"/>
    <col min="5130" max="5131" width="15.875" style="1629" customWidth="1"/>
    <col min="5132" max="5132" width="19.375" style="1629" customWidth="1"/>
    <col min="5133" max="5133" width="9" style="1629" customWidth="1"/>
    <col min="5134" max="5134" width="36.875" style="1629" customWidth="1"/>
    <col min="5135" max="5135" width="44.25" style="1629" customWidth="1"/>
    <col min="5136" max="5136" width="11.375" style="1629" customWidth="1"/>
    <col min="5137" max="5138" width="17.75" style="1629" customWidth="1"/>
    <col min="5139" max="5139" width="79.375" style="1629" customWidth="1"/>
    <col min="5140" max="5140" width="57.25" style="1629" customWidth="1"/>
    <col min="5141" max="5141" width="42.625" style="1629" customWidth="1"/>
    <col min="5142" max="5142" width="20.375" style="1629" customWidth="1"/>
    <col min="5143" max="5143" width="9" style="1629" customWidth="1"/>
    <col min="5144" max="5147" width="10.25" style="1629" customWidth="1"/>
    <col min="5148" max="5148" width="24.125" style="1629" customWidth="1"/>
    <col min="5149" max="5149" width="9" style="1629" customWidth="1"/>
    <col min="5150" max="5150" width="102.75" style="1629" customWidth="1"/>
    <col min="5151" max="5153" width="12.125" style="1629" customWidth="1"/>
    <col min="5154" max="5155" width="18.25" style="1629" customWidth="1"/>
    <col min="5156" max="5157" width="16.375" style="1629" customWidth="1"/>
    <col min="5158" max="5159" width="25" style="1629" customWidth="1"/>
    <col min="5160" max="5160" width="7.125" style="1629" customWidth="1"/>
    <col min="5161" max="5161" width="28" style="1629" customWidth="1"/>
    <col min="5162" max="5162" width="19.25" style="1629" customWidth="1"/>
    <col min="5163" max="5164" width="23" style="1629" customWidth="1"/>
    <col min="5165" max="5165" width="9" style="1629" customWidth="1"/>
    <col min="5166" max="5376" width="8.875" style="1629"/>
    <col min="5377" max="5377" width="122.375" style="1629" customWidth="1"/>
    <col min="5378" max="5378" width="7.125" style="1629" customWidth="1"/>
    <col min="5379" max="5379" width="15.875" style="1629" customWidth="1"/>
    <col min="5380" max="5380" width="7.125" style="1629" customWidth="1"/>
    <col min="5381" max="5381" width="5.25" style="1629" customWidth="1"/>
    <col min="5382" max="5382" width="63.375" style="1629" customWidth="1"/>
    <col min="5383" max="5383" width="9" style="1629" customWidth="1"/>
    <col min="5384" max="5384" width="24.125" style="1629" customWidth="1"/>
    <col min="5385" max="5385" width="78" style="1629" customWidth="1"/>
    <col min="5386" max="5387" width="15.875" style="1629" customWidth="1"/>
    <col min="5388" max="5388" width="19.375" style="1629" customWidth="1"/>
    <col min="5389" max="5389" width="9" style="1629" customWidth="1"/>
    <col min="5390" max="5390" width="36.875" style="1629" customWidth="1"/>
    <col min="5391" max="5391" width="44.25" style="1629" customWidth="1"/>
    <col min="5392" max="5392" width="11.375" style="1629" customWidth="1"/>
    <col min="5393" max="5394" width="17.75" style="1629" customWidth="1"/>
    <col min="5395" max="5395" width="79.375" style="1629" customWidth="1"/>
    <col min="5396" max="5396" width="57.25" style="1629" customWidth="1"/>
    <col min="5397" max="5397" width="42.625" style="1629" customWidth="1"/>
    <col min="5398" max="5398" width="20.375" style="1629" customWidth="1"/>
    <col min="5399" max="5399" width="9" style="1629" customWidth="1"/>
    <col min="5400" max="5403" width="10.25" style="1629" customWidth="1"/>
    <col min="5404" max="5404" width="24.125" style="1629" customWidth="1"/>
    <col min="5405" max="5405" width="9" style="1629" customWidth="1"/>
    <col min="5406" max="5406" width="102.75" style="1629" customWidth="1"/>
    <col min="5407" max="5409" width="12.125" style="1629" customWidth="1"/>
    <col min="5410" max="5411" width="18.25" style="1629" customWidth="1"/>
    <col min="5412" max="5413" width="16.375" style="1629" customWidth="1"/>
    <col min="5414" max="5415" width="25" style="1629" customWidth="1"/>
    <col min="5416" max="5416" width="7.125" style="1629" customWidth="1"/>
    <col min="5417" max="5417" width="28" style="1629" customWidth="1"/>
    <col min="5418" max="5418" width="19.25" style="1629" customWidth="1"/>
    <col min="5419" max="5420" width="23" style="1629" customWidth="1"/>
    <col min="5421" max="5421" width="9" style="1629" customWidth="1"/>
    <col min="5422" max="5632" width="8.875" style="1629"/>
    <col min="5633" max="5633" width="122.375" style="1629" customWidth="1"/>
    <col min="5634" max="5634" width="7.125" style="1629" customWidth="1"/>
    <col min="5635" max="5635" width="15.875" style="1629" customWidth="1"/>
    <col min="5636" max="5636" width="7.125" style="1629" customWidth="1"/>
    <col min="5637" max="5637" width="5.25" style="1629" customWidth="1"/>
    <col min="5638" max="5638" width="63.375" style="1629" customWidth="1"/>
    <col min="5639" max="5639" width="9" style="1629" customWidth="1"/>
    <col min="5640" max="5640" width="24.125" style="1629" customWidth="1"/>
    <col min="5641" max="5641" width="78" style="1629" customWidth="1"/>
    <col min="5642" max="5643" width="15.875" style="1629" customWidth="1"/>
    <col min="5644" max="5644" width="19.375" style="1629" customWidth="1"/>
    <col min="5645" max="5645" width="9" style="1629" customWidth="1"/>
    <col min="5646" max="5646" width="36.875" style="1629" customWidth="1"/>
    <col min="5647" max="5647" width="44.25" style="1629" customWidth="1"/>
    <col min="5648" max="5648" width="11.375" style="1629" customWidth="1"/>
    <col min="5649" max="5650" width="17.75" style="1629" customWidth="1"/>
    <col min="5651" max="5651" width="79.375" style="1629" customWidth="1"/>
    <col min="5652" max="5652" width="57.25" style="1629" customWidth="1"/>
    <col min="5653" max="5653" width="42.625" style="1629" customWidth="1"/>
    <col min="5654" max="5654" width="20.375" style="1629" customWidth="1"/>
    <col min="5655" max="5655" width="9" style="1629" customWidth="1"/>
    <col min="5656" max="5659" width="10.25" style="1629" customWidth="1"/>
    <col min="5660" max="5660" width="24.125" style="1629" customWidth="1"/>
    <col min="5661" max="5661" width="9" style="1629" customWidth="1"/>
    <col min="5662" max="5662" width="102.75" style="1629" customWidth="1"/>
    <col min="5663" max="5665" width="12.125" style="1629" customWidth="1"/>
    <col min="5666" max="5667" width="18.25" style="1629" customWidth="1"/>
    <col min="5668" max="5669" width="16.375" style="1629" customWidth="1"/>
    <col min="5670" max="5671" width="25" style="1629" customWidth="1"/>
    <col min="5672" max="5672" width="7.125" style="1629" customWidth="1"/>
    <col min="5673" max="5673" width="28" style="1629" customWidth="1"/>
    <col min="5674" max="5674" width="19.25" style="1629" customWidth="1"/>
    <col min="5675" max="5676" width="23" style="1629" customWidth="1"/>
    <col min="5677" max="5677" width="9" style="1629" customWidth="1"/>
    <col min="5678" max="5888" width="8.875" style="1629"/>
    <col min="5889" max="5889" width="122.375" style="1629" customWidth="1"/>
    <col min="5890" max="5890" width="7.125" style="1629" customWidth="1"/>
    <col min="5891" max="5891" width="15.875" style="1629" customWidth="1"/>
    <col min="5892" max="5892" width="7.125" style="1629" customWidth="1"/>
    <col min="5893" max="5893" width="5.25" style="1629" customWidth="1"/>
    <col min="5894" max="5894" width="63.375" style="1629" customWidth="1"/>
    <col min="5895" max="5895" width="9" style="1629" customWidth="1"/>
    <col min="5896" max="5896" width="24.125" style="1629" customWidth="1"/>
    <col min="5897" max="5897" width="78" style="1629" customWidth="1"/>
    <col min="5898" max="5899" width="15.875" style="1629" customWidth="1"/>
    <col min="5900" max="5900" width="19.375" style="1629" customWidth="1"/>
    <col min="5901" max="5901" width="9" style="1629" customWidth="1"/>
    <col min="5902" max="5902" width="36.875" style="1629" customWidth="1"/>
    <col min="5903" max="5903" width="44.25" style="1629" customWidth="1"/>
    <col min="5904" max="5904" width="11.375" style="1629" customWidth="1"/>
    <col min="5905" max="5906" width="17.75" style="1629" customWidth="1"/>
    <col min="5907" max="5907" width="79.375" style="1629" customWidth="1"/>
    <col min="5908" max="5908" width="57.25" style="1629" customWidth="1"/>
    <col min="5909" max="5909" width="42.625" style="1629" customWidth="1"/>
    <col min="5910" max="5910" width="20.375" style="1629" customWidth="1"/>
    <col min="5911" max="5911" width="9" style="1629" customWidth="1"/>
    <col min="5912" max="5915" width="10.25" style="1629" customWidth="1"/>
    <col min="5916" max="5916" width="24.125" style="1629" customWidth="1"/>
    <col min="5917" max="5917" width="9" style="1629" customWidth="1"/>
    <col min="5918" max="5918" width="102.75" style="1629" customWidth="1"/>
    <col min="5919" max="5921" width="12.125" style="1629" customWidth="1"/>
    <col min="5922" max="5923" width="18.25" style="1629" customWidth="1"/>
    <col min="5924" max="5925" width="16.375" style="1629" customWidth="1"/>
    <col min="5926" max="5927" width="25" style="1629" customWidth="1"/>
    <col min="5928" max="5928" width="7.125" style="1629" customWidth="1"/>
    <col min="5929" max="5929" width="28" style="1629" customWidth="1"/>
    <col min="5930" max="5930" width="19.25" style="1629" customWidth="1"/>
    <col min="5931" max="5932" width="23" style="1629" customWidth="1"/>
    <col min="5933" max="5933" width="9" style="1629" customWidth="1"/>
    <col min="5934" max="6144" width="8.875" style="1629"/>
    <col min="6145" max="6145" width="122.375" style="1629" customWidth="1"/>
    <col min="6146" max="6146" width="7.125" style="1629" customWidth="1"/>
    <col min="6147" max="6147" width="15.875" style="1629" customWidth="1"/>
    <col min="6148" max="6148" width="7.125" style="1629" customWidth="1"/>
    <col min="6149" max="6149" width="5.25" style="1629" customWidth="1"/>
    <col min="6150" max="6150" width="63.375" style="1629" customWidth="1"/>
    <col min="6151" max="6151" width="9" style="1629" customWidth="1"/>
    <col min="6152" max="6152" width="24.125" style="1629" customWidth="1"/>
    <col min="6153" max="6153" width="78" style="1629" customWidth="1"/>
    <col min="6154" max="6155" width="15.875" style="1629" customWidth="1"/>
    <col min="6156" max="6156" width="19.375" style="1629" customWidth="1"/>
    <col min="6157" max="6157" width="9" style="1629" customWidth="1"/>
    <col min="6158" max="6158" width="36.875" style="1629" customWidth="1"/>
    <col min="6159" max="6159" width="44.25" style="1629" customWidth="1"/>
    <col min="6160" max="6160" width="11.375" style="1629" customWidth="1"/>
    <col min="6161" max="6162" width="17.75" style="1629" customWidth="1"/>
    <col min="6163" max="6163" width="79.375" style="1629" customWidth="1"/>
    <col min="6164" max="6164" width="57.25" style="1629" customWidth="1"/>
    <col min="6165" max="6165" width="42.625" style="1629" customWidth="1"/>
    <col min="6166" max="6166" width="20.375" style="1629" customWidth="1"/>
    <col min="6167" max="6167" width="9" style="1629" customWidth="1"/>
    <col min="6168" max="6171" width="10.25" style="1629" customWidth="1"/>
    <col min="6172" max="6172" width="24.125" style="1629" customWidth="1"/>
    <col min="6173" max="6173" width="9" style="1629" customWidth="1"/>
    <col min="6174" max="6174" width="102.75" style="1629" customWidth="1"/>
    <col min="6175" max="6177" width="12.125" style="1629" customWidth="1"/>
    <col min="6178" max="6179" width="18.25" style="1629" customWidth="1"/>
    <col min="6180" max="6181" width="16.375" style="1629" customWidth="1"/>
    <col min="6182" max="6183" width="25" style="1629" customWidth="1"/>
    <col min="6184" max="6184" width="7.125" style="1629" customWidth="1"/>
    <col min="6185" max="6185" width="28" style="1629" customWidth="1"/>
    <col min="6186" max="6186" width="19.25" style="1629" customWidth="1"/>
    <col min="6187" max="6188" width="23" style="1629" customWidth="1"/>
    <col min="6189" max="6189" width="9" style="1629" customWidth="1"/>
    <col min="6190" max="6400" width="8.875" style="1629"/>
    <col min="6401" max="6401" width="122.375" style="1629" customWidth="1"/>
    <col min="6402" max="6402" width="7.125" style="1629" customWidth="1"/>
    <col min="6403" max="6403" width="15.875" style="1629" customWidth="1"/>
    <col min="6404" max="6404" width="7.125" style="1629" customWidth="1"/>
    <col min="6405" max="6405" width="5.25" style="1629" customWidth="1"/>
    <col min="6406" max="6406" width="63.375" style="1629" customWidth="1"/>
    <col min="6407" max="6407" width="9" style="1629" customWidth="1"/>
    <col min="6408" max="6408" width="24.125" style="1629" customWidth="1"/>
    <col min="6409" max="6409" width="78" style="1629" customWidth="1"/>
    <col min="6410" max="6411" width="15.875" style="1629" customWidth="1"/>
    <col min="6412" max="6412" width="19.375" style="1629" customWidth="1"/>
    <col min="6413" max="6413" width="9" style="1629" customWidth="1"/>
    <col min="6414" max="6414" width="36.875" style="1629" customWidth="1"/>
    <col min="6415" max="6415" width="44.25" style="1629" customWidth="1"/>
    <col min="6416" max="6416" width="11.375" style="1629" customWidth="1"/>
    <col min="6417" max="6418" width="17.75" style="1629" customWidth="1"/>
    <col min="6419" max="6419" width="79.375" style="1629" customWidth="1"/>
    <col min="6420" max="6420" width="57.25" style="1629" customWidth="1"/>
    <col min="6421" max="6421" width="42.625" style="1629" customWidth="1"/>
    <col min="6422" max="6422" width="20.375" style="1629" customWidth="1"/>
    <col min="6423" max="6423" width="9" style="1629" customWidth="1"/>
    <col min="6424" max="6427" width="10.25" style="1629" customWidth="1"/>
    <col min="6428" max="6428" width="24.125" style="1629" customWidth="1"/>
    <col min="6429" max="6429" width="9" style="1629" customWidth="1"/>
    <col min="6430" max="6430" width="102.75" style="1629" customWidth="1"/>
    <col min="6431" max="6433" width="12.125" style="1629" customWidth="1"/>
    <col min="6434" max="6435" width="18.25" style="1629" customWidth="1"/>
    <col min="6436" max="6437" width="16.375" style="1629" customWidth="1"/>
    <col min="6438" max="6439" width="25" style="1629" customWidth="1"/>
    <col min="6440" max="6440" width="7.125" style="1629" customWidth="1"/>
    <col min="6441" max="6441" width="28" style="1629" customWidth="1"/>
    <col min="6442" max="6442" width="19.25" style="1629" customWidth="1"/>
    <col min="6443" max="6444" width="23" style="1629" customWidth="1"/>
    <col min="6445" max="6445" width="9" style="1629" customWidth="1"/>
    <col min="6446" max="6656" width="8.875" style="1629"/>
    <col min="6657" max="6657" width="122.375" style="1629" customWidth="1"/>
    <col min="6658" max="6658" width="7.125" style="1629" customWidth="1"/>
    <col min="6659" max="6659" width="15.875" style="1629" customWidth="1"/>
    <col min="6660" max="6660" width="7.125" style="1629" customWidth="1"/>
    <col min="6661" max="6661" width="5.25" style="1629" customWidth="1"/>
    <col min="6662" max="6662" width="63.375" style="1629" customWidth="1"/>
    <col min="6663" max="6663" width="9" style="1629" customWidth="1"/>
    <col min="6664" max="6664" width="24.125" style="1629" customWidth="1"/>
    <col min="6665" max="6665" width="78" style="1629" customWidth="1"/>
    <col min="6666" max="6667" width="15.875" style="1629" customWidth="1"/>
    <col min="6668" max="6668" width="19.375" style="1629" customWidth="1"/>
    <col min="6669" max="6669" width="9" style="1629" customWidth="1"/>
    <col min="6670" max="6670" width="36.875" style="1629" customWidth="1"/>
    <col min="6671" max="6671" width="44.25" style="1629" customWidth="1"/>
    <col min="6672" max="6672" width="11.375" style="1629" customWidth="1"/>
    <col min="6673" max="6674" width="17.75" style="1629" customWidth="1"/>
    <col min="6675" max="6675" width="79.375" style="1629" customWidth="1"/>
    <col min="6676" max="6676" width="57.25" style="1629" customWidth="1"/>
    <col min="6677" max="6677" width="42.625" style="1629" customWidth="1"/>
    <col min="6678" max="6678" width="20.375" style="1629" customWidth="1"/>
    <col min="6679" max="6679" width="9" style="1629" customWidth="1"/>
    <col min="6680" max="6683" width="10.25" style="1629" customWidth="1"/>
    <col min="6684" max="6684" width="24.125" style="1629" customWidth="1"/>
    <col min="6685" max="6685" width="9" style="1629" customWidth="1"/>
    <col min="6686" max="6686" width="102.75" style="1629" customWidth="1"/>
    <col min="6687" max="6689" width="12.125" style="1629" customWidth="1"/>
    <col min="6690" max="6691" width="18.25" style="1629" customWidth="1"/>
    <col min="6692" max="6693" width="16.375" style="1629" customWidth="1"/>
    <col min="6694" max="6695" width="25" style="1629" customWidth="1"/>
    <col min="6696" max="6696" width="7.125" style="1629" customWidth="1"/>
    <col min="6697" max="6697" width="28" style="1629" customWidth="1"/>
    <col min="6698" max="6698" width="19.25" style="1629" customWidth="1"/>
    <col min="6699" max="6700" width="23" style="1629" customWidth="1"/>
    <col min="6701" max="6701" width="9" style="1629" customWidth="1"/>
    <col min="6702" max="6912" width="8.875" style="1629"/>
    <col min="6913" max="6913" width="122.375" style="1629" customWidth="1"/>
    <col min="6914" max="6914" width="7.125" style="1629" customWidth="1"/>
    <col min="6915" max="6915" width="15.875" style="1629" customWidth="1"/>
    <col min="6916" max="6916" width="7.125" style="1629" customWidth="1"/>
    <col min="6917" max="6917" width="5.25" style="1629" customWidth="1"/>
    <col min="6918" max="6918" width="63.375" style="1629" customWidth="1"/>
    <col min="6919" max="6919" width="9" style="1629" customWidth="1"/>
    <col min="6920" max="6920" width="24.125" style="1629" customWidth="1"/>
    <col min="6921" max="6921" width="78" style="1629" customWidth="1"/>
    <col min="6922" max="6923" width="15.875" style="1629" customWidth="1"/>
    <col min="6924" max="6924" width="19.375" style="1629" customWidth="1"/>
    <col min="6925" max="6925" width="9" style="1629" customWidth="1"/>
    <col min="6926" max="6926" width="36.875" style="1629" customWidth="1"/>
    <col min="6927" max="6927" width="44.25" style="1629" customWidth="1"/>
    <col min="6928" max="6928" width="11.375" style="1629" customWidth="1"/>
    <col min="6929" max="6930" width="17.75" style="1629" customWidth="1"/>
    <col min="6931" max="6931" width="79.375" style="1629" customWidth="1"/>
    <col min="6932" max="6932" width="57.25" style="1629" customWidth="1"/>
    <col min="6933" max="6933" width="42.625" style="1629" customWidth="1"/>
    <col min="6934" max="6934" width="20.375" style="1629" customWidth="1"/>
    <col min="6935" max="6935" width="9" style="1629" customWidth="1"/>
    <col min="6936" max="6939" width="10.25" style="1629" customWidth="1"/>
    <col min="6940" max="6940" width="24.125" style="1629" customWidth="1"/>
    <col min="6941" max="6941" width="9" style="1629" customWidth="1"/>
    <col min="6942" max="6942" width="102.75" style="1629" customWidth="1"/>
    <col min="6943" max="6945" width="12.125" style="1629" customWidth="1"/>
    <col min="6946" max="6947" width="18.25" style="1629" customWidth="1"/>
    <col min="6948" max="6949" width="16.375" style="1629" customWidth="1"/>
    <col min="6950" max="6951" width="25" style="1629" customWidth="1"/>
    <col min="6952" max="6952" width="7.125" style="1629" customWidth="1"/>
    <col min="6953" max="6953" width="28" style="1629" customWidth="1"/>
    <col min="6954" max="6954" width="19.25" style="1629" customWidth="1"/>
    <col min="6955" max="6956" width="23" style="1629" customWidth="1"/>
    <col min="6957" max="6957" width="9" style="1629" customWidth="1"/>
    <col min="6958" max="7168" width="8.875" style="1629"/>
    <col min="7169" max="7169" width="122.375" style="1629" customWidth="1"/>
    <col min="7170" max="7170" width="7.125" style="1629" customWidth="1"/>
    <col min="7171" max="7171" width="15.875" style="1629" customWidth="1"/>
    <col min="7172" max="7172" width="7.125" style="1629" customWidth="1"/>
    <col min="7173" max="7173" width="5.25" style="1629" customWidth="1"/>
    <col min="7174" max="7174" width="63.375" style="1629" customWidth="1"/>
    <col min="7175" max="7175" width="9" style="1629" customWidth="1"/>
    <col min="7176" max="7176" width="24.125" style="1629" customWidth="1"/>
    <col min="7177" max="7177" width="78" style="1629" customWidth="1"/>
    <col min="7178" max="7179" width="15.875" style="1629" customWidth="1"/>
    <col min="7180" max="7180" width="19.375" style="1629" customWidth="1"/>
    <col min="7181" max="7181" width="9" style="1629" customWidth="1"/>
    <col min="7182" max="7182" width="36.875" style="1629" customWidth="1"/>
    <col min="7183" max="7183" width="44.25" style="1629" customWidth="1"/>
    <col min="7184" max="7184" width="11.375" style="1629" customWidth="1"/>
    <col min="7185" max="7186" width="17.75" style="1629" customWidth="1"/>
    <col min="7187" max="7187" width="79.375" style="1629" customWidth="1"/>
    <col min="7188" max="7188" width="57.25" style="1629" customWidth="1"/>
    <col min="7189" max="7189" width="42.625" style="1629" customWidth="1"/>
    <col min="7190" max="7190" width="20.375" style="1629" customWidth="1"/>
    <col min="7191" max="7191" width="9" style="1629" customWidth="1"/>
    <col min="7192" max="7195" width="10.25" style="1629" customWidth="1"/>
    <col min="7196" max="7196" width="24.125" style="1629" customWidth="1"/>
    <col min="7197" max="7197" width="9" style="1629" customWidth="1"/>
    <col min="7198" max="7198" width="102.75" style="1629" customWidth="1"/>
    <col min="7199" max="7201" width="12.125" style="1629" customWidth="1"/>
    <col min="7202" max="7203" width="18.25" style="1629" customWidth="1"/>
    <col min="7204" max="7205" width="16.375" style="1629" customWidth="1"/>
    <col min="7206" max="7207" width="25" style="1629" customWidth="1"/>
    <col min="7208" max="7208" width="7.125" style="1629" customWidth="1"/>
    <col min="7209" max="7209" width="28" style="1629" customWidth="1"/>
    <col min="7210" max="7210" width="19.25" style="1629" customWidth="1"/>
    <col min="7211" max="7212" width="23" style="1629" customWidth="1"/>
    <col min="7213" max="7213" width="9" style="1629" customWidth="1"/>
    <col min="7214" max="7424" width="8.875" style="1629"/>
    <col min="7425" max="7425" width="122.375" style="1629" customWidth="1"/>
    <col min="7426" max="7426" width="7.125" style="1629" customWidth="1"/>
    <col min="7427" max="7427" width="15.875" style="1629" customWidth="1"/>
    <col min="7428" max="7428" width="7.125" style="1629" customWidth="1"/>
    <col min="7429" max="7429" width="5.25" style="1629" customWidth="1"/>
    <col min="7430" max="7430" width="63.375" style="1629" customWidth="1"/>
    <col min="7431" max="7431" width="9" style="1629" customWidth="1"/>
    <col min="7432" max="7432" width="24.125" style="1629" customWidth="1"/>
    <col min="7433" max="7433" width="78" style="1629" customWidth="1"/>
    <col min="7434" max="7435" width="15.875" style="1629" customWidth="1"/>
    <col min="7436" max="7436" width="19.375" style="1629" customWidth="1"/>
    <col min="7437" max="7437" width="9" style="1629" customWidth="1"/>
    <col min="7438" max="7438" width="36.875" style="1629" customWidth="1"/>
    <col min="7439" max="7439" width="44.25" style="1629" customWidth="1"/>
    <col min="7440" max="7440" width="11.375" style="1629" customWidth="1"/>
    <col min="7441" max="7442" width="17.75" style="1629" customWidth="1"/>
    <col min="7443" max="7443" width="79.375" style="1629" customWidth="1"/>
    <col min="7444" max="7444" width="57.25" style="1629" customWidth="1"/>
    <col min="7445" max="7445" width="42.625" style="1629" customWidth="1"/>
    <col min="7446" max="7446" width="20.375" style="1629" customWidth="1"/>
    <col min="7447" max="7447" width="9" style="1629" customWidth="1"/>
    <col min="7448" max="7451" width="10.25" style="1629" customWidth="1"/>
    <col min="7452" max="7452" width="24.125" style="1629" customWidth="1"/>
    <col min="7453" max="7453" width="9" style="1629" customWidth="1"/>
    <col min="7454" max="7454" width="102.75" style="1629" customWidth="1"/>
    <col min="7455" max="7457" width="12.125" style="1629" customWidth="1"/>
    <col min="7458" max="7459" width="18.25" style="1629" customWidth="1"/>
    <col min="7460" max="7461" width="16.375" style="1629" customWidth="1"/>
    <col min="7462" max="7463" width="25" style="1629" customWidth="1"/>
    <col min="7464" max="7464" width="7.125" style="1629" customWidth="1"/>
    <col min="7465" max="7465" width="28" style="1629" customWidth="1"/>
    <col min="7466" max="7466" width="19.25" style="1629" customWidth="1"/>
    <col min="7467" max="7468" width="23" style="1629" customWidth="1"/>
    <col min="7469" max="7469" width="9" style="1629" customWidth="1"/>
    <col min="7470" max="7680" width="8.875" style="1629"/>
    <col min="7681" max="7681" width="122.375" style="1629" customWidth="1"/>
    <col min="7682" max="7682" width="7.125" style="1629" customWidth="1"/>
    <col min="7683" max="7683" width="15.875" style="1629" customWidth="1"/>
    <col min="7684" max="7684" width="7.125" style="1629" customWidth="1"/>
    <col min="7685" max="7685" width="5.25" style="1629" customWidth="1"/>
    <col min="7686" max="7686" width="63.375" style="1629" customWidth="1"/>
    <col min="7687" max="7687" width="9" style="1629" customWidth="1"/>
    <col min="7688" max="7688" width="24.125" style="1629" customWidth="1"/>
    <col min="7689" max="7689" width="78" style="1629" customWidth="1"/>
    <col min="7690" max="7691" width="15.875" style="1629" customWidth="1"/>
    <col min="7692" max="7692" width="19.375" style="1629" customWidth="1"/>
    <col min="7693" max="7693" width="9" style="1629" customWidth="1"/>
    <col min="7694" max="7694" width="36.875" style="1629" customWidth="1"/>
    <col min="7695" max="7695" width="44.25" style="1629" customWidth="1"/>
    <col min="7696" max="7696" width="11.375" style="1629" customWidth="1"/>
    <col min="7697" max="7698" width="17.75" style="1629" customWidth="1"/>
    <col min="7699" max="7699" width="79.375" style="1629" customWidth="1"/>
    <col min="7700" max="7700" width="57.25" style="1629" customWidth="1"/>
    <col min="7701" max="7701" width="42.625" style="1629" customWidth="1"/>
    <col min="7702" max="7702" width="20.375" style="1629" customWidth="1"/>
    <col min="7703" max="7703" width="9" style="1629" customWidth="1"/>
    <col min="7704" max="7707" width="10.25" style="1629" customWidth="1"/>
    <col min="7708" max="7708" width="24.125" style="1629" customWidth="1"/>
    <col min="7709" max="7709" width="9" style="1629" customWidth="1"/>
    <col min="7710" max="7710" width="102.75" style="1629" customWidth="1"/>
    <col min="7711" max="7713" width="12.125" style="1629" customWidth="1"/>
    <col min="7714" max="7715" width="18.25" style="1629" customWidth="1"/>
    <col min="7716" max="7717" width="16.375" style="1629" customWidth="1"/>
    <col min="7718" max="7719" width="25" style="1629" customWidth="1"/>
    <col min="7720" max="7720" width="7.125" style="1629" customWidth="1"/>
    <col min="7721" max="7721" width="28" style="1629" customWidth="1"/>
    <col min="7722" max="7722" width="19.25" style="1629" customWidth="1"/>
    <col min="7723" max="7724" width="23" style="1629" customWidth="1"/>
    <col min="7725" max="7725" width="9" style="1629" customWidth="1"/>
    <col min="7726" max="7936" width="8.875" style="1629"/>
    <col min="7937" max="7937" width="122.375" style="1629" customWidth="1"/>
    <col min="7938" max="7938" width="7.125" style="1629" customWidth="1"/>
    <col min="7939" max="7939" width="15.875" style="1629" customWidth="1"/>
    <col min="7940" max="7940" width="7.125" style="1629" customWidth="1"/>
    <col min="7941" max="7941" width="5.25" style="1629" customWidth="1"/>
    <col min="7942" max="7942" width="63.375" style="1629" customWidth="1"/>
    <col min="7943" max="7943" width="9" style="1629" customWidth="1"/>
    <col min="7944" max="7944" width="24.125" style="1629" customWidth="1"/>
    <col min="7945" max="7945" width="78" style="1629" customWidth="1"/>
    <col min="7946" max="7947" width="15.875" style="1629" customWidth="1"/>
    <col min="7948" max="7948" width="19.375" style="1629" customWidth="1"/>
    <col min="7949" max="7949" width="9" style="1629" customWidth="1"/>
    <col min="7950" max="7950" width="36.875" style="1629" customWidth="1"/>
    <col min="7951" max="7951" width="44.25" style="1629" customWidth="1"/>
    <col min="7952" max="7952" width="11.375" style="1629" customWidth="1"/>
    <col min="7953" max="7954" width="17.75" style="1629" customWidth="1"/>
    <col min="7955" max="7955" width="79.375" style="1629" customWidth="1"/>
    <col min="7956" max="7956" width="57.25" style="1629" customWidth="1"/>
    <col min="7957" max="7957" width="42.625" style="1629" customWidth="1"/>
    <col min="7958" max="7958" width="20.375" style="1629" customWidth="1"/>
    <col min="7959" max="7959" width="9" style="1629" customWidth="1"/>
    <col min="7960" max="7963" width="10.25" style="1629" customWidth="1"/>
    <col min="7964" max="7964" width="24.125" style="1629" customWidth="1"/>
    <col min="7965" max="7965" width="9" style="1629" customWidth="1"/>
    <col min="7966" max="7966" width="102.75" style="1629" customWidth="1"/>
    <col min="7967" max="7969" width="12.125" style="1629" customWidth="1"/>
    <col min="7970" max="7971" width="18.25" style="1629" customWidth="1"/>
    <col min="7972" max="7973" width="16.375" style="1629" customWidth="1"/>
    <col min="7974" max="7975" width="25" style="1629" customWidth="1"/>
    <col min="7976" max="7976" width="7.125" style="1629" customWidth="1"/>
    <col min="7977" max="7977" width="28" style="1629" customWidth="1"/>
    <col min="7978" max="7978" width="19.25" style="1629" customWidth="1"/>
    <col min="7979" max="7980" width="23" style="1629" customWidth="1"/>
    <col min="7981" max="7981" width="9" style="1629" customWidth="1"/>
    <col min="7982" max="8192" width="8.875" style="1629"/>
    <col min="8193" max="8193" width="122.375" style="1629" customWidth="1"/>
    <col min="8194" max="8194" width="7.125" style="1629" customWidth="1"/>
    <col min="8195" max="8195" width="15.875" style="1629" customWidth="1"/>
    <col min="8196" max="8196" width="7.125" style="1629" customWidth="1"/>
    <col min="8197" max="8197" width="5.25" style="1629" customWidth="1"/>
    <col min="8198" max="8198" width="63.375" style="1629" customWidth="1"/>
    <col min="8199" max="8199" width="9" style="1629" customWidth="1"/>
    <col min="8200" max="8200" width="24.125" style="1629" customWidth="1"/>
    <col min="8201" max="8201" width="78" style="1629" customWidth="1"/>
    <col min="8202" max="8203" width="15.875" style="1629" customWidth="1"/>
    <col min="8204" max="8204" width="19.375" style="1629" customWidth="1"/>
    <col min="8205" max="8205" width="9" style="1629" customWidth="1"/>
    <col min="8206" max="8206" width="36.875" style="1629" customWidth="1"/>
    <col min="8207" max="8207" width="44.25" style="1629" customWidth="1"/>
    <col min="8208" max="8208" width="11.375" style="1629" customWidth="1"/>
    <col min="8209" max="8210" width="17.75" style="1629" customWidth="1"/>
    <col min="8211" max="8211" width="79.375" style="1629" customWidth="1"/>
    <col min="8212" max="8212" width="57.25" style="1629" customWidth="1"/>
    <col min="8213" max="8213" width="42.625" style="1629" customWidth="1"/>
    <col min="8214" max="8214" width="20.375" style="1629" customWidth="1"/>
    <col min="8215" max="8215" width="9" style="1629" customWidth="1"/>
    <col min="8216" max="8219" width="10.25" style="1629" customWidth="1"/>
    <col min="8220" max="8220" width="24.125" style="1629" customWidth="1"/>
    <col min="8221" max="8221" width="9" style="1629" customWidth="1"/>
    <col min="8222" max="8222" width="102.75" style="1629" customWidth="1"/>
    <col min="8223" max="8225" width="12.125" style="1629" customWidth="1"/>
    <col min="8226" max="8227" width="18.25" style="1629" customWidth="1"/>
    <col min="8228" max="8229" width="16.375" style="1629" customWidth="1"/>
    <col min="8230" max="8231" width="25" style="1629" customWidth="1"/>
    <col min="8232" max="8232" width="7.125" style="1629" customWidth="1"/>
    <col min="8233" max="8233" width="28" style="1629" customWidth="1"/>
    <col min="8234" max="8234" width="19.25" style="1629" customWidth="1"/>
    <col min="8235" max="8236" width="23" style="1629" customWidth="1"/>
    <col min="8237" max="8237" width="9" style="1629" customWidth="1"/>
    <col min="8238" max="8448" width="8.875" style="1629"/>
    <col min="8449" max="8449" width="122.375" style="1629" customWidth="1"/>
    <col min="8450" max="8450" width="7.125" style="1629" customWidth="1"/>
    <col min="8451" max="8451" width="15.875" style="1629" customWidth="1"/>
    <col min="8452" max="8452" width="7.125" style="1629" customWidth="1"/>
    <col min="8453" max="8453" width="5.25" style="1629" customWidth="1"/>
    <col min="8454" max="8454" width="63.375" style="1629" customWidth="1"/>
    <col min="8455" max="8455" width="9" style="1629" customWidth="1"/>
    <col min="8456" max="8456" width="24.125" style="1629" customWidth="1"/>
    <col min="8457" max="8457" width="78" style="1629" customWidth="1"/>
    <col min="8458" max="8459" width="15.875" style="1629" customWidth="1"/>
    <col min="8460" max="8460" width="19.375" style="1629" customWidth="1"/>
    <col min="8461" max="8461" width="9" style="1629" customWidth="1"/>
    <col min="8462" max="8462" width="36.875" style="1629" customWidth="1"/>
    <col min="8463" max="8463" width="44.25" style="1629" customWidth="1"/>
    <col min="8464" max="8464" width="11.375" style="1629" customWidth="1"/>
    <col min="8465" max="8466" width="17.75" style="1629" customWidth="1"/>
    <col min="8467" max="8467" width="79.375" style="1629" customWidth="1"/>
    <col min="8468" max="8468" width="57.25" style="1629" customWidth="1"/>
    <col min="8469" max="8469" width="42.625" style="1629" customWidth="1"/>
    <col min="8470" max="8470" width="20.375" style="1629" customWidth="1"/>
    <col min="8471" max="8471" width="9" style="1629" customWidth="1"/>
    <col min="8472" max="8475" width="10.25" style="1629" customWidth="1"/>
    <col min="8476" max="8476" width="24.125" style="1629" customWidth="1"/>
    <col min="8477" max="8477" width="9" style="1629" customWidth="1"/>
    <col min="8478" max="8478" width="102.75" style="1629" customWidth="1"/>
    <col min="8479" max="8481" width="12.125" style="1629" customWidth="1"/>
    <col min="8482" max="8483" width="18.25" style="1629" customWidth="1"/>
    <col min="8484" max="8485" width="16.375" style="1629" customWidth="1"/>
    <col min="8486" max="8487" width="25" style="1629" customWidth="1"/>
    <col min="8488" max="8488" width="7.125" style="1629" customWidth="1"/>
    <col min="8489" max="8489" width="28" style="1629" customWidth="1"/>
    <col min="8490" max="8490" width="19.25" style="1629" customWidth="1"/>
    <col min="8491" max="8492" width="23" style="1629" customWidth="1"/>
    <col min="8493" max="8493" width="9" style="1629" customWidth="1"/>
    <col min="8494" max="8704" width="8.875" style="1629"/>
    <col min="8705" max="8705" width="122.375" style="1629" customWidth="1"/>
    <col min="8706" max="8706" width="7.125" style="1629" customWidth="1"/>
    <col min="8707" max="8707" width="15.875" style="1629" customWidth="1"/>
    <col min="8708" max="8708" width="7.125" style="1629" customWidth="1"/>
    <col min="8709" max="8709" width="5.25" style="1629" customWidth="1"/>
    <col min="8710" max="8710" width="63.375" style="1629" customWidth="1"/>
    <col min="8711" max="8711" width="9" style="1629" customWidth="1"/>
    <col min="8712" max="8712" width="24.125" style="1629" customWidth="1"/>
    <col min="8713" max="8713" width="78" style="1629" customWidth="1"/>
    <col min="8714" max="8715" width="15.875" style="1629" customWidth="1"/>
    <col min="8716" max="8716" width="19.375" style="1629" customWidth="1"/>
    <col min="8717" max="8717" width="9" style="1629" customWidth="1"/>
    <col min="8718" max="8718" width="36.875" style="1629" customWidth="1"/>
    <col min="8719" max="8719" width="44.25" style="1629" customWidth="1"/>
    <col min="8720" max="8720" width="11.375" style="1629" customWidth="1"/>
    <col min="8721" max="8722" width="17.75" style="1629" customWidth="1"/>
    <col min="8723" max="8723" width="79.375" style="1629" customWidth="1"/>
    <col min="8724" max="8724" width="57.25" style="1629" customWidth="1"/>
    <col min="8725" max="8725" width="42.625" style="1629" customWidth="1"/>
    <col min="8726" max="8726" width="20.375" style="1629" customWidth="1"/>
    <col min="8727" max="8727" width="9" style="1629" customWidth="1"/>
    <col min="8728" max="8731" width="10.25" style="1629" customWidth="1"/>
    <col min="8732" max="8732" width="24.125" style="1629" customWidth="1"/>
    <col min="8733" max="8733" width="9" style="1629" customWidth="1"/>
    <col min="8734" max="8734" width="102.75" style="1629" customWidth="1"/>
    <col min="8735" max="8737" width="12.125" style="1629" customWidth="1"/>
    <col min="8738" max="8739" width="18.25" style="1629" customWidth="1"/>
    <col min="8740" max="8741" width="16.375" style="1629" customWidth="1"/>
    <col min="8742" max="8743" width="25" style="1629" customWidth="1"/>
    <col min="8744" max="8744" width="7.125" style="1629" customWidth="1"/>
    <col min="8745" max="8745" width="28" style="1629" customWidth="1"/>
    <col min="8746" max="8746" width="19.25" style="1629" customWidth="1"/>
    <col min="8747" max="8748" width="23" style="1629" customWidth="1"/>
    <col min="8749" max="8749" width="9" style="1629" customWidth="1"/>
    <col min="8750" max="8960" width="8.875" style="1629"/>
    <col min="8961" max="8961" width="122.375" style="1629" customWidth="1"/>
    <col min="8962" max="8962" width="7.125" style="1629" customWidth="1"/>
    <col min="8963" max="8963" width="15.875" style="1629" customWidth="1"/>
    <col min="8964" max="8964" width="7.125" style="1629" customWidth="1"/>
    <col min="8965" max="8965" width="5.25" style="1629" customWidth="1"/>
    <col min="8966" max="8966" width="63.375" style="1629" customWidth="1"/>
    <col min="8967" max="8967" width="9" style="1629" customWidth="1"/>
    <col min="8968" max="8968" width="24.125" style="1629" customWidth="1"/>
    <col min="8969" max="8969" width="78" style="1629" customWidth="1"/>
    <col min="8970" max="8971" width="15.875" style="1629" customWidth="1"/>
    <col min="8972" max="8972" width="19.375" style="1629" customWidth="1"/>
    <col min="8973" max="8973" width="9" style="1629" customWidth="1"/>
    <col min="8974" max="8974" width="36.875" style="1629" customWidth="1"/>
    <col min="8975" max="8975" width="44.25" style="1629" customWidth="1"/>
    <col min="8976" max="8976" width="11.375" style="1629" customWidth="1"/>
    <col min="8977" max="8978" width="17.75" style="1629" customWidth="1"/>
    <col min="8979" max="8979" width="79.375" style="1629" customWidth="1"/>
    <col min="8980" max="8980" width="57.25" style="1629" customWidth="1"/>
    <col min="8981" max="8981" width="42.625" style="1629" customWidth="1"/>
    <col min="8982" max="8982" width="20.375" style="1629" customWidth="1"/>
    <col min="8983" max="8983" width="9" style="1629" customWidth="1"/>
    <col min="8984" max="8987" width="10.25" style="1629" customWidth="1"/>
    <col min="8988" max="8988" width="24.125" style="1629" customWidth="1"/>
    <col min="8989" max="8989" width="9" style="1629" customWidth="1"/>
    <col min="8990" max="8990" width="102.75" style="1629" customWidth="1"/>
    <col min="8991" max="8993" width="12.125" style="1629" customWidth="1"/>
    <col min="8994" max="8995" width="18.25" style="1629" customWidth="1"/>
    <col min="8996" max="8997" width="16.375" style="1629" customWidth="1"/>
    <col min="8998" max="8999" width="25" style="1629" customWidth="1"/>
    <col min="9000" max="9000" width="7.125" style="1629" customWidth="1"/>
    <col min="9001" max="9001" width="28" style="1629" customWidth="1"/>
    <col min="9002" max="9002" width="19.25" style="1629" customWidth="1"/>
    <col min="9003" max="9004" width="23" style="1629" customWidth="1"/>
    <col min="9005" max="9005" width="9" style="1629" customWidth="1"/>
    <col min="9006" max="9216" width="8.875" style="1629"/>
    <col min="9217" max="9217" width="122.375" style="1629" customWidth="1"/>
    <col min="9218" max="9218" width="7.125" style="1629" customWidth="1"/>
    <col min="9219" max="9219" width="15.875" style="1629" customWidth="1"/>
    <col min="9220" max="9220" width="7.125" style="1629" customWidth="1"/>
    <col min="9221" max="9221" width="5.25" style="1629" customWidth="1"/>
    <col min="9222" max="9222" width="63.375" style="1629" customWidth="1"/>
    <col min="9223" max="9223" width="9" style="1629" customWidth="1"/>
    <col min="9224" max="9224" width="24.125" style="1629" customWidth="1"/>
    <col min="9225" max="9225" width="78" style="1629" customWidth="1"/>
    <col min="9226" max="9227" width="15.875" style="1629" customWidth="1"/>
    <col min="9228" max="9228" width="19.375" style="1629" customWidth="1"/>
    <col min="9229" max="9229" width="9" style="1629" customWidth="1"/>
    <col min="9230" max="9230" width="36.875" style="1629" customWidth="1"/>
    <col min="9231" max="9231" width="44.25" style="1629" customWidth="1"/>
    <col min="9232" max="9232" width="11.375" style="1629" customWidth="1"/>
    <col min="9233" max="9234" width="17.75" style="1629" customWidth="1"/>
    <col min="9235" max="9235" width="79.375" style="1629" customWidth="1"/>
    <col min="9236" max="9236" width="57.25" style="1629" customWidth="1"/>
    <col min="9237" max="9237" width="42.625" style="1629" customWidth="1"/>
    <col min="9238" max="9238" width="20.375" style="1629" customWidth="1"/>
    <col min="9239" max="9239" width="9" style="1629" customWidth="1"/>
    <col min="9240" max="9243" width="10.25" style="1629" customWidth="1"/>
    <col min="9244" max="9244" width="24.125" style="1629" customWidth="1"/>
    <col min="9245" max="9245" width="9" style="1629" customWidth="1"/>
    <col min="9246" max="9246" width="102.75" style="1629" customWidth="1"/>
    <col min="9247" max="9249" width="12.125" style="1629" customWidth="1"/>
    <col min="9250" max="9251" width="18.25" style="1629" customWidth="1"/>
    <col min="9252" max="9253" width="16.375" style="1629" customWidth="1"/>
    <col min="9254" max="9255" width="25" style="1629" customWidth="1"/>
    <col min="9256" max="9256" width="7.125" style="1629" customWidth="1"/>
    <col min="9257" max="9257" width="28" style="1629" customWidth="1"/>
    <col min="9258" max="9258" width="19.25" style="1629" customWidth="1"/>
    <col min="9259" max="9260" width="23" style="1629" customWidth="1"/>
    <col min="9261" max="9261" width="9" style="1629" customWidth="1"/>
    <col min="9262" max="9472" width="8.875" style="1629"/>
    <col min="9473" max="9473" width="122.375" style="1629" customWidth="1"/>
    <col min="9474" max="9474" width="7.125" style="1629" customWidth="1"/>
    <col min="9475" max="9475" width="15.875" style="1629" customWidth="1"/>
    <col min="9476" max="9476" width="7.125" style="1629" customWidth="1"/>
    <col min="9477" max="9477" width="5.25" style="1629" customWidth="1"/>
    <col min="9478" max="9478" width="63.375" style="1629" customWidth="1"/>
    <col min="9479" max="9479" width="9" style="1629" customWidth="1"/>
    <col min="9480" max="9480" width="24.125" style="1629" customWidth="1"/>
    <col min="9481" max="9481" width="78" style="1629" customWidth="1"/>
    <col min="9482" max="9483" width="15.875" style="1629" customWidth="1"/>
    <col min="9484" max="9484" width="19.375" style="1629" customWidth="1"/>
    <col min="9485" max="9485" width="9" style="1629" customWidth="1"/>
    <col min="9486" max="9486" width="36.875" style="1629" customWidth="1"/>
    <col min="9487" max="9487" width="44.25" style="1629" customWidth="1"/>
    <col min="9488" max="9488" width="11.375" style="1629" customWidth="1"/>
    <col min="9489" max="9490" width="17.75" style="1629" customWidth="1"/>
    <col min="9491" max="9491" width="79.375" style="1629" customWidth="1"/>
    <col min="9492" max="9492" width="57.25" style="1629" customWidth="1"/>
    <col min="9493" max="9493" width="42.625" style="1629" customWidth="1"/>
    <col min="9494" max="9494" width="20.375" style="1629" customWidth="1"/>
    <col min="9495" max="9495" width="9" style="1629" customWidth="1"/>
    <col min="9496" max="9499" width="10.25" style="1629" customWidth="1"/>
    <col min="9500" max="9500" width="24.125" style="1629" customWidth="1"/>
    <col min="9501" max="9501" width="9" style="1629" customWidth="1"/>
    <col min="9502" max="9502" width="102.75" style="1629" customWidth="1"/>
    <col min="9503" max="9505" width="12.125" style="1629" customWidth="1"/>
    <col min="9506" max="9507" width="18.25" style="1629" customWidth="1"/>
    <col min="9508" max="9509" width="16.375" style="1629" customWidth="1"/>
    <col min="9510" max="9511" width="25" style="1629" customWidth="1"/>
    <col min="9512" max="9512" width="7.125" style="1629" customWidth="1"/>
    <col min="9513" max="9513" width="28" style="1629" customWidth="1"/>
    <col min="9514" max="9514" width="19.25" style="1629" customWidth="1"/>
    <col min="9515" max="9516" width="23" style="1629" customWidth="1"/>
    <col min="9517" max="9517" width="9" style="1629" customWidth="1"/>
    <col min="9518" max="9728" width="8.875" style="1629"/>
    <col min="9729" max="9729" width="122.375" style="1629" customWidth="1"/>
    <col min="9730" max="9730" width="7.125" style="1629" customWidth="1"/>
    <col min="9731" max="9731" width="15.875" style="1629" customWidth="1"/>
    <col min="9732" max="9732" width="7.125" style="1629" customWidth="1"/>
    <col min="9733" max="9733" width="5.25" style="1629" customWidth="1"/>
    <col min="9734" max="9734" width="63.375" style="1629" customWidth="1"/>
    <col min="9735" max="9735" width="9" style="1629" customWidth="1"/>
    <col min="9736" max="9736" width="24.125" style="1629" customWidth="1"/>
    <col min="9737" max="9737" width="78" style="1629" customWidth="1"/>
    <col min="9738" max="9739" width="15.875" style="1629" customWidth="1"/>
    <col min="9740" max="9740" width="19.375" style="1629" customWidth="1"/>
    <col min="9741" max="9741" width="9" style="1629" customWidth="1"/>
    <col min="9742" max="9742" width="36.875" style="1629" customWidth="1"/>
    <col min="9743" max="9743" width="44.25" style="1629" customWidth="1"/>
    <col min="9744" max="9744" width="11.375" style="1629" customWidth="1"/>
    <col min="9745" max="9746" width="17.75" style="1629" customWidth="1"/>
    <col min="9747" max="9747" width="79.375" style="1629" customWidth="1"/>
    <col min="9748" max="9748" width="57.25" style="1629" customWidth="1"/>
    <col min="9749" max="9749" width="42.625" style="1629" customWidth="1"/>
    <col min="9750" max="9750" width="20.375" style="1629" customWidth="1"/>
    <col min="9751" max="9751" width="9" style="1629" customWidth="1"/>
    <col min="9752" max="9755" width="10.25" style="1629" customWidth="1"/>
    <col min="9756" max="9756" width="24.125" style="1629" customWidth="1"/>
    <col min="9757" max="9757" width="9" style="1629" customWidth="1"/>
    <col min="9758" max="9758" width="102.75" style="1629" customWidth="1"/>
    <col min="9759" max="9761" width="12.125" style="1629" customWidth="1"/>
    <col min="9762" max="9763" width="18.25" style="1629" customWidth="1"/>
    <col min="9764" max="9765" width="16.375" style="1629" customWidth="1"/>
    <col min="9766" max="9767" width="25" style="1629" customWidth="1"/>
    <col min="9768" max="9768" width="7.125" style="1629" customWidth="1"/>
    <col min="9769" max="9769" width="28" style="1629" customWidth="1"/>
    <col min="9770" max="9770" width="19.25" style="1629" customWidth="1"/>
    <col min="9771" max="9772" width="23" style="1629" customWidth="1"/>
    <col min="9773" max="9773" width="9" style="1629" customWidth="1"/>
    <col min="9774" max="9984" width="8.875" style="1629"/>
    <col min="9985" max="9985" width="122.375" style="1629" customWidth="1"/>
    <col min="9986" max="9986" width="7.125" style="1629" customWidth="1"/>
    <col min="9987" max="9987" width="15.875" style="1629" customWidth="1"/>
    <col min="9988" max="9988" width="7.125" style="1629" customWidth="1"/>
    <col min="9989" max="9989" width="5.25" style="1629" customWidth="1"/>
    <col min="9990" max="9990" width="63.375" style="1629" customWidth="1"/>
    <col min="9991" max="9991" width="9" style="1629" customWidth="1"/>
    <col min="9992" max="9992" width="24.125" style="1629" customWidth="1"/>
    <col min="9993" max="9993" width="78" style="1629" customWidth="1"/>
    <col min="9994" max="9995" width="15.875" style="1629" customWidth="1"/>
    <col min="9996" max="9996" width="19.375" style="1629" customWidth="1"/>
    <col min="9997" max="9997" width="9" style="1629" customWidth="1"/>
    <col min="9998" max="9998" width="36.875" style="1629" customWidth="1"/>
    <col min="9999" max="9999" width="44.25" style="1629" customWidth="1"/>
    <col min="10000" max="10000" width="11.375" style="1629" customWidth="1"/>
    <col min="10001" max="10002" width="17.75" style="1629" customWidth="1"/>
    <col min="10003" max="10003" width="79.375" style="1629" customWidth="1"/>
    <col min="10004" max="10004" width="57.25" style="1629" customWidth="1"/>
    <col min="10005" max="10005" width="42.625" style="1629" customWidth="1"/>
    <col min="10006" max="10006" width="20.375" style="1629" customWidth="1"/>
    <col min="10007" max="10007" width="9" style="1629" customWidth="1"/>
    <col min="10008" max="10011" width="10.25" style="1629" customWidth="1"/>
    <col min="10012" max="10012" width="24.125" style="1629" customWidth="1"/>
    <col min="10013" max="10013" width="9" style="1629" customWidth="1"/>
    <col min="10014" max="10014" width="102.75" style="1629" customWidth="1"/>
    <col min="10015" max="10017" width="12.125" style="1629" customWidth="1"/>
    <col min="10018" max="10019" width="18.25" style="1629" customWidth="1"/>
    <col min="10020" max="10021" width="16.375" style="1629" customWidth="1"/>
    <col min="10022" max="10023" width="25" style="1629" customWidth="1"/>
    <col min="10024" max="10024" width="7.125" style="1629" customWidth="1"/>
    <col min="10025" max="10025" width="28" style="1629" customWidth="1"/>
    <col min="10026" max="10026" width="19.25" style="1629" customWidth="1"/>
    <col min="10027" max="10028" width="23" style="1629" customWidth="1"/>
    <col min="10029" max="10029" width="9" style="1629" customWidth="1"/>
    <col min="10030" max="10240" width="8.875" style="1629"/>
    <col min="10241" max="10241" width="122.375" style="1629" customWidth="1"/>
    <col min="10242" max="10242" width="7.125" style="1629" customWidth="1"/>
    <col min="10243" max="10243" width="15.875" style="1629" customWidth="1"/>
    <col min="10244" max="10244" width="7.125" style="1629" customWidth="1"/>
    <col min="10245" max="10245" width="5.25" style="1629" customWidth="1"/>
    <col min="10246" max="10246" width="63.375" style="1629" customWidth="1"/>
    <col min="10247" max="10247" width="9" style="1629" customWidth="1"/>
    <col min="10248" max="10248" width="24.125" style="1629" customWidth="1"/>
    <col min="10249" max="10249" width="78" style="1629" customWidth="1"/>
    <col min="10250" max="10251" width="15.875" style="1629" customWidth="1"/>
    <col min="10252" max="10252" width="19.375" style="1629" customWidth="1"/>
    <col min="10253" max="10253" width="9" style="1629" customWidth="1"/>
    <col min="10254" max="10254" width="36.875" style="1629" customWidth="1"/>
    <col min="10255" max="10255" width="44.25" style="1629" customWidth="1"/>
    <col min="10256" max="10256" width="11.375" style="1629" customWidth="1"/>
    <col min="10257" max="10258" width="17.75" style="1629" customWidth="1"/>
    <col min="10259" max="10259" width="79.375" style="1629" customWidth="1"/>
    <col min="10260" max="10260" width="57.25" style="1629" customWidth="1"/>
    <col min="10261" max="10261" width="42.625" style="1629" customWidth="1"/>
    <col min="10262" max="10262" width="20.375" style="1629" customWidth="1"/>
    <col min="10263" max="10263" width="9" style="1629" customWidth="1"/>
    <col min="10264" max="10267" width="10.25" style="1629" customWidth="1"/>
    <col min="10268" max="10268" width="24.125" style="1629" customWidth="1"/>
    <col min="10269" max="10269" width="9" style="1629" customWidth="1"/>
    <col min="10270" max="10270" width="102.75" style="1629" customWidth="1"/>
    <col min="10271" max="10273" width="12.125" style="1629" customWidth="1"/>
    <col min="10274" max="10275" width="18.25" style="1629" customWidth="1"/>
    <col min="10276" max="10277" width="16.375" style="1629" customWidth="1"/>
    <col min="10278" max="10279" width="25" style="1629" customWidth="1"/>
    <col min="10280" max="10280" width="7.125" style="1629" customWidth="1"/>
    <col min="10281" max="10281" width="28" style="1629" customWidth="1"/>
    <col min="10282" max="10282" width="19.25" style="1629" customWidth="1"/>
    <col min="10283" max="10284" width="23" style="1629" customWidth="1"/>
    <col min="10285" max="10285" width="9" style="1629" customWidth="1"/>
    <col min="10286" max="10496" width="8.875" style="1629"/>
    <col min="10497" max="10497" width="122.375" style="1629" customWidth="1"/>
    <col min="10498" max="10498" width="7.125" style="1629" customWidth="1"/>
    <col min="10499" max="10499" width="15.875" style="1629" customWidth="1"/>
    <col min="10500" max="10500" width="7.125" style="1629" customWidth="1"/>
    <col min="10501" max="10501" width="5.25" style="1629" customWidth="1"/>
    <col min="10502" max="10502" width="63.375" style="1629" customWidth="1"/>
    <col min="10503" max="10503" width="9" style="1629" customWidth="1"/>
    <col min="10504" max="10504" width="24.125" style="1629" customWidth="1"/>
    <col min="10505" max="10505" width="78" style="1629" customWidth="1"/>
    <col min="10506" max="10507" width="15.875" style="1629" customWidth="1"/>
    <col min="10508" max="10508" width="19.375" style="1629" customWidth="1"/>
    <col min="10509" max="10509" width="9" style="1629" customWidth="1"/>
    <col min="10510" max="10510" width="36.875" style="1629" customWidth="1"/>
    <col min="10511" max="10511" width="44.25" style="1629" customWidth="1"/>
    <col min="10512" max="10512" width="11.375" style="1629" customWidth="1"/>
    <col min="10513" max="10514" width="17.75" style="1629" customWidth="1"/>
    <col min="10515" max="10515" width="79.375" style="1629" customWidth="1"/>
    <col min="10516" max="10516" width="57.25" style="1629" customWidth="1"/>
    <col min="10517" max="10517" width="42.625" style="1629" customWidth="1"/>
    <col min="10518" max="10518" width="20.375" style="1629" customWidth="1"/>
    <col min="10519" max="10519" width="9" style="1629" customWidth="1"/>
    <col min="10520" max="10523" width="10.25" style="1629" customWidth="1"/>
    <col min="10524" max="10524" width="24.125" style="1629" customWidth="1"/>
    <col min="10525" max="10525" width="9" style="1629" customWidth="1"/>
    <col min="10526" max="10526" width="102.75" style="1629" customWidth="1"/>
    <col min="10527" max="10529" width="12.125" style="1629" customWidth="1"/>
    <col min="10530" max="10531" width="18.25" style="1629" customWidth="1"/>
    <col min="10532" max="10533" width="16.375" style="1629" customWidth="1"/>
    <col min="10534" max="10535" width="25" style="1629" customWidth="1"/>
    <col min="10536" max="10536" width="7.125" style="1629" customWidth="1"/>
    <col min="10537" max="10537" width="28" style="1629" customWidth="1"/>
    <col min="10538" max="10538" width="19.25" style="1629" customWidth="1"/>
    <col min="10539" max="10540" width="23" style="1629" customWidth="1"/>
    <col min="10541" max="10541" width="9" style="1629" customWidth="1"/>
    <col min="10542" max="10752" width="8.875" style="1629"/>
    <col min="10753" max="10753" width="122.375" style="1629" customWidth="1"/>
    <col min="10754" max="10754" width="7.125" style="1629" customWidth="1"/>
    <col min="10755" max="10755" width="15.875" style="1629" customWidth="1"/>
    <col min="10756" max="10756" width="7.125" style="1629" customWidth="1"/>
    <col min="10757" max="10757" width="5.25" style="1629" customWidth="1"/>
    <col min="10758" max="10758" width="63.375" style="1629" customWidth="1"/>
    <col min="10759" max="10759" width="9" style="1629" customWidth="1"/>
    <col min="10760" max="10760" width="24.125" style="1629" customWidth="1"/>
    <col min="10761" max="10761" width="78" style="1629" customWidth="1"/>
    <col min="10762" max="10763" width="15.875" style="1629" customWidth="1"/>
    <col min="10764" max="10764" width="19.375" style="1629" customWidth="1"/>
    <col min="10765" max="10765" width="9" style="1629" customWidth="1"/>
    <col min="10766" max="10766" width="36.875" style="1629" customWidth="1"/>
    <col min="10767" max="10767" width="44.25" style="1629" customWidth="1"/>
    <col min="10768" max="10768" width="11.375" style="1629" customWidth="1"/>
    <col min="10769" max="10770" width="17.75" style="1629" customWidth="1"/>
    <col min="10771" max="10771" width="79.375" style="1629" customWidth="1"/>
    <col min="10772" max="10772" width="57.25" style="1629" customWidth="1"/>
    <col min="10773" max="10773" width="42.625" style="1629" customWidth="1"/>
    <col min="10774" max="10774" width="20.375" style="1629" customWidth="1"/>
    <col min="10775" max="10775" width="9" style="1629" customWidth="1"/>
    <col min="10776" max="10779" width="10.25" style="1629" customWidth="1"/>
    <col min="10780" max="10780" width="24.125" style="1629" customWidth="1"/>
    <col min="10781" max="10781" width="9" style="1629" customWidth="1"/>
    <col min="10782" max="10782" width="102.75" style="1629" customWidth="1"/>
    <col min="10783" max="10785" width="12.125" style="1629" customWidth="1"/>
    <col min="10786" max="10787" width="18.25" style="1629" customWidth="1"/>
    <col min="10788" max="10789" width="16.375" style="1629" customWidth="1"/>
    <col min="10790" max="10791" width="25" style="1629" customWidth="1"/>
    <col min="10792" max="10792" width="7.125" style="1629" customWidth="1"/>
    <col min="10793" max="10793" width="28" style="1629" customWidth="1"/>
    <col min="10794" max="10794" width="19.25" style="1629" customWidth="1"/>
    <col min="10795" max="10796" width="23" style="1629" customWidth="1"/>
    <col min="10797" max="10797" width="9" style="1629" customWidth="1"/>
    <col min="10798" max="11008" width="8.875" style="1629"/>
    <col min="11009" max="11009" width="122.375" style="1629" customWidth="1"/>
    <col min="11010" max="11010" width="7.125" style="1629" customWidth="1"/>
    <col min="11011" max="11011" width="15.875" style="1629" customWidth="1"/>
    <col min="11012" max="11012" width="7.125" style="1629" customWidth="1"/>
    <col min="11013" max="11013" width="5.25" style="1629" customWidth="1"/>
    <col min="11014" max="11014" width="63.375" style="1629" customWidth="1"/>
    <col min="11015" max="11015" width="9" style="1629" customWidth="1"/>
    <col min="11016" max="11016" width="24.125" style="1629" customWidth="1"/>
    <col min="11017" max="11017" width="78" style="1629" customWidth="1"/>
    <col min="11018" max="11019" width="15.875" style="1629" customWidth="1"/>
    <col min="11020" max="11020" width="19.375" style="1629" customWidth="1"/>
    <col min="11021" max="11021" width="9" style="1629" customWidth="1"/>
    <col min="11022" max="11022" width="36.875" style="1629" customWidth="1"/>
    <col min="11023" max="11023" width="44.25" style="1629" customWidth="1"/>
    <col min="11024" max="11024" width="11.375" style="1629" customWidth="1"/>
    <col min="11025" max="11026" width="17.75" style="1629" customWidth="1"/>
    <col min="11027" max="11027" width="79.375" style="1629" customWidth="1"/>
    <col min="11028" max="11028" width="57.25" style="1629" customWidth="1"/>
    <col min="11029" max="11029" width="42.625" style="1629" customWidth="1"/>
    <col min="11030" max="11030" width="20.375" style="1629" customWidth="1"/>
    <col min="11031" max="11031" width="9" style="1629" customWidth="1"/>
    <col min="11032" max="11035" width="10.25" style="1629" customWidth="1"/>
    <col min="11036" max="11036" width="24.125" style="1629" customWidth="1"/>
    <col min="11037" max="11037" width="9" style="1629" customWidth="1"/>
    <col min="11038" max="11038" width="102.75" style="1629" customWidth="1"/>
    <col min="11039" max="11041" width="12.125" style="1629" customWidth="1"/>
    <col min="11042" max="11043" width="18.25" style="1629" customWidth="1"/>
    <col min="11044" max="11045" width="16.375" style="1629" customWidth="1"/>
    <col min="11046" max="11047" width="25" style="1629" customWidth="1"/>
    <col min="11048" max="11048" width="7.125" style="1629" customWidth="1"/>
    <col min="11049" max="11049" width="28" style="1629" customWidth="1"/>
    <col min="11050" max="11050" width="19.25" style="1629" customWidth="1"/>
    <col min="11051" max="11052" width="23" style="1629" customWidth="1"/>
    <col min="11053" max="11053" width="9" style="1629" customWidth="1"/>
    <col min="11054" max="11264" width="8.875" style="1629"/>
    <col min="11265" max="11265" width="122.375" style="1629" customWidth="1"/>
    <col min="11266" max="11266" width="7.125" style="1629" customWidth="1"/>
    <col min="11267" max="11267" width="15.875" style="1629" customWidth="1"/>
    <col min="11268" max="11268" width="7.125" style="1629" customWidth="1"/>
    <col min="11269" max="11269" width="5.25" style="1629" customWidth="1"/>
    <col min="11270" max="11270" width="63.375" style="1629" customWidth="1"/>
    <col min="11271" max="11271" width="9" style="1629" customWidth="1"/>
    <col min="11272" max="11272" width="24.125" style="1629" customWidth="1"/>
    <col min="11273" max="11273" width="78" style="1629" customWidth="1"/>
    <col min="11274" max="11275" width="15.875" style="1629" customWidth="1"/>
    <col min="11276" max="11276" width="19.375" style="1629" customWidth="1"/>
    <col min="11277" max="11277" width="9" style="1629" customWidth="1"/>
    <col min="11278" max="11278" width="36.875" style="1629" customWidth="1"/>
    <col min="11279" max="11279" width="44.25" style="1629" customWidth="1"/>
    <col min="11280" max="11280" width="11.375" style="1629" customWidth="1"/>
    <col min="11281" max="11282" width="17.75" style="1629" customWidth="1"/>
    <col min="11283" max="11283" width="79.375" style="1629" customWidth="1"/>
    <col min="11284" max="11284" width="57.25" style="1629" customWidth="1"/>
    <col min="11285" max="11285" width="42.625" style="1629" customWidth="1"/>
    <col min="11286" max="11286" width="20.375" style="1629" customWidth="1"/>
    <col min="11287" max="11287" width="9" style="1629" customWidth="1"/>
    <col min="11288" max="11291" width="10.25" style="1629" customWidth="1"/>
    <col min="11292" max="11292" width="24.125" style="1629" customWidth="1"/>
    <col min="11293" max="11293" width="9" style="1629" customWidth="1"/>
    <col min="11294" max="11294" width="102.75" style="1629" customWidth="1"/>
    <col min="11295" max="11297" width="12.125" style="1629" customWidth="1"/>
    <col min="11298" max="11299" width="18.25" style="1629" customWidth="1"/>
    <col min="11300" max="11301" width="16.375" style="1629" customWidth="1"/>
    <col min="11302" max="11303" width="25" style="1629" customWidth="1"/>
    <col min="11304" max="11304" width="7.125" style="1629" customWidth="1"/>
    <col min="11305" max="11305" width="28" style="1629" customWidth="1"/>
    <col min="11306" max="11306" width="19.25" style="1629" customWidth="1"/>
    <col min="11307" max="11308" width="23" style="1629" customWidth="1"/>
    <col min="11309" max="11309" width="9" style="1629" customWidth="1"/>
    <col min="11310" max="11520" width="8.875" style="1629"/>
    <col min="11521" max="11521" width="122.375" style="1629" customWidth="1"/>
    <col min="11522" max="11522" width="7.125" style="1629" customWidth="1"/>
    <col min="11523" max="11523" width="15.875" style="1629" customWidth="1"/>
    <col min="11524" max="11524" width="7.125" style="1629" customWidth="1"/>
    <col min="11525" max="11525" width="5.25" style="1629" customWidth="1"/>
    <col min="11526" max="11526" width="63.375" style="1629" customWidth="1"/>
    <col min="11527" max="11527" width="9" style="1629" customWidth="1"/>
    <col min="11528" max="11528" width="24.125" style="1629" customWidth="1"/>
    <col min="11529" max="11529" width="78" style="1629" customWidth="1"/>
    <col min="11530" max="11531" width="15.875" style="1629" customWidth="1"/>
    <col min="11532" max="11532" width="19.375" style="1629" customWidth="1"/>
    <col min="11533" max="11533" width="9" style="1629" customWidth="1"/>
    <col min="11534" max="11534" width="36.875" style="1629" customWidth="1"/>
    <col min="11535" max="11535" width="44.25" style="1629" customWidth="1"/>
    <col min="11536" max="11536" width="11.375" style="1629" customWidth="1"/>
    <col min="11537" max="11538" width="17.75" style="1629" customWidth="1"/>
    <col min="11539" max="11539" width="79.375" style="1629" customWidth="1"/>
    <col min="11540" max="11540" width="57.25" style="1629" customWidth="1"/>
    <col min="11541" max="11541" width="42.625" style="1629" customWidth="1"/>
    <col min="11542" max="11542" width="20.375" style="1629" customWidth="1"/>
    <col min="11543" max="11543" width="9" style="1629" customWidth="1"/>
    <col min="11544" max="11547" width="10.25" style="1629" customWidth="1"/>
    <col min="11548" max="11548" width="24.125" style="1629" customWidth="1"/>
    <col min="11549" max="11549" width="9" style="1629" customWidth="1"/>
    <col min="11550" max="11550" width="102.75" style="1629" customWidth="1"/>
    <col min="11551" max="11553" width="12.125" style="1629" customWidth="1"/>
    <col min="11554" max="11555" width="18.25" style="1629" customWidth="1"/>
    <col min="11556" max="11557" width="16.375" style="1629" customWidth="1"/>
    <col min="11558" max="11559" width="25" style="1629" customWidth="1"/>
    <col min="11560" max="11560" width="7.125" style="1629" customWidth="1"/>
    <col min="11561" max="11561" width="28" style="1629" customWidth="1"/>
    <col min="11562" max="11562" width="19.25" style="1629" customWidth="1"/>
    <col min="11563" max="11564" width="23" style="1629" customWidth="1"/>
    <col min="11565" max="11565" width="9" style="1629" customWidth="1"/>
    <col min="11566" max="11776" width="8.875" style="1629"/>
    <col min="11777" max="11777" width="122.375" style="1629" customWidth="1"/>
    <col min="11778" max="11778" width="7.125" style="1629" customWidth="1"/>
    <col min="11779" max="11779" width="15.875" style="1629" customWidth="1"/>
    <col min="11780" max="11780" width="7.125" style="1629" customWidth="1"/>
    <col min="11781" max="11781" width="5.25" style="1629" customWidth="1"/>
    <col min="11782" max="11782" width="63.375" style="1629" customWidth="1"/>
    <col min="11783" max="11783" width="9" style="1629" customWidth="1"/>
    <col min="11784" max="11784" width="24.125" style="1629" customWidth="1"/>
    <col min="11785" max="11785" width="78" style="1629" customWidth="1"/>
    <col min="11786" max="11787" width="15.875" style="1629" customWidth="1"/>
    <col min="11788" max="11788" width="19.375" style="1629" customWidth="1"/>
    <col min="11789" max="11789" width="9" style="1629" customWidth="1"/>
    <col min="11790" max="11790" width="36.875" style="1629" customWidth="1"/>
    <col min="11791" max="11791" width="44.25" style="1629" customWidth="1"/>
    <col min="11792" max="11792" width="11.375" style="1629" customWidth="1"/>
    <col min="11793" max="11794" width="17.75" style="1629" customWidth="1"/>
    <col min="11795" max="11795" width="79.375" style="1629" customWidth="1"/>
    <col min="11796" max="11796" width="57.25" style="1629" customWidth="1"/>
    <col min="11797" max="11797" width="42.625" style="1629" customWidth="1"/>
    <col min="11798" max="11798" width="20.375" style="1629" customWidth="1"/>
    <col min="11799" max="11799" width="9" style="1629" customWidth="1"/>
    <col min="11800" max="11803" width="10.25" style="1629" customWidth="1"/>
    <col min="11804" max="11804" width="24.125" style="1629" customWidth="1"/>
    <col min="11805" max="11805" width="9" style="1629" customWidth="1"/>
    <col min="11806" max="11806" width="102.75" style="1629" customWidth="1"/>
    <col min="11807" max="11809" width="12.125" style="1629" customWidth="1"/>
    <col min="11810" max="11811" width="18.25" style="1629" customWidth="1"/>
    <col min="11812" max="11813" width="16.375" style="1629" customWidth="1"/>
    <col min="11814" max="11815" width="25" style="1629" customWidth="1"/>
    <col min="11816" max="11816" width="7.125" style="1629" customWidth="1"/>
    <col min="11817" max="11817" width="28" style="1629" customWidth="1"/>
    <col min="11818" max="11818" width="19.25" style="1629" customWidth="1"/>
    <col min="11819" max="11820" width="23" style="1629" customWidth="1"/>
    <col min="11821" max="11821" width="9" style="1629" customWidth="1"/>
    <col min="11822" max="12032" width="8.875" style="1629"/>
    <col min="12033" max="12033" width="122.375" style="1629" customWidth="1"/>
    <col min="12034" max="12034" width="7.125" style="1629" customWidth="1"/>
    <col min="12035" max="12035" width="15.875" style="1629" customWidth="1"/>
    <col min="12036" max="12036" width="7.125" style="1629" customWidth="1"/>
    <col min="12037" max="12037" width="5.25" style="1629" customWidth="1"/>
    <col min="12038" max="12038" width="63.375" style="1629" customWidth="1"/>
    <col min="12039" max="12039" width="9" style="1629" customWidth="1"/>
    <col min="12040" max="12040" width="24.125" style="1629" customWidth="1"/>
    <col min="12041" max="12041" width="78" style="1629" customWidth="1"/>
    <col min="12042" max="12043" width="15.875" style="1629" customWidth="1"/>
    <col min="12044" max="12044" width="19.375" style="1629" customWidth="1"/>
    <col min="12045" max="12045" width="9" style="1629" customWidth="1"/>
    <col min="12046" max="12046" width="36.875" style="1629" customWidth="1"/>
    <col min="12047" max="12047" width="44.25" style="1629" customWidth="1"/>
    <col min="12048" max="12048" width="11.375" style="1629" customWidth="1"/>
    <col min="12049" max="12050" width="17.75" style="1629" customWidth="1"/>
    <col min="12051" max="12051" width="79.375" style="1629" customWidth="1"/>
    <col min="12052" max="12052" width="57.25" style="1629" customWidth="1"/>
    <col min="12053" max="12053" width="42.625" style="1629" customWidth="1"/>
    <col min="12054" max="12054" width="20.375" style="1629" customWidth="1"/>
    <col min="12055" max="12055" width="9" style="1629" customWidth="1"/>
    <col min="12056" max="12059" width="10.25" style="1629" customWidth="1"/>
    <col min="12060" max="12060" width="24.125" style="1629" customWidth="1"/>
    <col min="12061" max="12061" width="9" style="1629" customWidth="1"/>
    <col min="12062" max="12062" width="102.75" style="1629" customWidth="1"/>
    <col min="12063" max="12065" width="12.125" style="1629" customWidth="1"/>
    <col min="12066" max="12067" width="18.25" style="1629" customWidth="1"/>
    <col min="12068" max="12069" width="16.375" style="1629" customWidth="1"/>
    <col min="12070" max="12071" width="25" style="1629" customWidth="1"/>
    <col min="12072" max="12072" width="7.125" style="1629" customWidth="1"/>
    <col min="12073" max="12073" width="28" style="1629" customWidth="1"/>
    <col min="12074" max="12074" width="19.25" style="1629" customWidth="1"/>
    <col min="12075" max="12076" width="23" style="1629" customWidth="1"/>
    <col min="12077" max="12077" width="9" style="1629" customWidth="1"/>
    <col min="12078" max="12288" width="8.875" style="1629"/>
    <col min="12289" max="12289" width="122.375" style="1629" customWidth="1"/>
    <col min="12290" max="12290" width="7.125" style="1629" customWidth="1"/>
    <col min="12291" max="12291" width="15.875" style="1629" customWidth="1"/>
    <col min="12292" max="12292" width="7.125" style="1629" customWidth="1"/>
    <col min="12293" max="12293" width="5.25" style="1629" customWidth="1"/>
    <col min="12294" max="12294" width="63.375" style="1629" customWidth="1"/>
    <col min="12295" max="12295" width="9" style="1629" customWidth="1"/>
    <col min="12296" max="12296" width="24.125" style="1629" customWidth="1"/>
    <col min="12297" max="12297" width="78" style="1629" customWidth="1"/>
    <col min="12298" max="12299" width="15.875" style="1629" customWidth="1"/>
    <col min="12300" max="12300" width="19.375" style="1629" customWidth="1"/>
    <col min="12301" max="12301" width="9" style="1629" customWidth="1"/>
    <col min="12302" max="12302" width="36.875" style="1629" customWidth="1"/>
    <col min="12303" max="12303" width="44.25" style="1629" customWidth="1"/>
    <col min="12304" max="12304" width="11.375" style="1629" customWidth="1"/>
    <col min="12305" max="12306" width="17.75" style="1629" customWidth="1"/>
    <col min="12307" max="12307" width="79.375" style="1629" customWidth="1"/>
    <col min="12308" max="12308" width="57.25" style="1629" customWidth="1"/>
    <col min="12309" max="12309" width="42.625" style="1629" customWidth="1"/>
    <col min="12310" max="12310" width="20.375" style="1629" customWidth="1"/>
    <col min="12311" max="12311" width="9" style="1629" customWidth="1"/>
    <col min="12312" max="12315" width="10.25" style="1629" customWidth="1"/>
    <col min="12316" max="12316" width="24.125" style="1629" customWidth="1"/>
    <col min="12317" max="12317" width="9" style="1629" customWidth="1"/>
    <col min="12318" max="12318" width="102.75" style="1629" customWidth="1"/>
    <col min="12319" max="12321" width="12.125" style="1629" customWidth="1"/>
    <col min="12322" max="12323" width="18.25" style="1629" customWidth="1"/>
    <col min="12324" max="12325" width="16.375" style="1629" customWidth="1"/>
    <col min="12326" max="12327" width="25" style="1629" customWidth="1"/>
    <col min="12328" max="12328" width="7.125" style="1629" customWidth="1"/>
    <col min="12329" max="12329" width="28" style="1629" customWidth="1"/>
    <col min="12330" max="12330" width="19.25" style="1629" customWidth="1"/>
    <col min="12331" max="12332" width="23" style="1629" customWidth="1"/>
    <col min="12333" max="12333" width="9" style="1629" customWidth="1"/>
    <col min="12334" max="12544" width="8.875" style="1629"/>
    <col min="12545" max="12545" width="122.375" style="1629" customWidth="1"/>
    <col min="12546" max="12546" width="7.125" style="1629" customWidth="1"/>
    <col min="12547" max="12547" width="15.875" style="1629" customWidth="1"/>
    <col min="12548" max="12548" width="7.125" style="1629" customWidth="1"/>
    <col min="12549" max="12549" width="5.25" style="1629" customWidth="1"/>
    <col min="12550" max="12550" width="63.375" style="1629" customWidth="1"/>
    <col min="12551" max="12551" width="9" style="1629" customWidth="1"/>
    <col min="12552" max="12552" width="24.125" style="1629" customWidth="1"/>
    <col min="12553" max="12553" width="78" style="1629" customWidth="1"/>
    <col min="12554" max="12555" width="15.875" style="1629" customWidth="1"/>
    <col min="12556" max="12556" width="19.375" style="1629" customWidth="1"/>
    <col min="12557" max="12557" width="9" style="1629" customWidth="1"/>
    <col min="12558" max="12558" width="36.875" style="1629" customWidth="1"/>
    <col min="12559" max="12559" width="44.25" style="1629" customWidth="1"/>
    <col min="12560" max="12560" width="11.375" style="1629" customWidth="1"/>
    <col min="12561" max="12562" width="17.75" style="1629" customWidth="1"/>
    <col min="12563" max="12563" width="79.375" style="1629" customWidth="1"/>
    <col min="12564" max="12564" width="57.25" style="1629" customWidth="1"/>
    <col min="12565" max="12565" width="42.625" style="1629" customWidth="1"/>
    <col min="12566" max="12566" width="20.375" style="1629" customWidth="1"/>
    <col min="12567" max="12567" width="9" style="1629" customWidth="1"/>
    <col min="12568" max="12571" width="10.25" style="1629" customWidth="1"/>
    <col min="12572" max="12572" width="24.125" style="1629" customWidth="1"/>
    <col min="12573" max="12573" width="9" style="1629" customWidth="1"/>
    <col min="12574" max="12574" width="102.75" style="1629" customWidth="1"/>
    <col min="12575" max="12577" width="12.125" style="1629" customWidth="1"/>
    <col min="12578" max="12579" width="18.25" style="1629" customWidth="1"/>
    <col min="12580" max="12581" width="16.375" style="1629" customWidth="1"/>
    <col min="12582" max="12583" width="25" style="1629" customWidth="1"/>
    <col min="12584" max="12584" width="7.125" style="1629" customWidth="1"/>
    <col min="12585" max="12585" width="28" style="1629" customWidth="1"/>
    <col min="12586" max="12586" width="19.25" style="1629" customWidth="1"/>
    <col min="12587" max="12588" width="23" style="1629" customWidth="1"/>
    <col min="12589" max="12589" width="9" style="1629" customWidth="1"/>
    <col min="12590" max="12800" width="8.875" style="1629"/>
    <col min="12801" max="12801" width="122.375" style="1629" customWidth="1"/>
    <col min="12802" max="12802" width="7.125" style="1629" customWidth="1"/>
    <col min="12803" max="12803" width="15.875" style="1629" customWidth="1"/>
    <col min="12804" max="12804" width="7.125" style="1629" customWidth="1"/>
    <col min="12805" max="12805" width="5.25" style="1629" customWidth="1"/>
    <col min="12806" max="12806" width="63.375" style="1629" customWidth="1"/>
    <col min="12807" max="12807" width="9" style="1629" customWidth="1"/>
    <col min="12808" max="12808" width="24.125" style="1629" customWidth="1"/>
    <col min="12809" max="12809" width="78" style="1629" customWidth="1"/>
    <col min="12810" max="12811" width="15.875" style="1629" customWidth="1"/>
    <col min="12812" max="12812" width="19.375" style="1629" customWidth="1"/>
    <col min="12813" max="12813" width="9" style="1629" customWidth="1"/>
    <col min="12814" max="12814" width="36.875" style="1629" customWidth="1"/>
    <col min="12815" max="12815" width="44.25" style="1629" customWidth="1"/>
    <col min="12816" max="12816" width="11.375" style="1629" customWidth="1"/>
    <col min="12817" max="12818" width="17.75" style="1629" customWidth="1"/>
    <col min="12819" max="12819" width="79.375" style="1629" customWidth="1"/>
    <col min="12820" max="12820" width="57.25" style="1629" customWidth="1"/>
    <col min="12821" max="12821" width="42.625" style="1629" customWidth="1"/>
    <col min="12822" max="12822" width="20.375" style="1629" customWidth="1"/>
    <col min="12823" max="12823" width="9" style="1629" customWidth="1"/>
    <col min="12824" max="12827" width="10.25" style="1629" customWidth="1"/>
    <col min="12828" max="12828" width="24.125" style="1629" customWidth="1"/>
    <col min="12829" max="12829" width="9" style="1629" customWidth="1"/>
    <col min="12830" max="12830" width="102.75" style="1629" customWidth="1"/>
    <col min="12831" max="12833" width="12.125" style="1629" customWidth="1"/>
    <col min="12834" max="12835" width="18.25" style="1629" customWidth="1"/>
    <col min="12836" max="12837" width="16.375" style="1629" customWidth="1"/>
    <col min="12838" max="12839" width="25" style="1629" customWidth="1"/>
    <col min="12840" max="12840" width="7.125" style="1629" customWidth="1"/>
    <col min="12841" max="12841" width="28" style="1629" customWidth="1"/>
    <col min="12842" max="12842" width="19.25" style="1629" customWidth="1"/>
    <col min="12843" max="12844" width="23" style="1629" customWidth="1"/>
    <col min="12845" max="12845" width="9" style="1629" customWidth="1"/>
    <col min="12846" max="13056" width="8.875" style="1629"/>
    <col min="13057" max="13057" width="122.375" style="1629" customWidth="1"/>
    <col min="13058" max="13058" width="7.125" style="1629" customWidth="1"/>
    <col min="13059" max="13059" width="15.875" style="1629" customWidth="1"/>
    <col min="13060" max="13060" width="7.125" style="1629" customWidth="1"/>
    <col min="13061" max="13061" width="5.25" style="1629" customWidth="1"/>
    <col min="13062" max="13062" width="63.375" style="1629" customWidth="1"/>
    <col min="13063" max="13063" width="9" style="1629" customWidth="1"/>
    <col min="13064" max="13064" width="24.125" style="1629" customWidth="1"/>
    <col min="13065" max="13065" width="78" style="1629" customWidth="1"/>
    <col min="13066" max="13067" width="15.875" style="1629" customWidth="1"/>
    <col min="13068" max="13068" width="19.375" style="1629" customWidth="1"/>
    <col min="13069" max="13069" width="9" style="1629" customWidth="1"/>
    <col min="13070" max="13070" width="36.875" style="1629" customWidth="1"/>
    <col min="13071" max="13071" width="44.25" style="1629" customWidth="1"/>
    <col min="13072" max="13072" width="11.375" style="1629" customWidth="1"/>
    <col min="13073" max="13074" width="17.75" style="1629" customWidth="1"/>
    <col min="13075" max="13075" width="79.375" style="1629" customWidth="1"/>
    <col min="13076" max="13076" width="57.25" style="1629" customWidth="1"/>
    <col min="13077" max="13077" width="42.625" style="1629" customWidth="1"/>
    <col min="13078" max="13078" width="20.375" style="1629" customWidth="1"/>
    <col min="13079" max="13079" width="9" style="1629" customWidth="1"/>
    <col min="13080" max="13083" width="10.25" style="1629" customWidth="1"/>
    <col min="13084" max="13084" width="24.125" style="1629" customWidth="1"/>
    <col min="13085" max="13085" width="9" style="1629" customWidth="1"/>
    <col min="13086" max="13086" width="102.75" style="1629" customWidth="1"/>
    <col min="13087" max="13089" width="12.125" style="1629" customWidth="1"/>
    <col min="13090" max="13091" width="18.25" style="1629" customWidth="1"/>
    <col min="13092" max="13093" width="16.375" style="1629" customWidth="1"/>
    <col min="13094" max="13095" width="25" style="1629" customWidth="1"/>
    <col min="13096" max="13096" width="7.125" style="1629" customWidth="1"/>
    <col min="13097" max="13097" width="28" style="1629" customWidth="1"/>
    <col min="13098" max="13098" width="19.25" style="1629" customWidth="1"/>
    <col min="13099" max="13100" width="23" style="1629" customWidth="1"/>
    <col min="13101" max="13101" width="9" style="1629" customWidth="1"/>
    <col min="13102" max="13312" width="8.875" style="1629"/>
    <col min="13313" max="13313" width="122.375" style="1629" customWidth="1"/>
    <col min="13314" max="13314" width="7.125" style="1629" customWidth="1"/>
    <col min="13315" max="13315" width="15.875" style="1629" customWidth="1"/>
    <col min="13316" max="13316" width="7.125" style="1629" customWidth="1"/>
    <col min="13317" max="13317" width="5.25" style="1629" customWidth="1"/>
    <col min="13318" max="13318" width="63.375" style="1629" customWidth="1"/>
    <col min="13319" max="13319" width="9" style="1629" customWidth="1"/>
    <col min="13320" max="13320" width="24.125" style="1629" customWidth="1"/>
    <col min="13321" max="13321" width="78" style="1629" customWidth="1"/>
    <col min="13322" max="13323" width="15.875" style="1629" customWidth="1"/>
    <col min="13324" max="13324" width="19.375" style="1629" customWidth="1"/>
    <col min="13325" max="13325" width="9" style="1629" customWidth="1"/>
    <col min="13326" max="13326" width="36.875" style="1629" customWidth="1"/>
    <col min="13327" max="13327" width="44.25" style="1629" customWidth="1"/>
    <col min="13328" max="13328" width="11.375" style="1629" customWidth="1"/>
    <col min="13329" max="13330" width="17.75" style="1629" customWidth="1"/>
    <col min="13331" max="13331" width="79.375" style="1629" customWidth="1"/>
    <col min="13332" max="13332" width="57.25" style="1629" customWidth="1"/>
    <col min="13333" max="13333" width="42.625" style="1629" customWidth="1"/>
    <col min="13334" max="13334" width="20.375" style="1629" customWidth="1"/>
    <col min="13335" max="13335" width="9" style="1629" customWidth="1"/>
    <col min="13336" max="13339" width="10.25" style="1629" customWidth="1"/>
    <col min="13340" max="13340" width="24.125" style="1629" customWidth="1"/>
    <col min="13341" max="13341" width="9" style="1629" customWidth="1"/>
    <col min="13342" max="13342" width="102.75" style="1629" customWidth="1"/>
    <col min="13343" max="13345" width="12.125" style="1629" customWidth="1"/>
    <col min="13346" max="13347" width="18.25" style="1629" customWidth="1"/>
    <col min="13348" max="13349" width="16.375" style="1629" customWidth="1"/>
    <col min="13350" max="13351" width="25" style="1629" customWidth="1"/>
    <col min="13352" max="13352" width="7.125" style="1629" customWidth="1"/>
    <col min="13353" max="13353" width="28" style="1629" customWidth="1"/>
    <col min="13354" max="13354" width="19.25" style="1629" customWidth="1"/>
    <col min="13355" max="13356" width="23" style="1629" customWidth="1"/>
    <col min="13357" max="13357" width="9" style="1629" customWidth="1"/>
    <col min="13358" max="13568" width="8.875" style="1629"/>
    <col min="13569" max="13569" width="122.375" style="1629" customWidth="1"/>
    <col min="13570" max="13570" width="7.125" style="1629" customWidth="1"/>
    <col min="13571" max="13571" width="15.875" style="1629" customWidth="1"/>
    <col min="13572" max="13572" width="7.125" style="1629" customWidth="1"/>
    <col min="13573" max="13573" width="5.25" style="1629" customWidth="1"/>
    <col min="13574" max="13574" width="63.375" style="1629" customWidth="1"/>
    <col min="13575" max="13575" width="9" style="1629" customWidth="1"/>
    <col min="13576" max="13576" width="24.125" style="1629" customWidth="1"/>
    <col min="13577" max="13577" width="78" style="1629" customWidth="1"/>
    <col min="13578" max="13579" width="15.875" style="1629" customWidth="1"/>
    <col min="13580" max="13580" width="19.375" style="1629" customWidth="1"/>
    <col min="13581" max="13581" width="9" style="1629" customWidth="1"/>
    <col min="13582" max="13582" width="36.875" style="1629" customWidth="1"/>
    <col min="13583" max="13583" width="44.25" style="1629" customWidth="1"/>
    <col min="13584" max="13584" width="11.375" style="1629" customWidth="1"/>
    <col min="13585" max="13586" width="17.75" style="1629" customWidth="1"/>
    <col min="13587" max="13587" width="79.375" style="1629" customWidth="1"/>
    <col min="13588" max="13588" width="57.25" style="1629" customWidth="1"/>
    <col min="13589" max="13589" width="42.625" style="1629" customWidth="1"/>
    <col min="13590" max="13590" width="20.375" style="1629" customWidth="1"/>
    <col min="13591" max="13591" width="9" style="1629" customWidth="1"/>
    <col min="13592" max="13595" width="10.25" style="1629" customWidth="1"/>
    <col min="13596" max="13596" width="24.125" style="1629" customWidth="1"/>
    <col min="13597" max="13597" width="9" style="1629" customWidth="1"/>
    <col min="13598" max="13598" width="102.75" style="1629" customWidth="1"/>
    <col min="13599" max="13601" width="12.125" style="1629" customWidth="1"/>
    <col min="13602" max="13603" width="18.25" style="1629" customWidth="1"/>
    <col min="13604" max="13605" width="16.375" style="1629" customWidth="1"/>
    <col min="13606" max="13607" width="25" style="1629" customWidth="1"/>
    <col min="13608" max="13608" width="7.125" style="1629" customWidth="1"/>
    <col min="13609" max="13609" width="28" style="1629" customWidth="1"/>
    <col min="13610" max="13610" width="19.25" style="1629" customWidth="1"/>
    <col min="13611" max="13612" width="23" style="1629" customWidth="1"/>
    <col min="13613" max="13613" width="9" style="1629" customWidth="1"/>
    <col min="13614" max="13824" width="8.875" style="1629"/>
    <col min="13825" max="13825" width="122.375" style="1629" customWidth="1"/>
    <col min="13826" max="13826" width="7.125" style="1629" customWidth="1"/>
    <col min="13827" max="13827" width="15.875" style="1629" customWidth="1"/>
    <col min="13828" max="13828" width="7.125" style="1629" customWidth="1"/>
    <col min="13829" max="13829" width="5.25" style="1629" customWidth="1"/>
    <col min="13830" max="13830" width="63.375" style="1629" customWidth="1"/>
    <col min="13831" max="13831" width="9" style="1629" customWidth="1"/>
    <col min="13832" max="13832" width="24.125" style="1629" customWidth="1"/>
    <col min="13833" max="13833" width="78" style="1629" customWidth="1"/>
    <col min="13834" max="13835" width="15.875" style="1629" customWidth="1"/>
    <col min="13836" max="13836" width="19.375" style="1629" customWidth="1"/>
    <col min="13837" max="13837" width="9" style="1629" customWidth="1"/>
    <col min="13838" max="13838" width="36.875" style="1629" customWidth="1"/>
    <col min="13839" max="13839" width="44.25" style="1629" customWidth="1"/>
    <col min="13840" max="13840" width="11.375" style="1629" customWidth="1"/>
    <col min="13841" max="13842" width="17.75" style="1629" customWidth="1"/>
    <col min="13843" max="13843" width="79.375" style="1629" customWidth="1"/>
    <col min="13844" max="13844" width="57.25" style="1629" customWidth="1"/>
    <col min="13845" max="13845" width="42.625" style="1629" customWidth="1"/>
    <col min="13846" max="13846" width="20.375" style="1629" customWidth="1"/>
    <col min="13847" max="13847" width="9" style="1629" customWidth="1"/>
    <col min="13848" max="13851" width="10.25" style="1629" customWidth="1"/>
    <col min="13852" max="13852" width="24.125" style="1629" customWidth="1"/>
    <col min="13853" max="13853" width="9" style="1629" customWidth="1"/>
    <col min="13854" max="13854" width="102.75" style="1629" customWidth="1"/>
    <col min="13855" max="13857" width="12.125" style="1629" customWidth="1"/>
    <col min="13858" max="13859" width="18.25" style="1629" customWidth="1"/>
    <col min="13860" max="13861" width="16.375" style="1629" customWidth="1"/>
    <col min="13862" max="13863" width="25" style="1629" customWidth="1"/>
    <col min="13864" max="13864" width="7.125" style="1629" customWidth="1"/>
    <col min="13865" max="13865" width="28" style="1629" customWidth="1"/>
    <col min="13866" max="13866" width="19.25" style="1629" customWidth="1"/>
    <col min="13867" max="13868" width="23" style="1629" customWidth="1"/>
    <col min="13869" max="13869" width="9" style="1629" customWidth="1"/>
    <col min="13870" max="14080" width="8.875" style="1629"/>
    <col min="14081" max="14081" width="122.375" style="1629" customWidth="1"/>
    <col min="14082" max="14082" width="7.125" style="1629" customWidth="1"/>
    <col min="14083" max="14083" width="15.875" style="1629" customWidth="1"/>
    <col min="14084" max="14084" width="7.125" style="1629" customWidth="1"/>
    <col min="14085" max="14085" width="5.25" style="1629" customWidth="1"/>
    <col min="14086" max="14086" width="63.375" style="1629" customWidth="1"/>
    <col min="14087" max="14087" width="9" style="1629" customWidth="1"/>
    <col min="14088" max="14088" width="24.125" style="1629" customWidth="1"/>
    <col min="14089" max="14089" width="78" style="1629" customWidth="1"/>
    <col min="14090" max="14091" width="15.875" style="1629" customWidth="1"/>
    <col min="14092" max="14092" width="19.375" style="1629" customWidth="1"/>
    <col min="14093" max="14093" width="9" style="1629" customWidth="1"/>
    <col min="14094" max="14094" width="36.875" style="1629" customWidth="1"/>
    <col min="14095" max="14095" width="44.25" style="1629" customWidth="1"/>
    <col min="14096" max="14096" width="11.375" style="1629" customWidth="1"/>
    <col min="14097" max="14098" width="17.75" style="1629" customWidth="1"/>
    <col min="14099" max="14099" width="79.375" style="1629" customWidth="1"/>
    <col min="14100" max="14100" width="57.25" style="1629" customWidth="1"/>
    <col min="14101" max="14101" width="42.625" style="1629" customWidth="1"/>
    <col min="14102" max="14102" width="20.375" style="1629" customWidth="1"/>
    <col min="14103" max="14103" width="9" style="1629" customWidth="1"/>
    <col min="14104" max="14107" width="10.25" style="1629" customWidth="1"/>
    <col min="14108" max="14108" width="24.125" style="1629" customWidth="1"/>
    <col min="14109" max="14109" width="9" style="1629" customWidth="1"/>
    <col min="14110" max="14110" width="102.75" style="1629" customWidth="1"/>
    <col min="14111" max="14113" width="12.125" style="1629" customWidth="1"/>
    <col min="14114" max="14115" width="18.25" style="1629" customWidth="1"/>
    <col min="14116" max="14117" width="16.375" style="1629" customWidth="1"/>
    <col min="14118" max="14119" width="25" style="1629" customWidth="1"/>
    <col min="14120" max="14120" width="7.125" style="1629" customWidth="1"/>
    <col min="14121" max="14121" width="28" style="1629" customWidth="1"/>
    <col min="14122" max="14122" width="19.25" style="1629" customWidth="1"/>
    <col min="14123" max="14124" width="23" style="1629" customWidth="1"/>
    <col min="14125" max="14125" width="9" style="1629" customWidth="1"/>
    <col min="14126" max="14336" width="8.875" style="1629"/>
    <col min="14337" max="14337" width="122.375" style="1629" customWidth="1"/>
    <col min="14338" max="14338" width="7.125" style="1629" customWidth="1"/>
    <col min="14339" max="14339" width="15.875" style="1629" customWidth="1"/>
    <col min="14340" max="14340" width="7.125" style="1629" customWidth="1"/>
    <col min="14341" max="14341" width="5.25" style="1629" customWidth="1"/>
    <col min="14342" max="14342" width="63.375" style="1629" customWidth="1"/>
    <col min="14343" max="14343" width="9" style="1629" customWidth="1"/>
    <col min="14344" max="14344" width="24.125" style="1629" customWidth="1"/>
    <col min="14345" max="14345" width="78" style="1629" customWidth="1"/>
    <col min="14346" max="14347" width="15.875" style="1629" customWidth="1"/>
    <col min="14348" max="14348" width="19.375" style="1629" customWidth="1"/>
    <col min="14349" max="14349" width="9" style="1629" customWidth="1"/>
    <col min="14350" max="14350" width="36.875" style="1629" customWidth="1"/>
    <col min="14351" max="14351" width="44.25" style="1629" customWidth="1"/>
    <col min="14352" max="14352" width="11.375" style="1629" customWidth="1"/>
    <col min="14353" max="14354" width="17.75" style="1629" customWidth="1"/>
    <col min="14355" max="14355" width="79.375" style="1629" customWidth="1"/>
    <col min="14356" max="14356" width="57.25" style="1629" customWidth="1"/>
    <col min="14357" max="14357" width="42.625" style="1629" customWidth="1"/>
    <col min="14358" max="14358" width="20.375" style="1629" customWidth="1"/>
    <col min="14359" max="14359" width="9" style="1629" customWidth="1"/>
    <col min="14360" max="14363" width="10.25" style="1629" customWidth="1"/>
    <col min="14364" max="14364" width="24.125" style="1629" customWidth="1"/>
    <col min="14365" max="14365" width="9" style="1629" customWidth="1"/>
    <col min="14366" max="14366" width="102.75" style="1629" customWidth="1"/>
    <col min="14367" max="14369" width="12.125" style="1629" customWidth="1"/>
    <col min="14370" max="14371" width="18.25" style="1629" customWidth="1"/>
    <col min="14372" max="14373" width="16.375" style="1629" customWidth="1"/>
    <col min="14374" max="14375" width="25" style="1629" customWidth="1"/>
    <col min="14376" max="14376" width="7.125" style="1629" customWidth="1"/>
    <col min="14377" max="14377" width="28" style="1629" customWidth="1"/>
    <col min="14378" max="14378" width="19.25" style="1629" customWidth="1"/>
    <col min="14379" max="14380" width="23" style="1629" customWidth="1"/>
    <col min="14381" max="14381" width="9" style="1629" customWidth="1"/>
    <col min="14382" max="14592" width="8.875" style="1629"/>
    <col min="14593" max="14593" width="122.375" style="1629" customWidth="1"/>
    <col min="14594" max="14594" width="7.125" style="1629" customWidth="1"/>
    <col min="14595" max="14595" width="15.875" style="1629" customWidth="1"/>
    <col min="14596" max="14596" width="7.125" style="1629" customWidth="1"/>
    <col min="14597" max="14597" width="5.25" style="1629" customWidth="1"/>
    <col min="14598" max="14598" width="63.375" style="1629" customWidth="1"/>
    <col min="14599" max="14599" width="9" style="1629" customWidth="1"/>
    <col min="14600" max="14600" width="24.125" style="1629" customWidth="1"/>
    <col min="14601" max="14601" width="78" style="1629" customWidth="1"/>
    <col min="14602" max="14603" width="15.875" style="1629" customWidth="1"/>
    <col min="14604" max="14604" width="19.375" style="1629" customWidth="1"/>
    <col min="14605" max="14605" width="9" style="1629" customWidth="1"/>
    <col min="14606" max="14606" width="36.875" style="1629" customWidth="1"/>
    <col min="14607" max="14607" width="44.25" style="1629" customWidth="1"/>
    <col min="14608" max="14608" width="11.375" style="1629" customWidth="1"/>
    <col min="14609" max="14610" width="17.75" style="1629" customWidth="1"/>
    <col min="14611" max="14611" width="79.375" style="1629" customWidth="1"/>
    <col min="14612" max="14612" width="57.25" style="1629" customWidth="1"/>
    <col min="14613" max="14613" width="42.625" style="1629" customWidth="1"/>
    <col min="14614" max="14614" width="20.375" style="1629" customWidth="1"/>
    <col min="14615" max="14615" width="9" style="1629" customWidth="1"/>
    <col min="14616" max="14619" width="10.25" style="1629" customWidth="1"/>
    <col min="14620" max="14620" width="24.125" style="1629" customWidth="1"/>
    <col min="14621" max="14621" width="9" style="1629" customWidth="1"/>
    <col min="14622" max="14622" width="102.75" style="1629" customWidth="1"/>
    <col min="14623" max="14625" width="12.125" style="1629" customWidth="1"/>
    <col min="14626" max="14627" width="18.25" style="1629" customWidth="1"/>
    <col min="14628" max="14629" width="16.375" style="1629" customWidth="1"/>
    <col min="14630" max="14631" width="25" style="1629" customWidth="1"/>
    <col min="14632" max="14632" width="7.125" style="1629" customWidth="1"/>
    <col min="14633" max="14633" width="28" style="1629" customWidth="1"/>
    <col min="14634" max="14634" width="19.25" style="1629" customWidth="1"/>
    <col min="14635" max="14636" width="23" style="1629" customWidth="1"/>
    <col min="14637" max="14637" width="9" style="1629" customWidth="1"/>
    <col min="14638" max="14848" width="8.875" style="1629"/>
    <col min="14849" max="14849" width="122.375" style="1629" customWidth="1"/>
    <col min="14850" max="14850" width="7.125" style="1629" customWidth="1"/>
    <col min="14851" max="14851" width="15.875" style="1629" customWidth="1"/>
    <col min="14852" max="14852" width="7.125" style="1629" customWidth="1"/>
    <col min="14853" max="14853" width="5.25" style="1629" customWidth="1"/>
    <col min="14854" max="14854" width="63.375" style="1629" customWidth="1"/>
    <col min="14855" max="14855" width="9" style="1629" customWidth="1"/>
    <col min="14856" max="14856" width="24.125" style="1629" customWidth="1"/>
    <col min="14857" max="14857" width="78" style="1629" customWidth="1"/>
    <col min="14858" max="14859" width="15.875" style="1629" customWidth="1"/>
    <col min="14860" max="14860" width="19.375" style="1629" customWidth="1"/>
    <col min="14861" max="14861" width="9" style="1629" customWidth="1"/>
    <col min="14862" max="14862" width="36.875" style="1629" customWidth="1"/>
    <col min="14863" max="14863" width="44.25" style="1629" customWidth="1"/>
    <col min="14864" max="14864" width="11.375" style="1629" customWidth="1"/>
    <col min="14865" max="14866" width="17.75" style="1629" customWidth="1"/>
    <col min="14867" max="14867" width="79.375" style="1629" customWidth="1"/>
    <col min="14868" max="14868" width="57.25" style="1629" customWidth="1"/>
    <col min="14869" max="14869" width="42.625" style="1629" customWidth="1"/>
    <col min="14870" max="14870" width="20.375" style="1629" customWidth="1"/>
    <col min="14871" max="14871" width="9" style="1629" customWidth="1"/>
    <col min="14872" max="14875" width="10.25" style="1629" customWidth="1"/>
    <col min="14876" max="14876" width="24.125" style="1629" customWidth="1"/>
    <col min="14877" max="14877" width="9" style="1629" customWidth="1"/>
    <col min="14878" max="14878" width="102.75" style="1629" customWidth="1"/>
    <col min="14879" max="14881" width="12.125" style="1629" customWidth="1"/>
    <col min="14882" max="14883" width="18.25" style="1629" customWidth="1"/>
    <col min="14884" max="14885" width="16.375" style="1629" customWidth="1"/>
    <col min="14886" max="14887" width="25" style="1629" customWidth="1"/>
    <col min="14888" max="14888" width="7.125" style="1629" customWidth="1"/>
    <col min="14889" max="14889" width="28" style="1629" customWidth="1"/>
    <col min="14890" max="14890" width="19.25" style="1629" customWidth="1"/>
    <col min="14891" max="14892" width="23" style="1629" customWidth="1"/>
    <col min="14893" max="14893" width="9" style="1629" customWidth="1"/>
    <col min="14894" max="15104" width="8.875" style="1629"/>
    <col min="15105" max="15105" width="122.375" style="1629" customWidth="1"/>
    <col min="15106" max="15106" width="7.125" style="1629" customWidth="1"/>
    <col min="15107" max="15107" width="15.875" style="1629" customWidth="1"/>
    <col min="15108" max="15108" width="7.125" style="1629" customWidth="1"/>
    <col min="15109" max="15109" width="5.25" style="1629" customWidth="1"/>
    <col min="15110" max="15110" width="63.375" style="1629" customWidth="1"/>
    <col min="15111" max="15111" width="9" style="1629" customWidth="1"/>
    <col min="15112" max="15112" width="24.125" style="1629" customWidth="1"/>
    <col min="15113" max="15113" width="78" style="1629" customWidth="1"/>
    <col min="15114" max="15115" width="15.875" style="1629" customWidth="1"/>
    <col min="15116" max="15116" width="19.375" style="1629" customWidth="1"/>
    <col min="15117" max="15117" width="9" style="1629" customWidth="1"/>
    <col min="15118" max="15118" width="36.875" style="1629" customWidth="1"/>
    <col min="15119" max="15119" width="44.25" style="1629" customWidth="1"/>
    <col min="15120" max="15120" width="11.375" style="1629" customWidth="1"/>
    <col min="15121" max="15122" width="17.75" style="1629" customWidth="1"/>
    <col min="15123" max="15123" width="79.375" style="1629" customWidth="1"/>
    <col min="15124" max="15124" width="57.25" style="1629" customWidth="1"/>
    <col min="15125" max="15125" width="42.625" style="1629" customWidth="1"/>
    <col min="15126" max="15126" width="20.375" style="1629" customWidth="1"/>
    <col min="15127" max="15127" width="9" style="1629" customWidth="1"/>
    <col min="15128" max="15131" width="10.25" style="1629" customWidth="1"/>
    <col min="15132" max="15132" width="24.125" style="1629" customWidth="1"/>
    <col min="15133" max="15133" width="9" style="1629" customWidth="1"/>
    <col min="15134" max="15134" width="102.75" style="1629" customWidth="1"/>
    <col min="15135" max="15137" width="12.125" style="1629" customWidth="1"/>
    <col min="15138" max="15139" width="18.25" style="1629" customWidth="1"/>
    <col min="15140" max="15141" width="16.375" style="1629" customWidth="1"/>
    <col min="15142" max="15143" width="25" style="1629" customWidth="1"/>
    <col min="15144" max="15144" width="7.125" style="1629" customWidth="1"/>
    <col min="15145" max="15145" width="28" style="1629" customWidth="1"/>
    <col min="15146" max="15146" width="19.25" style="1629" customWidth="1"/>
    <col min="15147" max="15148" width="23" style="1629" customWidth="1"/>
    <col min="15149" max="15149" width="9" style="1629" customWidth="1"/>
    <col min="15150" max="15360" width="8.875" style="1629"/>
    <col min="15361" max="15361" width="122.375" style="1629" customWidth="1"/>
    <col min="15362" max="15362" width="7.125" style="1629" customWidth="1"/>
    <col min="15363" max="15363" width="15.875" style="1629" customWidth="1"/>
    <col min="15364" max="15364" width="7.125" style="1629" customWidth="1"/>
    <col min="15365" max="15365" width="5.25" style="1629" customWidth="1"/>
    <col min="15366" max="15366" width="63.375" style="1629" customWidth="1"/>
    <col min="15367" max="15367" width="9" style="1629" customWidth="1"/>
    <col min="15368" max="15368" width="24.125" style="1629" customWidth="1"/>
    <col min="15369" max="15369" width="78" style="1629" customWidth="1"/>
    <col min="15370" max="15371" width="15.875" style="1629" customWidth="1"/>
    <col min="15372" max="15372" width="19.375" style="1629" customWidth="1"/>
    <col min="15373" max="15373" width="9" style="1629" customWidth="1"/>
    <col min="15374" max="15374" width="36.875" style="1629" customWidth="1"/>
    <col min="15375" max="15375" width="44.25" style="1629" customWidth="1"/>
    <col min="15376" max="15376" width="11.375" style="1629" customWidth="1"/>
    <col min="15377" max="15378" width="17.75" style="1629" customWidth="1"/>
    <col min="15379" max="15379" width="79.375" style="1629" customWidth="1"/>
    <col min="15380" max="15380" width="57.25" style="1629" customWidth="1"/>
    <col min="15381" max="15381" width="42.625" style="1629" customWidth="1"/>
    <col min="15382" max="15382" width="20.375" style="1629" customWidth="1"/>
    <col min="15383" max="15383" width="9" style="1629" customWidth="1"/>
    <col min="15384" max="15387" width="10.25" style="1629" customWidth="1"/>
    <col min="15388" max="15388" width="24.125" style="1629" customWidth="1"/>
    <col min="15389" max="15389" width="9" style="1629" customWidth="1"/>
    <col min="15390" max="15390" width="102.75" style="1629" customWidth="1"/>
    <col min="15391" max="15393" width="12.125" style="1629" customWidth="1"/>
    <col min="15394" max="15395" width="18.25" style="1629" customWidth="1"/>
    <col min="15396" max="15397" width="16.375" style="1629" customWidth="1"/>
    <col min="15398" max="15399" width="25" style="1629" customWidth="1"/>
    <col min="15400" max="15400" width="7.125" style="1629" customWidth="1"/>
    <col min="15401" max="15401" width="28" style="1629" customWidth="1"/>
    <col min="15402" max="15402" width="19.25" style="1629" customWidth="1"/>
    <col min="15403" max="15404" width="23" style="1629" customWidth="1"/>
    <col min="15405" max="15405" width="9" style="1629" customWidth="1"/>
    <col min="15406" max="15616" width="8.875" style="1629"/>
    <col min="15617" max="15617" width="122.375" style="1629" customWidth="1"/>
    <col min="15618" max="15618" width="7.125" style="1629" customWidth="1"/>
    <col min="15619" max="15619" width="15.875" style="1629" customWidth="1"/>
    <col min="15620" max="15620" width="7.125" style="1629" customWidth="1"/>
    <col min="15621" max="15621" width="5.25" style="1629" customWidth="1"/>
    <col min="15622" max="15622" width="63.375" style="1629" customWidth="1"/>
    <col min="15623" max="15623" width="9" style="1629" customWidth="1"/>
    <col min="15624" max="15624" width="24.125" style="1629" customWidth="1"/>
    <col min="15625" max="15625" width="78" style="1629" customWidth="1"/>
    <col min="15626" max="15627" width="15.875" style="1629" customWidth="1"/>
    <col min="15628" max="15628" width="19.375" style="1629" customWidth="1"/>
    <col min="15629" max="15629" width="9" style="1629" customWidth="1"/>
    <col min="15630" max="15630" width="36.875" style="1629" customWidth="1"/>
    <col min="15631" max="15631" width="44.25" style="1629" customWidth="1"/>
    <col min="15632" max="15632" width="11.375" style="1629" customWidth="1"/>
    <col min="15633" max="15634" width="17.75" style="1629" customWidth="1"/>
    <col min="15635" max="15635" width="79.375" style="1629" customWidth="1"/>
    <col min="15636" max="15636" width="57.25" style="1629" customWidth="1"/>
    <col min="15637" max="15637" width="42.625" style="1629" customWidth="1"/>
    <col min="15638" max="15638" width="20.375" style="1629" customWidth="1"/>
    <col min="15639" max="15639" width="9" style="1629" customWidth="1"/>
    <col min="15640" max="15643" width="10.25" style="1629" customWidth="1"/>
    <col min="15644" max="15644" width="24.125" style="1629" customWidth="1"/>
    <col min="15645" max="15645" width="9" style="1629" customWidth="1"/>
    <col min="15646" max="15646" width="102.75" style="1629" customWidth="1"/>
    <col min="15647" max="15649" width="12.125" style="1629" customWidth="1"/>
    <col min="15650" max="15651" width="18.25" style="1629" customWidth="1"/>
    <col min="15652" max="15653" width="16.375" style="1629" customWidth="1"/>
    <col min="15654" max="15655" width="25" style="1629" customWidth="1"/>
    <col min="15656" max="15656" width="7.125" style="1629" customWidth="1"/>
    <col min="15657" max="15657" width="28" style="1629" customWidth="1"/>
    <col min="15658" max="15658" width="19.25" style="1629" customWidth="1"/>
    <col min="15659" max="15660" width="23" style="1629" customWidth="1"/>
    <col min="15661" max="15661" width="9" style="1629" customWidth="1"/>
    <col min="15662" max="15872" width="8.875" style="1629"/>
    <col min="15873" max="15873" width="122.375" style="1629" customWidth="1"/>
    <col min="15874" max="15874" width="7.125" style="1629" customWidth="1"/>
    <col min="15875" max="15875" width="15.875" style="1629" customWidth="1"/>
    <col min="15876" max="15876" width="7.125" style="1629" customWidth="1"/>
    <col min="15877" max="15877" width="5.25" style="1629" customWidth="1"/>
    <col min="15878" max="15878" width="63.375" style="1629" customWidth="1"/>
    <col min="15879" max="15879" width="9" style="1629" customWidth="1"/>
    <col min="15880" max="15880" width="24.125" style="1629" customWidth="1"/>
    <col min="15881" max="15881" width="78" style="1629" customWidth="1"/>
    <col min="15882" max="15883" width="15.875" style="1629" customWidth="1"/>
    <col min="15884" max="15884" width="19.375" style="1629" customWidth="1"/>
    <col min="15885" max="15885" width="9" style="1629" customWidth="1"/>
    <col min="15886" max="15886" width="36.875" style="1629" customWidth="1"/>
    <col min="15887" max="15887" width="44.25" style="1629" customWidth="1"/>
    <col min="15888" max="15888" width="11.375" style="1629" customWidth="1"/>
    <col min="15889" max="15890" width="17.75" style="1629" customWidth="1"/>
    <col min="15891" max="15891" width="79.375" style="1629" customWidth="1"/>
    <col min="15892" max="15892" width="57.25" style="1629" customWidth="1"/>
    <col min="15893" max="15893" width="42.625" style="1629" customWidth="1"/>
    <col min="15894" max="15894" width="20.375" style="1629" customWidth="1"/>
    <col min="15895" max="15895" width="9" style="1629" customWidth="1"/>
    <col min="15896" max="15899" width="10.25" style="1629" customWidth="1"/>
    <col min="15900" max="15900" width="24.125" style="1629" customWidth="1"/>
    <col min="15901" max="15901" width="9" style="1629" customWidth="1"/>
    <col min="15902" max="15902" width="102.75" style="1629" customWidth="1"/>
    <col min="15903" max="15905" width="12.125" style="1629" customWidth="1"/>
    <col min="15906" max="15907" width="18.25" style="1629" customWidth="1"/>
    <col min="15908" max="15909" width="16.375" style="1629" customWidth="1"/>
    <col min="15910" max="15911" width="25" style="1629" customWidth="1"/>
    <col min="15912" max="15912" width="7.125" style="1629" customWidth="1"/>
    <col min="15913" max="15913" width="28" style="1629" customWidth="1"/>
    <col min="15914" max="15914" width="19.25" style="1629" customWidth="1"/>
    <col min="15915" max="15916" width="23" style="1629" customWidth="1"/>
    <col min="15917" max="15917" width="9" style="1629" customWidth="1"/>
    <col min="15918" max="16128" width="8.875" style="1629"/>
    <col min="16129" max="16129" width="122.375" style="1629" customWidth="1"/>
    <col min="16130" max="16130" width="7.125" style="1629" customWidth="1"/>
    <col min="16131" max="16131" width="15.875" style="1629" customWidth="1"/>
    <col min="16132" max="16132" width="7.125" style="1629" customWidth="1"/>
    <col min="16133" max="16133" width="5.25" style="1629" customWidth="1"/>
    <col min="16134" max="16134" width="63.375" style="1629" customWidth="1"/>
    <col min="16135" max="16135" width="9" style="1629" customWidth="1"/>
    <col min="16136" max="16136" width="24.125" style="1629" customWidth="1"/>
    <col min="16137" max="16137" width="78" style="1629" customWidth="1"/>
    <col min="16138" max="16139" width="15.875" style="1629" customWidth="1"/>
    <col min="16140" max="16140" width="19.375" style="1629" customWidth="1"/>
    <col min="16141" max="16141" width="9" style="1629" customWidth="1"/>
    <col min="16142" max="16142" width="36.875" style="1629" customWidth="1"/>
    <col min="16143" max="16143" width="44.25" style="1629" customWidth="1"/>
    <col min="16144" max="16144" width="11.375" style="1629" customWidth="1"/>
    <col min="16145" max="16146" width="17.75" style="1629" customWidth="1"/>
    <col min="16147" max="16147" width="79.375" style="1629" customWidth="1"/>
    <col min="16148" max="16148" width="57.25" style="1629" customWidth="1"/>
    <col min="16149" max="16149" width="42.625" style="1629" customWidth="1"/>
    <col min="16150" max="16150" width="20.375" style="1629" customWidth="1"/>
    <col min="16151" max="16151" width="9" style="1629" customWidth="1"/>
    <col min="16152" max="16155" width="10.25" style="1629" customWidth="1"/>
    <col min="16156" max="16156" width="24.125" style="1629" customWidth="1"/>
    <col min="16157" max="16157" width="9" style="1629" customWidth="1"/>
    <col min="16158" max="16158" width="102.75" style="1629" customWidth="1"/>
    <col min="16159" max="16161" width="12.125" style="1629" customWidth="1"/>
    <col min="16162" max="16163" width="18.25" style="1629" customWidth="1"/>
    <col min="16164" max="16165" width="16.375" style="1629" customWidth="1"/>
    <col min="16166" max="16167" width="25" style="1629" customWidth="1"/>
    <col min="16168" max="16168" width="7.125" style="1629" customWidth="1"/>
    <col min="16169" max="16169" width="28" style="1629" customWidth="1"/>
    <col min="16170" max="16170" width="19.25" style="1629" customWidth="1"/>
    <col min="16171" max="16172" width="23" style="1629" customWidth="1"/>
    <col min="16173" max="16173" width="9" style="1629" customWidth="1"/>
    <col min="16174" max="16384" width="8.875" style="1629"/>
  </cols>
  <sheetData>
    <row r="1" spans="1:45">
      <c r="A1" s="1629" t="s">
        <v>3073</v>
      </c>
      <c r="B1" s="1629" t="s">
        <v>3074</v>
      </c>
      <c r="C1" s="1629" t="s">
        <v>3075</v>
      </c>
      <c r="D1" s="1629" t="s">
        <v>3266</v>
      </c>
      <c r="E1" s="1629" t="s">
        <v>3267</v>
      </c>
      <c r="F1" s="1629" t="s">
        <v>3268</v>
      </c>
      <c r="G1" s="1629" t="s">
        <v>3079</v>
      </c>
      <c r="H1" s="1629" t="s">
        <v>3269</v>
      </c>
      <c r="I1" s="1629" t="s">
        <v>3270</v>
      </c>
      <c r="J1" s="1629" t="s">
        <v>3076</v>
      </c>
      <c r="K1" s="1629" t="s">
        <v>3077</v>
      </c>
      <c r="L1" s="1629" t="s">
        <v>3078</v>
      </c>
      <c r="M1" s="1629" t="s">
        <v>3271</v>
      </c>
      <c r="N1" s="1629" t="s">
        <v>3272</v>
      </c>
      <c r="O1" s="1629" t="s">
        <v>3273</v>
      </c>
      <c r="P1" s="1629" t="s">
        <v>3274</v>
      </c>
      <c r="Q1" s="1629" t="s">
        <v>3275</v>
      </c>
      <c r="R1" s="1629" t="s">
        <v>3276</v>
      </c>
      <c r="S1" s="1629" t="s">
        <v>3277</v>
      </c>
      <c r="T1" s="1629" t="s">
        <v>3278</v>
      </c>
      <c r="U1" s="1629" t="s">
        <v>3279</v>
      </c>
      <c r="V1" s="1629" t="s">
        <v>3280</v>
      </c>
      <c r="W1" s="1629" t="s">
        <v>3281</v>
      </c>
      <c r="X1" s="1629" t="s">
        <v>3282</v>
      </c>
      <c r="Y1" s="1629" t="s">
        <v>3283</v>
      </c>
      <c r="Z1" s="1629" t="s">
        <v>3284</v>
      </c>
      <c r="AA1" s="1629" t="s">
        <v>3111</v>
      </c>
      <c r="AB1" s="1629" t="s">
        <v>3285</v>
      </c>
      <c r="AC1" s="1629" t="s">
        <v>3286</v>
      </c>
      <c r="AD1" s="1629" t="s">
        <v>3082</v>
      </c>
      <c r="AE1" s="1629" t="s">
        <v>3287</v>
      </c>
      <c r="AF1" s="1629" t="s">
        <v>3288</v>
      </c>
      <c r="AG1" s="1629" t="s">
        <v>3080</v>
      </c>
      <c r="AH1" s="1629" t="s">
        <v>3289</v>
      </c>
      <c r="AI1" s="1629" t="s">
        <v>3290</v>
      </c>
      <c r="AJ1" s="1629" t="s">
        <v>3291</v>
      </c>
      <c r="AK1" s="1629" t="s">
        <v>3081</v>
      </c>
      <c r="AL1" s="1629" t="s">
        <v>3292</v>
      </c>
      <c r="AM1" s="1629" t="s">
        <v>3293</v>
      </c>
      <c r="AN1" s="1629" t="s">
        <v>3294</v>
      </c>
      <c r="AO1" s="1629" t="s">
        <v>3295</v>
      </c>
      <c r="AP1" s="1629" t="s">
        <v>3296</v>
      </c>
      <c r="AQ1" s="1629" t="s">
        <v>3297</v>
      </c>
      <c r="AR1" s="1629" t="s">
        <v>3298</v>
      </c>
      <c r="AS1" s="1629" t="s">
        <v>3299</v>
      </c>
    </row>
    <row r="2" spans="1:45">
      <c r="A2" s="1629" t="s">
        <v>3300</v>
      </c>
      <c r="B2" s="1629" t="s">
        <v>3062</v>
      </c>
      <c r="C2" s="1629" t="s">
        <v>3095</v>
      </c>
      <c r="D2" s="1629" t="s">
        <v>3301</v>
      </c>
      <c r="E2" s="1629" t="s">
        <v>1331</v>
      </c>
      <c r="F2" s="1629" t="s">
        <v>3302</v>
      </c>
      <c r="G2" s="1629" t="s">
        <v>3085</v>
      </c>
      <c r="H2" s="1629" t="s">
        <v>3303</v>
      </c>
      <c r="I2" s="1629" t="s">
        <v>3304</v>
      </c>
      <c r="J2" s="1629">
        <v>36478.1</v>
      </c>
      <c r="K2" s="1629">
        <v>80251.820000000007</v>
      </c>
      <c r="L2" s="1629" t="s">
        <v>3305</v>
      </c>
      <c r="M2" s="1629" t="s">
        <v>1331</v>
      </c>
      <c r="N2" s="1629" t="s">
        <v>3306</v>
      </c>
      <c r="O2" s="1629" t="s">
        <v>3307</v>
      </c>
      <c r="P2" s="1629" t="s">
        <v>1331</v>
      </c>
      <c r="Q2" s="1629" t="s">
        <v>1331</v>
      </c>
      <c r="R2" s="1629" t="s">
        <v>1331</v>
      </c>
      <c r="S2" s="1629" t="s">
        <v>1331</v>
      </c>
      <c r="T2" s="1629" t="s">
        <v>3308</v>
      </c>
      <c r="U2" s="1629" t="s">
        <v>3309</v>
      </c>
      <c r="V2" s="1629" t="s">
        <v>1331</v>
      </c>
      <c r="W2" s="1629" t="s">
        <v>3310</v>
      </c>
      <c r="X2" s="1629" t="s">
        <v>3311</v>
      </c>
      <c r="Y2" s="1629" t="s">
        <v>3312</v>
      </c>
      <c r="Z2" s="1629" t="s">
        <v>3313</v>
      </c>
      <c r="AA2" s="1629" t="s">
        <v>3313</v>
      </c>
      <c r="AB2" s="1629" t="s">
        <v>3303</v>
      </c>
      <c r="AC2" s="1629" t="s">
        <v>3314</v>
      </c>
      <c r="AD2" s="1629" t="s">
        <v>3315</v>
      </c>
      <c r="AE2" s="1629">
        <v>45000</v>
      </c>
      <c r="AF2" s="1629">
        <v>225000</v>
      </c>
      <c r="AG2" s="1629">
        <v>318000</v>
      </c>
      <c r="AH2" s="1629">
        <v>4112.0600000000004</v>
      </c>
      <c r="AI2" s="1629">
        <v>5811.71</v>
      </c>
      <c r="AJ2" s="1629">
        <v>28036.74</v>
      </c>
      <c r="AK2" s="1629">
        <v>39625.26</v>
      </c>
      <c r="AL2" s="1629" t="s">
        <v>1331</v>
      </c>
      <c r="AM2" s="1629" t="s">
        <v>1331</v>
      </c>
      <c r="AN2" s="1629">
        <v>41.33</v>
      </c>
      <c r="AO2" s="1629" t="s">
        <v>3316</v>
      </c>
      <c r="AP2" s="1629" t="s">
        <v>1331</v>
      </c>
      <c r="AQ2" s="1629" t="s">
        <v>1331</v>
      </c>
      <c r="AR2" s="1629" t="s">
        <v>1331</v>
      </c>
      <c r="AS2" s="1629" t="s">
        <v>3317</v>
      </c>
    </row>
    <row r="3" spans="1:45">
      <c r="A3" s="1629" t="s">
        <v>3318</v>
      </c>
      <c r="B3" s="1629" t="s">
        <v>3062</v>
      </c>
      <c r="C3" s="1629" t="s">
        <v>3095</v>
      </c>
      <c r="D3" s="1629" t="s">
        <v>3301</v>
      </c>
      <c r="E3" s="1629" t="s">
        <v>1331</v>
      </c>
      <c r="F3" s="1629" t="s">
        <v>3319</v>
      </c>
      <c r="G3" s="1629" t="s">
        <v>3085</v>
      </c>
      <c r="H3" s="1629" t="s">
        <v>3320</v>
      </c>
      <c r="I3" s="1629" t="s">
        <v>3304</v>
      </c>
      <c r="J3" s="1629">
        <v>35704</v>
      </c>
      <c r="K3" s="1629">
        <v>78548.800000000003</v>
      </c>
      <c r="L3" s="1629" t="s">
        <v>3305</v>
      </c>
      <c r="M3" s="1629" t="s">
        <v>1331</v>
      </c>
      <c r="N3" s="1629" t="s">
        <v>3306</v>
      </c>
      <c r="O3" s="1629" t="s">
        <v>3307</v>
      </c>
      <c r="P3" s="1629" t="s">
        <v>1331</v>
      </c>
      <c r="Q3" s="1629" t="s">
        <v>1331</v>
      </c>
      <c r="R3" s="1629" t="s">
        <v>1331</v>
      </c>
      <c r="S3" s="1629" t="s">
        <v>1331</v>
      </c>
      <c r="T3" s="1629" t="s">
        <v>3308</v>
      </c>
      <c r="U3" s="1629" t="s">
        <v>3309</v>
      </c>
      <c r="V3" s="1629" t="s">
        <v>1331</v>
      </c>
      <c r="W3" s="1629" t="s">
        <v>3310</v>
      </c>
      <c r="X3" s="1629" t="s">
        <v>3311</v>
      </c>
      <c r="Y3" s="1629" t="s">
        <v>3312</v>
      </c>
      <c r="Z3" s="1629" t="s">
        <v>3313</v>
      </c>
      <c r="AA3" s="1629" t="s">
        <v>3313</v>
      </c>
      <c r="AB3" s="1629" t="s">
        <v>3320</v>
      </c>
      <c r="AC3" s="1629" t="s">
        <v>3314</v>
      </c>
      <c r="AD3" s="1629" t="s">
        <v>3321</v>
      </c>
      <c r="AE3" s="1629">
        <v>44000</v>
      </c>
      <c r="AF3" s="1629">
        <v>220000</v>
      </c>
      <c r="AG3" s="1629">
        <v>306000</v>
      </c>
      <c r="AH3" s="1629">
        <v>4107.8500000000004</v>
      </c>
      <c r="AI3" s="1629">
        <v>5713.65</v>
      </c>
      <c r="AJ3" s="1629">
        <v>28008.06</v>
      </c>
      <c r="AK3" s="1629">
        <v>38956.660000000003</v>
      </c>
      <c r="AL3" s="1629" t="s">
        <v>1331</v>
      </c>
      <c r="AM3" s="1629" t="s">
        <v>1331</v>
      </c>
      <c r="AN3" s="1629">
        <v>39.090000000000003</v>
      </c>
      <c r="AO3" s="1629" t="s">
        <v>3316</v>
      </c>
      <c r="AP3" s="1629" t="s">
        <v>1331</v>
      </c>
      <c r="AQ3" s="1629" t="s">
        <v>1331</v>
      </c>
      <c r="AR3" s="1629" t="s">
        <v>1331</v>
      </c>
      <c r="AS3" s="1629" t="s">
        <v>3317</v>
      </c>
    </row>
    <row r="4" spans="1:45">
      <c r="A4" s="1629" t="s">
        <v>3323</v>
      </c>
      <c r="B4" s="1629" t="s">
        <v>3062</v>
      </c>
      <c r="C4" s="1629" t="s">
        <v>3084</v>
      </c>
      <c r="D4" s="1629" t="s">
        <v>3301</v>
      </c>
      <c r="E4" s="1629" t="s">
        <v>1331</v>
      </c>
      <c r="F4" s="1629" t="s">
        <v>3324</v>
      </c>
      <c r="G4" s="1629" t="s">
        <v>3085</v>
      </c>
      <c r="H4" s="1629" t="s">
        <v>3325</v>
      </c>
      <c r="I4" s="1629" t="s">
        <v>3326</v>
      </c>
      <c r="J4" s="1629">
        <v>79276.91</v>
      </c>
      <c r="K4" s="1629">
        <v>177023</v>
      </c>
      <c r="L4" s="1629" t="s">
        <v>3327</v>
      </c>
      <c r="M4" s="1629" t="s">
        <v>1331</v>
      </c>
      <c r="N4" s="1629" t="s">
        <v>3306</v>
      </c>
      <c r="O4" s="1629" t="s">
        <v>3328</v>
      </c>
      <c r="P4" s="1629" t="s">
        <v>1331</v>
      </c>
      <c r="Q4" s="1629" t="s">
        <v>1331</v>
      </c>
      <c r="R4" s="1629" t="s">
        <v>1331</v>
      </c>
      <c r="S4" s="1629" t="s">
        <v>1331</v>
      </c>
      <c r="T4" s="1629" t="s">
        <v>3308</v>
      </c>
      <c r="U4" s="1629" t="s">
        <v>3309</v>
      </c>
      <c r="V4" s="1629" t="s">
        <v>1331</v>
      </c>
      <c r="W4" s="1629" t="s">
        <v>3310</v>
      </c>
      <c r="X4" s="1629" t="s">
        <v>3329</v>
      </c>
      <c r="Y4" s="1629" t="s">
        <v>3330</v>
      </c>
      <c r="Z4" s="1629" t="s">
        <v>3331</v>
      </c>
      <c r="AA4" s="1629" t="s">
        <v>3331</v>
      </c>
      <c r="AB4" s="1629" t="s">
        <v>3325</v>
      </c>
      <c r="AC4" s="1629" t="s">
        <v>3314</v>
      </c>
      <c r="AD4" s="1629" t="s">
        <v>3087</v>
      </c>
      <c r="AE4" s="1629">
        <v>73000</v>
      </c>
      <c r="AF4" s="1629">
        <v>365000</v>
      </c>
      <c r="AG4" s="1629">
        <v>444000</v>
      </c>
      <c r="AH4" s="1629">
        <v>3069.41</v>
      </c>
      <c r="AI4" s="1629">
        <v>3733.75</v>
      </c>
      <c r="AJ4" s="1629">
        <v>20618.79</v>
      </c>
      <c r="AK4" s="1629">
        <v>25081.49</v>
      </c>
      <c r="AL4" s="1629" t="s">
        <v>1331</v>
      </c>
      <c r="AM4" s="1629" t="s">
        <v>1331</v>
      </c>
      <c r="AN4" s="1629">
        <v>21.64</v>
      </c>
      <c r="AO4" s="1629" t="s">
        <v>3332</v>
      </c>
      <c r="AP4" s="1629" t="s">
        <v>1331</v>
      </c>
      <c r="AQ4" s="1629" t="s">
        <v>1331</v>
      </c>
      <c r="AR4" s="1629" t="s">
        <v>1331</v>
      </c>
      <c r="AS4" s="1629" t="s">
        <v>3322</v>
      </c>
    </row>
    <row r="5" spans="1:45">
      <c r="A5" s="1629" t="s">
        <v>3333</v>
      </c>
      <c r="B5" s="1629" t="s">
        <v>3062</v>
      </c>
      <c r="C5" s="1629" t="s">
        <v>3095</v>
      </c>
      <c r="D5" s="1629" t="s">
        <v>3301</v>
      </c>
      <c r="E5" s="1629" t="s">
        <v>1331</v>
      </c>
      <c r="F5" s="1629" t="s">
        <v>3334</v>
      </c>
      <c r="G5" s="1629" t="s">
        <v>3085</v>
      </c>
      <c r="H5" s="1629" t="s">
        <v>3335</v>
      </c>
      <c r="I5" s="1629" t="s">
        <v>3336</v>
      </c>
      <c r="J5" s="1629">
        <v>34940.019999999997</v>
      </c>
      <c r="K5" s="1629">
        <v>94338</v>
      </c>
      <c r="L5" s="1629">
        <v>2.7</v>
      </c>
      <c r="M5" s="1629" t="s">
        <v>1331</v>
      </c>
      <c r="N5" s="1629" t="s">
        <v>3306</v>
      </c>
      <c r="O5" s="1629" t="s">
        <v>3337</v>
      </c>
      <c r="P5" s="1629" t="s">
        <v>1331</v>
      </c>
      <c r="Q5" s="1629" t="s">
        <v>1331</v>
      </c>
      <c r="R5" s="1629" t="s">
        <v>1331</v>
      </c>
      <c r="S5" s="1629" t="s">
        <v>1331</v>
      </c>
      <c r="T5" s="1629" t="s">
        <v>3308</v>
      </c>
      <c r="U5" s="1629" t="s">
        <v>3309</v>
      </c>
      <c r="V5" s="1629" t="s">
        <v>1331</v>
      </c>
      <c r="W5" s="1629" t="s">
        <v>3310</v>
      </c>
      <c r="X5" s="1629" t="s">
        <v>3329</v>
      </c>
      <c r="Y5" s="1629" t="s">
        <v>3330</v>
      </c>
      <c r="Z5" s="1629" t="s">
        <v>3331</v>
      </c>
      <c r="AA5" s="1629" t="s">
        <v>3331</v>
      </c>
      <c r="AB5" s="1629" t="s">
        <v>3335</v>
      </c>
      <c r="AC5" s="1629" t="s">
        <v>3314</v>
      </c>
      <c r="AD5" s="1629" t="s">
        <v>3338</v>
      </c>
      <c r="AE5" s="1629">
        <v>42000</v>
      </c>
      <c r="AF5" s="1629">
        <v>210000</v>
      </c>
      <c r="AG5" s="1629">
        <v>246000</v>
      </c>
      <c r="AH5" s="1629">
        <v>4006.87</v>
      </c>
      <c r="AI5" s="1629">
        <v>4693.76</v>
      </c>
      <c r="AJ5" s="1629">
        <v>22260.38</v>
      </c>
      <c r="AK5" s="1629">
        <v>26076.45</v>
      </c>
      <c r="AL5" s="1629" t="s">
        <v>1331</v>
      </c>
      <c r="AM5" s="1629" t="s">
        <v>1331</v>
      </c>
      <c r="AN5" s="1629">
        <v>17.14</v>
      </c>
      <c r="AO5" s="1629" t="s">
        <v>3332</v>
      </c>
      <c r="AP5" s="1629" t="s">
        <v>1331</v>
      </c>
      <c r="AQ5" s="1629" t="s">
        <v>1331</v>
      </c>
      <c r="AR5" s="1629" t="s">
        <v>1331</v>
      </c>
      <c r="AS5" s="1629" t="s">
        <v>3322</v>
      </c>
    </row>
    <row r="6" spans="1:45">
      <c r="A6" s="1629" t="s">
        <v>3339</v>
      </c>
      <c r="B6" s="1629" t="s">
        <v>3062</v>
      </c>
      <c r="C6" s="1629" t="s">
        <v>3084</v>
      </c>
      <c r="D6" s="1629" t="s">
        <v>3340</v>
      </c>
      <c r="E6" s="1629" t="s">
        <v>1331</v>
      </c>
      <c r="F6" s="1629" t="s">
        <v>3341</v>
      </c>
      <c r="G6" s="1629" t="s">
        <v>3085</v>
      </c>
      <c r="H6" s="1629" t="s">
        <v>3342</v>
      </c>
      <c r="I6" s="1629" t="s">
        <v>3343</v>
      </c>
      <c r="J6" s="1629">
        <v>121729.8</v>
      </c>
      <c r="K6" s="1629">
        <v>327948</v>
      </c>
      <c r="L6" s="1629">
        <v>2.69</v>
      </c>
      <c r="M6" s="1629" t="s">
        <v>1331</v>
      </c>
      <c r="N6" s="1629" t="s">
        <v>3344</v>
      </c>
      <c r="O6" s="1629" t="s">
        <v>3345</v>
      </c>
      <c r="P6" s="1629" t="s">
        <v>1331</v>
      </c>
      <c r="Q6" s="1629" t="s">
        <v>1331</v>
      </c>
      <c r="R6" s="1629" t="s">
        <v>1331</v>
      </c>
      <c r="S6" s="1629" t="s">
        <v>1331</v>
      </c>
      <c r="T6" s="1629" t="s">
        <v>3308</v>
      </c>
      <c r="U6" s="1629" t="s">
        <v>3309</v>
      </c>
      <c r="V6" s="1629" t="s">
        <v>1331</v>
      </c>
      <c r="W6" s="1629" t="s">
        <v>3310</v>
      </c>
      <c r="X6" s="1629" t="s">
        <v>3346</v>
      </c>
      <c r="Y6" s="1629" t="s">
        <v>3347</v>
      </c>
      <c r="Z6" s="1629" t="s">
        <v>3348</v>
      </c>
      <c r="AA6" s="1629" t="s">
        <v>3348</v>
      </c>
      <c r="AB6" s="1629" t="s">
        <v>3342</v>
      </c>
      <c r="AC6" s="1629" t="s">
        <v>3314</v>
      </c>
      <c r="AD6" s="1629" t="s">
        <v>3349</v>
      </c>
      <c r="AE6" s="1629">
        <v>121900</v>
      </c>
      <c r="AF6" s="1629">
        <v>609400</v>
      </c>
      <c r="AG6" s="1629">
        <v>690000</v>
      </c>
      <c r="AH6" s="1629">
        <v>3337.45</v>
      </c>
      <c r="AI6" s="1629">
        <v>3778.86</v>
      </c>
      <c r="AJ6" s="1629">
        <v>18582.21</v>
      </c>
      <c r="AK6" s="1629">
        <v>21039.91</v>
      </c>
      <c r="AL6" s="1629" t="s">
        <v>1331</v>
      </c>
      <c r="AM6" s="1629" t="s">
        <v>1331</v>
      </c>
      <c r="AN6" s="1629">
        <v>13.23</v>
      </c>
      <c r="AO6" s="1629" t="s">
        <v>3316</v>
      </c>
      <c r="AP6" s="1629" t="s">
        <v>1331</v>
      </c>
      <c r="AQ6" s="1629" t="s">
        <v>1331</v>
      </c>
      <c r="AR6" s="1629" t="s">
        <v>1331</v>
      </c>
      <c r="AS6" s="1629" t="s">
        <v>3317</v>
      </c>
    </row>
    <row r="7" spans="1:45">
      <c r="A7" s="1629" t="s">
        <v>3350</v>
      </c>
      <c r="B7" s="1629" t="s">
        <v>3062</v>
      </c>
      <c r="C7" s="1629" t="s">
        <v>3095</v>
      </c>
      <c r="D7" s="1629" t="s">
        <v>3301</v>
      </c>
      <c r="E7" s="1629" t="s">
        <v>1331</v>
      </c>
      <c r="F7" s="1629" t="s">
        <v>3351</v>
      </c>
      <c r="G7" s="1629" t="s">
        <v>3085</v>
      </c>
      <c r="H7" s="1629" t="s">
        <v>3352</v>
      </c>
      <c r="I7" s="1629" t="s">
        <v>3304</v>
      </c>
      <c r="J7" s="1629">
        <v>54637.78</v>
      </c>
      <c r="K7" s="1629">
        <v>57370</v>
      </c>
      <c r="L7" s="1629">
        <v>1.05</v>
      </c>
      <c r="M7" s="1629" t="s">
        <v>1331</v>
      </c>
      <c r="N7" s="1629" t="s">
        <v>3306</v>
      </c>
      <c r="O7" s="1629" t="s">
        <v>3353</v>
      </c>
      <c r="P7" s="1629" t="s">
        <v>1331</v>
      </c>
      <c r="Q7" s="1629" t="s">
        <v>1331</v>
      </c>
      <c r="R7" s="1629" t="s">
        <v>1331</v>
      </c>
      <c r="S7" s="1629" t="s">
        <v>1331</v>
      </c>
      <c r="T7" s="1629" t="s">
        <v>3354</v>
      </c>
      <c r="U7" s="1629" t="s">
        <v>3355</v>
      </c>
      <c r="V7" s="1629" t="s">
        <v>1331</v>
      </c>
      <c r="W7" s="1629" t="s">
        <v>3310</v>
      </c>
      <c r="X7" s="1629" t="s">
        <v>3356</v>
      </c>
      <c r="Y7" s="1629" t="s">
        <v>3357</v>
      </c>
      <c r="Z7" s="1629" t="s">
        <v>3346</v>
      </c>
      <c r="AA7" s="1629" t="s">
        <v>3346</v>
      </c>
      <c r="AB7" s="1629" t="s">
        <v>3352</v>
      </c>
      <c r="AC7" s="1629" t="s">
        <v>3314</v>
      </c>
      <c r="AD7" s="1629" t="s">
        <v>3358</v>
      </c>
      <c r="AE7" s="1629">
        <v>14800</v>
      </c>
      <c r="AF7" s="1629">
        <v>73950</v>
      </c>
      <c r="AG7" s="1629">
        <v>94000</v>
      </c>
      <c r="AH7" s="1629">
        <v>902.31</v>
      </c>
      <c r="AI7" s="1629">
        <v>1146.95</v>
      </c>
      <c r="AJ7" s="1629">
        <v>12890.01</v>
      </c>
      <c r="AK7" s="1629">
        <v>16384.86</v>
      </c>
      <c r="AL7" s="1629" t="s">
        <v>1331</v>
      </c>
      <c r="AM7" s="1629" t="s">
        <v>1331</v>
      </c>
      <c r="AN7" s="1629">
        <v>27.11</v>
      </c>
      <c r="AO7" s="1629" t="s">
        <v>3316</v>
      </c>
      <c r="AP7" s="1629" t="s">
        <v>1331</v>
      </c>
      <c r="AQ7" s="1629" t="s">
        <v>1331</v>
      </c>
      <c r="AR7" s="1629" t="s">
        <v>1331</v>
      </c>
      <c r="AS7" s="1629" t="s">
        <v>3359</v>
      </c>
    </row>
    <row r="8" spans="1:45">
      <c r="A8" s="1629" t="s">
        <v>3361</v>
      </c>
      <c r="B8" s="1629" t="s">
        <v>3062</v>
      </c>
      <c r="C8" s="1629" t="s">
        <v>3095</v>
      </c>
      <c r="D8" s="1629" t="s">
        <v>3301</v>
      </c>
      <c r="E8" s="1629" t="s">
        <v>1331</v>
      </c>
      <c r="F8" s="1629" t="s">
        <v>3351</v>
      </c>
      <c r="G8" s="1629" t="s">
        <v>3085</v>
      </c>
      <c r="H8" s="1629" t="s">
        <v>3362</v>
      </c>
      <c r="I8" s="1629" t="s">
        <v>3304</v>
      </c>
      <c r="J8" s="1629">
        <v>87590.77</v>
      </c>
      <c r="K8" s="1629">
        <v>91970</v>
      </c>
      <c r="L8" s="1629">
        <v>1.05</v>
      </c>
      <c r="M8" s="1629" t="s">
        <v>1331</v>
      </c>
      <c r="N8" s="1629" t="s">
        <v>3306</v>
      </c>
      <c r="O8" s="1629" t="s">
        <v>3363</v>
      </c>
      <c r="P8" s="1629" t="s">
        <v>1331</v>
      </c>
      <c r="Q8" s="1629" t="s">
        <v>1331</v>
      </c>
      <c r="R8" s="1629" t="s">
        <v>1331</v>
      </c>
      <c r="S8" s="1629" t="s">
        <v>1331</v>
      </c>
      <c r="T8" s="1629" t="s">
        <v>3354</v>
      </c>
      <c r="U8" s="1629" t="s">
        <v>3364</v>
      </c>
      <c r="V8" s="1629" t="s">
        <v>1331</v>
      </c>
      <c r="W8" s="1629" t="s">
        <v>3310</v>
      </c>
      <c r="X8" s="1629" t="s">
        <v>3365</v>
      </c>
      <c r="Y8" s="1629" t="s">
        <v>3357</v>
      </c>
      <c r="Z8" s="1629" t="s">
        <v>3346</v>
      </c>
      <c r="AA8" s="1629" t="s">
        <v>3346</v>
      </c>
      <c r="AB8" s="1629" t="s">
        <v>3362</v>
      </c>
      <c r="AC8" s="1629" t="s">
        <v>3314</v>
      </c>
      <c r="AD8" s="1629" t="s">
        <v>3366</v>
      </c>
      <c r="AE8" s="1629">
        <v>23800</v>
      </c>
      <c r="AF8" s="1629">
        <v>118550</v>
      </c>
      <c r="AG8" s="1629">
        <v>177000</v>
      </c>
      <c r="AH8" s="1629">
        <v>902.3</v>
      </c>
      <c r="AI8" s="1629">
        <v>1347.17</v>
      </c>
      <c r="AJ8" s="1629">
        <v>12890.07</v>
      </c>
      <c r="AK8" s="1629">
        <v>19245.400000000001</v>
      </c>
      <c r="AL8" s="1629" t="s">
        <v>1331</v>
      </c>
      <c r="AM8" s="1629" t="s">
        <v>1331</v>
      </c>
      <c r="AN8" s="1629">
        <v>49.3</v>
      </c>
      <c r="AO8" s="1629" t="s">
        <v>3316</v>
      </c>
      <c r="AP8" s="1629" t="s">
        <v>1331</v>
      </c>
      <c r="AQ8" s="1629">
        <v>2</v>
      </c>
      <c r="AR8" s="1629" t="s">
        <v>1331</v>
      </c>
      <c r="AS8" s="1629" t="s">
        <v>3359</v>
      </c>
    </row>
    <row r="9" spans="1:45">
      <c r="A9" s="1629" t="s">
        <v>3367</v>
      </c>
      <c r="B9" s="1629" t="s">
        <v>3062</v>
      </c>
      <c r="C9" s="1629" t="s">
        <v>3084</v>
      </c>
      <c r="D9" s="1629" t="s">
        <v>3340</v>
      </c>
      <c r="E9" s="1629" t="s">
        <v>1331</v>
      </c>
      <c r="F9" s="1629" t="s">
        <v>3368</v>
      </c>
      <c r="G9" s="1629" t="s">
        <v>3085</v>
      </c>
      <c r="H9" s="1629" t="s">
        <v>3369</v>
      </c>
      <c r="I9" s="1629" t="s">
        <v>3370</v>
      </c>
      <c r="J9" s="1629">
        <v>97107.81</v>
      </c>
      <c r="K9" s="1629">
        <v>194226</v>
      </c>
      <c r="L9" s="1629">
        <v>2</v>
      </c>
      <c r="M9" s="1629" t="s">
        <v>1331</v>
      </c>
      <c r="N9" s="1629" t="s">
        <v>3345</v>
      </c>
      <c r="O9" s="1629" t="s">
        <v>3345</v>
      </c>
      <c r="P9" s="1629" t="s">
        <v>1331</v>
      </c>
      <c r="Q9" s="1629" t="s">
        <v>1331</v>
      </c>
      <c r="R9" s="1629" t="s">
        <v>1331</v>
      </c>
      <c r="S9" s="1629" t="s">
        <v>1331</v>
      </c>
      <c r="T9" s="1629" t="s">
        <v>3308</v>
      </c>
      <c r="U9" s="1629" t="s">
        <v>3309</v>
      </c>
      <c r="V9" s="1629" t="s">
        <v>1331</v>
      </c>
      <c r="W9" s="1629" t="s">
        <v>3310</v>
      </c>
      <c r="X9" s="1629" t="s">
        <v>3365</v>
      </c>
      <c r="Y9" s="1629" t="s">
        <v>3357</v>
      </c>
      <c r="Z9" s="1629" t="s">
        <v>3346</v>
      </c>
      <c r="AA9" s="1629" t="s">
        <v>3346</v>
      </c>
      <c r="AB9" s="1629" t="s">
        <v>3369</v>
      </c>
      <c r="AC9" s="1629" t="s">
        <v>3314</v>
      </c>
      <c r="AD9" s="1629" t="s">
        <v>3371</v>
      </c>
      <c r="AE9" s="1629">
        <v>81200</v>
      </c>
      <c r="AF9" s="1629">
        <v>406000</v>
      </c>
      <c r="AG9" s="1629">
        <v>410000</v>
      </c>
      <c r="AH9" s="1629">
        <v>2787.28</v>
      </c>
      <c r="AI9" s="1629">
        <v>2814.74</v>
      </c>
      <c r="AJ9" s="1629">
        <v>20903.48</v>
      </c>
      <c r="AK9" s="1629">
        <v>21109.43</v>
      </c>
      <c r="AL9" s="1629" t="s">
        <v>1331</v>
      </c>
      <c r="AM9" s="1629" t="s">
        <v>1331</v>
      </c>
      <c r="AN9" s="1629">
        <v>0.99</v>
      </c>
      <c r="AO9" s="1629" t="s">
        <v>3316</v>
      </c>
      <c r="AP9" s="1629" t="s">
        <v>1331</v>
      </c>
      <c r="AQ9" s="1629" t="s">
        <v>1331</v>
      </c>
      <c r="AR9" s="1629" t="s">
        <v>1331</v>
      </c>
      <c r="AS9" s="1629" t="s">
        <v>3322</v>
      </c>
    </row>
    <row r="10" spans="1:45">
      <c r="A10" s="1629" t="s">
        <v>3372</v>
      </c>
      <c r="B10" s="1629" t="s">
        <v>3062</v>
      </c>
      <c r="C10" s="1629" t="s">
        <v>3084</v>
      </c>
      <c r="D10" s="1629" t="s">
        <v>3340</v>
      </c>
      <c r="E10" s="1629" t="s">
        <v>1331</v>
      </c>
      <c r="F10" s="1629" t="s">
        <v>3373</v>
      </c>
      <c r="G10" s="1629" t="s">
        <v>3085</v>
      </c>
      <c r="H10" s="1629" t="s">
        <v>3374</v>
      </c>
      <c r="I10" s="1629" t="s">
        <v>3375</v>
      </c>
      <c r="J10" s="1629">
        <v>46848.3</v>
      </c>
      <c r="K10" s="1629">
        <v>137272</v>
      </c>
      <c r="L10" s="1629">
        <v>2.93</v>
      </c>
      <c r="M10" s="1629" t="s">
        <v>1331</v>
      </c>
      <c r="N10" s="1629" t="s">
        <v>3376</v>
      </c>
      <c r="O10" s="1629" t="s">
        <v>3377</v>
      </c>
      <c r="P10" s="1629" t="s">
        <v>1331</v>
      </c>
      <c r="Q10" s="1629" t="s">
        <v>1331</v>
      </c>
      <c r="R10" s="1629" t="s">
        <v>1331</v>
      </c>
      <c r="S10" s="1629" t="s">
        <v>1331</v>
      </c>
      <c r="T10" s="1629" t="s">
        <v>3378</v>
      </c>
      <c r="U10" s="1629" t="s">
        <v>3379</v>
      </c>
      <c r="V10" s="1629" t="s">
        <v>1331</v>
      </c>
      <c r="W10" s="1629" t="s">
        <v>3310</v>
      </c>
      <c r="X10" s="1629" t="s">
        <v>3380</v>
      </c>
      <c r="Y10" s="1629" t="s">
        <v>3365</v>
      </c>
      <c r="Z10" s="1629" t="s">
        <v>3381</v>
      </c>
      <c r="AA10" s="1629" t="s">
        <v>3381</v>
      </c>
      <c r="AB10" s="1629" t="s">
        <v>3374</v>
      </c>
      <c r="AC10" s="1629" t="s">
        <v>3314</v>
      </c>
      <c r="AD10" s="1629" t="s">
        <v>3382</v>
      </c>
      <c r="AE10" s="1629">
        <v>53200</v>
      </c>
      <c r="AF10" s="1629">
        <v>265700</v>
      </c>
      <c r="AG10" s="1629">
        <v>265700</v>
      </c>
      <c r="AH10" s="1629">
        <v>3781</v>
      </c>
      <c r="AI10" s="1629">
        <v>3781</v>
      </c>
      <c r="AJ10" s="1629">
        <v>19355.73</v>
      </c>
      <c r="AK10" s="1629">
        <v>19355.72</v>
      </c>
      <c r="AL10" s="1629" t="s">
        <v>1331</v>
      </c>
      <c r="AM10" s="1629" t="s">
        <v>1331</v>
      </c>
      <c r="AN10" s="1629">
        <v>0</v>
      </c>
      <c r="AO10" s="1629" t="s">
        <v>3316</v>
      </c>
      <c r="AP10" s="1629" t="s">
        <v>1331</v>
      </c>
      <c r="AQ10" s="1629" t="s">
        <v>1331</v>
      </c>
      <c r="AR10" s="1629" t="s">
        <v>1331</v>
      </c>
      <c r="AS10" s="1629" t="s">
        <v>3383</v>
      </c>
    </row>
    <row r="11" spans="1:45" s="2975" customFormat="1">
      <c r="A11" s="2975" t="s">
        <v>3384</v>
      </c>
      <c r="B11" s="2975" t="s">
        <v>3062</v>
      </c>
      <c r="C11" s="2975" t="s">
        <v>3095</v>
      </c>
      <c r="D11" s="2975" t="s">
        <v>3301</v>
      </c>
      <c r="E11" s="2975" t="s">
        <v>1331</v>
      </c>
      <c r="F11" s="2975" t="s">
        <v>3385</v>
      </c>
      <c r="G11" s="2975" t="s">
        <v>3085</v>
      </c>
      <c r="H11" s="2975" t="s">
        <v>3386</v>
      </c>
      <c r="I11" s="2975" t="s">
        <v>3304</v>
      </c>
      <c r="J11" s="2975">
        <v>38121.199999999997</v>
      </c>
      <c r="K11" s="2975">
        <v>95303</v>
      </c>
      <c r="L11" s="2975">
        <v>2.5</v>
      </c>
      <c r="M11" s="2975" t="s">
        <v>1331</v>
      </c>
      <c r="N11" s="2975" t="s">
        <v>3306</v>
      </c>
      <c r="O11" s="2975" t="s">
        <v>3387</v>
      </c>
      <c r="P11" s="2975" t="s">
        <v>1331</v>
      </c>
      <c r="Q11" s="2975" t="s">
        <v>1331</v>
      </c>
      <c r="R11" s="2975" t="s">
        <v>1331</v>
      </c>
      <c r="S11" s="2975" t="s">
        <v>1331</v>
      </c>
      <c r="T11" s="2975" t="s">
        <v>3308</v>
      </c>
      <c r="U11" s="2975" t="s">
        <v>3309</v>
      </c>
      <c r="V11" s="2975" t="s">
        <v>1331</v>
      </c>
      <c r="W11" s="2975" t="s">
        <v>3388</v>
      </c>
      <c r="X11" s="2975" t="s">
        <v>3389</v>
      </c>
      <c r="Y11" s="2975" t="s">
        <v>3380</v>
      </c>
      <c r="Z11" s="2975" t="s">
        <v>3390</v>
      </c>
      <c r="AA11" s="2975" t="s">
        <v>3390</v>
      </c>
      <c r="AB11" s="2975" t="s">
        <v>3386</v>
      </c>
      <c r="AC11" s="2975" t="s">
        <v>3314</v>
      </c>
      <c r="AD11" s="2975" t="s">
        <v>3391</v>
      </c>
      <c r="AE11" s="2975">
        <v>53400</v>
      </c>
      <c r="AF11" s="2975">
        <v>267000</v>
      </c>
      <c r="AG11" s="2975">
        <v>332000</v>
      </c>
      <c r="AH11" s="2975">
        <v>4669.32</v>
      </c>
      <c r="AI11" s="2975">
        <v>5806.04</v>
      </c>
      <c r="AJ11" s="2975">
        <v>28015.9</v>
      </c>
      <c r="AK11" s="2975">
        <v>34836.26</v>
      </c>
      <c r="AL11" s="2975" t="s">
        <v>1331</v>
      </c>
      <c r="AM11" s="2975" t="s">
        <v>1331</v>
      </c>
      <c r="AN11" s="2975">
        <v>24.34</v>
      </c>
      <c r="AO11" s="2975" t="s">
        <v>3316</v>
      </c>
      <c r="AP11" s="2975" t="s">
        <v>1331</v>
      </c>
      <c r="AQ11" s="2975" t="s">
        <v>1331</v>
      </c>
      <c r="AR11" s="2975" t="s">
        <v>1331</v>
      </c>
      <c r="AS11" s="2975" t="s">
        <v>3317</v>
      </c>
    </row>
    <row r="12" spans="1:45">
      <c r="A12" s="1629" t="s">
        <v>3392</v>
      </c>
      <c r="B12" s="1629" t="s">
        <v>3062</v>
      </c>
      <c r="C12" s="1629" t="s">
        <v>3095</v>
      </c>
      <c r="D12" s="1629" t="s">
        <v>3301</v>
      </c>
      <c r="E12" s="1629" t="s">
        <v>1331</v>
      </c>
      <c r="F12" s="1629" t="s">
        <v>3393</v>
      </c>
      <c r="G12" s="1629" t="s">
        <v>3085</v>
      </c>
      <c r="H12" s="1629" t="s">
        <v>3394</v>
      </c>
      <c r="I12" s="1629" t="s">
        <v>3304</v>
      </c>
      <c r="J12" s="1629">
        <v>44933.4</v>
      </c>
      <c r="K12" s="1629">
        <v>112333.5</v>
      </c>
      <c r="L12" s="1629">
        <v>2.5</v>
      </c>
      <c r="M12" s="1629" t="s">
        <v>1331</v>
      </c>
      <c r="N12" s="1629" t="s">
        <v>3306</v>
      </c>
      <c r="O12" s="1629" t="s">
        <v>3387</v>
      </c>
      <c r="P12" s="1629" t="s">
        <v>1331</v>
      </c>
      <c r="Q12" s="1629" t="s">
        <v>1331</v>
      </c>
      <c r="R12" s="1629" t="s">
        <v>1331</v>
      </c>
      <c r="S12" s="1629" t="s">
        <v>1331</v>
      </c>
      <c r="T12" s="1629" t="s">
        <v>3308</v>
      </c>
      <c r="U12" s="1629" t="s">
        <v>3309</v>
      </c>
      <c r="V12" s="1629" t="s">
        <v>1331</v>
      </c>
      <c r="W12" s="1629" t="s">
        <v>3388</v>
      </c>
      <c r="X12" s="1629" t="s">
        <v>3389</v>
      </c>
      <c r="Y12" s="1629" t="s">
        <v>3380</v>
      </c>
      <c r="Z12" s="1629" t="s">
        <v>3390</v>
      </c>
      <c r="AA12" s="1629" t="s">
        <v>3390</v>
      </c>
      <c r="AB12" s="1629" t="s">
        <v>3394</v>
      </c>
      <c r="AC12" s="1629" t="s">
        <v>3314</v>
      </c>
      <c r="AD12" s="1629" t="s">
        <v>3395</v>
      </c>
      <c r="AE12" s="1629">
        <v>63000</v>
      </c>
      <c r="AF12" s="1629">
        <v>315000</v>
      </c>
      <c r="AG12" s="1629">
        <v>370000</v>
      </c>
      <c r="AH12" s="1629">
        <v>4673.58</v>
      </c>
      <c r="AI12" s="1629">
        <v>5489.61</v>
      </c>
      <c r="AJ12" s="1629">
        <v>28041.5</v>
      </c>
      <c r="AK12" s="1629">
        <v>32937.629999999997</v>
      </c>
      <c r="AL12" s="1629" t="s">
        <v>1331</v>
      </c>
      <c r="AM12" s="1629" t="s">
        <v>1331</v>
      </c>
      <c r="AN12" s="1629">
        <v>17.46</v>
      </c>
      <c r="AO12" s="1629" t="s">
        <v>3316</v>
      </c>
      <c r="AP12" s="1629" t="s">
        <v>1331</v>
      </c>
      <c r="AQ12" s="1629" t="s">
        <v>1331</v>
      </c>
      <c r="AR12" s="1629" t="s">
        <v>1331</v>
      </c>
      <c r="AS12" s="1629" t="s">
        <v>3317</v>
      </c>
    </row>
    <row r="13" spans="1:45">
      <c r="A13" s="1629" t="s">
        <v>3396</v>
      </c>
      <c r="B13" s="1629" t="s">
        <v>3062</v>
      </c>
      <c r="C13" s="1629" t="s">
        <v>3084</v>
      </c>
      <c r="D13" s="1629" t="s">
        <v>3301</v>
      </c>
      <c r="E13" s="1629" t="s">
        <v>1331</v>
      </c>
      <c r="F13" s="1629" t="s">
        <v>3397</v>
      </c>
      <c r="G13" s="1629" t="s">
        <v>3085</v>
      </c>
      <c r="H13" s="1629" t="s">
        <v>3398</v>
      </c>
      <c r="I13" s="1629" t="s">
        <v>3399</v>
      </c>
      <c r="J13" s="1629">
        <v>53689</v>
      </c>
      <c r="K13" s="1629">
        <v>110976</v>
      </c>
      <c r="L13" s="1629">
        <v>2.0699999999999998</v>
      </c>
      <c r="M13" s="1629" t="s">
        <v>1331</v>
      </c>
      <c r="N13" s="1629" t="s">
        <v>3400</v>
      </c>
      <c r="O13" s="1629" t="s">
        <v>3401</v>
      </c>
      <c r="P13" s="1629" t="s">
        <v>1331</v>
      </c>
      <c r="Q13" s="1629" t="s">
        <v>1331</v>
      </c>
      <c r="R13" s="1629" t="s">
        <v>1331</v>
      </c>
      <c r="S13" s="1629" t="s">
        <v>1331</v>
      </c>
      <c r="T13" s="1629" t="s">
        <v>3354</v>
      </c>
      <c r="U13" s="1629" t="s">
        <v>3355</v>
      </c>
      <c r="V13" s="1629" t="s">
        <v>1331</v>
      </c>
      <c r="W13" s="1629" t="s">
        <v>3388</v>
      </c>
      <c r="X13" s="1629" t="s">
        <v>3402</v>
      </c>
      <c r="Y13" s="1629" t="s">
        <v>3403</v>
      </c>
      <c r="Z13" s="1629" t="s">
        <v>3404</v>
      </c>
      <c r="AA13" s="1629" t="s">
        <v>3404</v>
      </c>
      <c r="AB13" s="1629" t="s">
        <v>3398</v>
      </c>
      <c r="AC13" s="1629" t="s">
        <v>3314</v>
      </c>
      <c r="AD13" s="1629" t="s">
        <v>3405</v>
      </c>
      <c r="AE13" s="1629">
        <v>62000</v>
      </c>
      <c r="AF13" s="1629">
        <v>206000</v>
      </c>
      <c r="AG13" s="1629">
        <v>208000</v>
      </c>
      <c r="AH13" s="1629">
        <v>2557.94</v>
      </c>
      <c r="AI13" s="1629">
        <v>2582.7800000000002</v>
      </c>
      <c r="AJ13" s="1629">
        <v>18562.57</v>
      </c>
      <c r="AK13" s="1629">
        <v>18742.79</v>
      </c>
      <c r="AL13" s="1629" t="s">
        <v>1331</v>
      </c>
      <c r="AM13" s="1629" t="s">
        <v>1331</v>
      </c>
      <c r="AN13" s="1629">
        <v>0.97</v>
      </c>
      <c r="AO13" s="1629" t="s">
        <v>3316</v>
      </c>
      <c r="AP13" s="1629" t="s">
        <v>1331</v>
      </c>
      <c r="AQ13" s="1629" t="s">
        <v>1331</v>
      </c>
      <c r="AR13" s="1629" t="s">
        <v>1331</v>
      </c>
      <c r="AS13" s="1629" t="s">
        <v>3383</v>
      </c>
    </row>
    <row r="14" spans="1:45">
      <c r="A14" s="1629" t="s">
        <v>3406</v>
      </c>
      <c r="B14" s="1629" t="s">
        <v>3062</v>
      </c>
      <c r="C14" s="1629" t="s">
        <v>3095</v>
      </c>
      <c r="D14" s="1629" t="s">
        <v>3301</v>
      </c>
      <c r="E14" s="1629" t="s">
        <v>1331</v>
      </c>
      <c r="F14" s="1629" t="s">
        <v>3397</v>
      </c>
      <c r="G14" s="1629" t="s">
        <v>3085</v>
      </c>
      <c r="H14" s="1629" t="s">
        <v>3407</v>
      </c>
      <c r="I14" s="1629" t="s">
        <v>3304</v>
      </c>
      <c r="J14" s="1629">
        <v>39735</v>
      </c>
      <c r="K14" s="1629">
        <v>87417</v>
      </c>
      <c r="L14" s="1629">
        <v>2.2000000000000002</v>
      </c>
      <c r="M14" s="1629" t="s">
        <v>1331</v>
      </c>
      <c r="N14" s="1629" t="s">
        <v>3306</v>
      </c>
      <c r="O14" s="1629" t="s">
        <v>3360</v>
      </c>
      <c r="P14" s="1629" t="s">
        <v>1331</v>
      </c>
      <c r="Q14" s="1629" t="s">
        <v>1331</v>
      </c>
      <c r="R14" s="1629" t="s">
        <v>1331</v>
      </c>
      <c r="S14" s="1629" t="s">
        <v>1331</v>
      </c>
      <c r="T14" s="1629" t="s">
        <v>3308</v>
      </c>
      <c r="U14" s="1629" t="s">
        <v>3309</v>
      </c>
      <c r="V14" s="1629" t="s">
        <v>1331</v>
      </c>
      <c r="W14" s="1629" t="s">
        <v>3388</v>
      </c>
      <c r="X14" s="1629" t="s">
        <v>3402</v>
      </c>
      <c r="Y14" s="1629" t="s">
        <v>3403</v>
      </c>
      <c r="Z14" s="1629" t="s">
        <v>3404</v>
      </c>
      <c r="AA14" s="1629" t="s">
        <v>3404</v>
      </c>
      <c r="AB14" s="1629" t="s">
        <v>3407</v>
      </c>
      <c r="AC14" s="1629" t="s">
        <v>3314</v>
      </c>
      <c r="AD14" s="1629" t="s">
        <v>3087</v>
      </c>
      <c r="AE14" s="1629">
        <v>51000</v>
      </c>
      <c r="AF14" s="1629">
        <v>170000</v>
      </c>
      <c r="AG14" s="1629">
        <v>172700</v>
      </c>
      <c r="AH14" s="1629">
        <v>2852.23</v>
      </c>
      <c r="AI14" s="1629">
        <v>2897.53</v>
      </c>
      <c r="AJ14" s="1629">
        <v>19447.009999999998</v>
      </c>
      <c r="AK14" s="1629">
        <v>19755.88</v>
      </c>
      <c r="AL14" s="1629" t="s">
        <v>1331</v>
      </c>
      <c r="AM14" s="1629" t="s">
        <v>1331</v>
      </c>
      <c r="AN14" s="1629">
        <v>1.59</v>
      </c>
      <c r="AO14" s="1629" t="s">
        <v>3316</v>
      </c>
      <c r="AP14" s="1629" t="s">
        <v>1331</v>
      </c>
      <c r="AQ14" s="1629" t="s">
        <v>1331</v>
      </c>
      <c r="AR14" s="1629" t="s">
        <v>1331</v>
      </c>
      <c r="AS14" s="1629" t="s">
        <v>3383</v>
      </c>
    </row>
    <row r="15" spans="1:45">
      <c r="A15" s="1629" t="s">
        <v>3408</v>
      </c>
      <c r="B15" s="1629" t="s">
        <v>3062</v>
      </c>
      <c r="C15" s="1629" t="s">
        <v>3095</v>
      </c>
      <c r="D15" s="1629" t="s">
        <v>3301</v>
      </c>
      <c r="E15" s="1629" t="s">
        <v>1331</v>
      </c>
      <c r="F15" s="1629" t="s">
        <v>3409</v>
      </c>
      <c r="G15" s="1629" t="s">
        <v>3085</v>
      </c>
      <c r="H15" s="1629" t="s">
        <v>3410</v>
      </c>
      <c r="I15" s="1629" t="s">
        <v>3304</v>
      </c>
      <c r="J15" s="1629">
        <v>74464</v>
      </c>
      <c r="K15" s="1629">
        <v>119142</v>
      </c>
      <c r="L15" s="1629">
        <v>1.6</v>
      </c>
      <c r="M15" s="1629" t="s">
        <v>1331</v>
      </c>
      <c r="N15" s="1629" t="s">
        <v>3306</v>
      </c>
      <c r="O15" s="1629" t="s">
        <v>3353</v>
      </c>
      <c r="P15" s="1629" t="s">
        <v>1331</v>
      </c>
      <c r="Q15" s="1629" t="s">
        <v>1331</v>
      </c>
      <c r="R15" s="1629" t="s">
        <v>1331</v>
      </c>
      <c r="S15" s="1629" t="s">
        <v>1331</v>
      </c>
      <c r="T15" s="1629" t="s">
        <v>3308</v>
      </c>
      <c r="U15" s="1629" t="s">
        <v>3309</v>
      </c>
      <c r="V15" s="1629" t="s">
        <v>1331</v>
      </c>
      <c r="W15" s="1629" t="s">
        <v>3388</v>
      </c>
      <c r="X15" s="1629" t="s">
        <v>3411</v>
      </c>
      <c r="Y15" s="1629" t="s">
        <v>3412</v>
      </c>
      <c r="Z15" s="1629" t="s">
        <v>3413</v>
      </c>
      <c r="AA15" s="1629" t="s">
        <v>3413</v>
      </c>
      <c r="AB15" s="1629" t="s">
        <v>3410</v>
      </c>
      <c r="AC15" s="1629" t="s">
        <v>3314</v>
      </c>
      <c r="AD15" s="1629" t="s">
        <v>3087</v>
      </c>
      <c r="AE15" s="1629">
        <v>69000</v>
      </c>
      <c r="AF15" s="1629">
        <v>230000</v>
      </c>
      <c r="AG15" s="1629">
        <v>327500</v>
      </c>
      <c r="AH15" s="1629">
        <v>2059.16</v>
      </c>
      <c r="AI15" s="1629">
        <v>2932.07</v>
      </c>
      <c r="AJ15" s="1629">
        <v>19304.689999999999</v>
      </c>
      <c r="AK15" s="1629">
        <v>27488.2</v>
      </c>
      <c r="AL15" s="1629" t="s">
        <v>1331</v>
      </c>
      <c r="AM15" s="1629" t="s">
        <v>1331</v>
      </c>
      <c r="AN15" s="1629">
        <v>42.39</v>
      </c>
      <c r="AO15" s="1629" t="s">
        <v>3316</v>
      </c>
      <c r="AP15" s="1629" t="s">
        <v>1331</v>
      </c>
      <c r="AQ15" s="1629" t="s">
        <v>1331</v>
      </c>
      <c r="AR15" s="1629" t="s">
        <v>1331</v>
      </c>
      <c r="AS15" s="1629" t="s">
        <v>3359</v>
      </c>
    </row>
    <row r="16" spans="1:45">
      <c r="A16" s="1629" t="s">
        <v>3414</v>
      </c>
      <c r="B16" s="1629" t="s">
        <v>3062</v>
      </c>
      <c r="C16" s="1629" t="s">
        <v>3084</v>
      </c>
      <c r="D16" s="1629" t="s">
        <v>3301</v>
      </c>
      <c r="E16" s="1629" t="s">
        <v>1331</v>
      </c>
      <c r="F16" s="1629" t="s">
        <v>3415</v>
      </c>
      <c r="G16" s="1629" t="s">
        <v>3085</v>
      </c>
      <c r="H16" s="1629" t="s">
        <v>3416</v>
      </c>
      <c r="I16" s="1629" t="s">
        <v>3336</v>
      </c>
      <c r="J16" s="1629">
        <v>39491.11</v>
      </c>
      <c r="K16" s="1629">
        <v>98728</v>
      </c>
      <c r="L16" s="1629">
        <v>2.5</v>
      </c>
      <c r="M16" s="1629" t="s">
        <v>1331</v>
      </c>
      <c r="N16" s="1629" t="s">
        <v>3417</v>
      </c>
      <c r="O16" s="1629" t="s">
        <v>3387</v>
      </c>
      <c r="P16" s="1629" t="s">
        <v>1331</v>
      </c>
      <c r="Q16" s="1629" t="s">
        <v>1331</v>
      </c>
      <c r="R16" s="1629" t="s">
        <v>1331</v>
      </c>
      <c r="S16" s="1629" t="s">
        <v>1331</v>
      </c>
      <c r="T16" s="1629" t="s">
        <v>3308</v>
      </c>
      <c r="U16" s="1629" t="s">
        <v>3309</v>
      </c>
      <c r="V16" s="1629" t="s">
        <v>1331</v>
      </c>
      <c r="W16" s="1629" t="s">
        <v>3388</v>
      </c>
      <c r="X16" s="1629" t="s">
        <v>3418</v>
      </c>
      <c r="Y16" s="1629" t="s">
        <v>3419</v>
      </c>
      <c r="Z16" s="1629" t="s">
        <v>3420</v>
      </c>
      <c r="AA16" s="1629" t="s">
        <v>3420</v>
      </c>
      <c r="AB16" s="1629" t="s">
        <v>3416</v>
      </c>
      <c r="AC16" s="1629" t="s">
        <v>3314</v>
      </c>
      <c r="AD16" s="1629" t="s">
        <v>3421</v>
      </c>
      <c r="AE16" s="1629">
        <v>72000</v>
      </c>
      <c r="AF16" s="1629">
        <v>266000</v>
      </c>
      <c r="AG16" s="1629">
        <v>302500</v>
      </c>
      <c r="AH16" s="1629">
        <v>4490.46</v>
      </c>
      <c r="AI16" s="1629">
        <v>5106.63</v>
      </c>
      <c r="AJ16" s="1629">
        <v>26942.7</v>
      </c>
      <c r="AK16" s="1629">
        <v>30639.74</v>
      </c>
      <c r="AL16" s="1629" t="s">
        <v>1331</v>
      </c>
      <c r="AM16" s="1629" t="s">
        <v>1331</v>
      </c>
      <c r="AN16" s="1629">
        <v>13.72</v>
      </c>
      <c r="AO16" s="1629" t="s">
        <v>3316</v>
      </c>
      <c r="AP16" s="1629" t="s">
        <v>1331</v>
      </c>
      <c r="AQ16" s="1629" t="s">
        <v>1331</v>
      </c>
      <c r="AR16" s="1629" t="s">
        <v>1331</v>
      </c>
      <c r="AS16" s="1629" t="s">
        <v>3322</v>
      </c>
    </row>
    <row r="17" spans="1:45" hidden="1">
      <c r="A17" s="1629" t="s">
        <v>3422</v>
      </c>
      <c r="B17" s="1629" t="s">
        <v>3062</v>
      </c>
      <c r="C17" s="1629" t="s">
        <v>3095</v>
      </c>
      <c r="D17" s="1629" t="s">
        <v>3301</v>
      </c>
      <c r="E17" s="1629" t="s">
        <v>1331</v>
      </c>
      <c r="F17" s="1629" t="s">
        <v>3415</v>
      </c>
      <c r="G17" s="1629" t="s">
        <v>3110</v>
      </c>
      <c r="H17" s="1629" t="s">
        <v>3423</v>
      </c>
      <c r="I17" s="1629" t="s">
        <v>3304</v>
      </c>
      <c r="J17" s="1629">
        <v>20291.37</v>
      </c>
      <c r="K17" s="1629">
        <v>36524</v>
      </c>
      <c r="L17" s="1629">
        <v>1.8</v>
      </c>
      <c r="M17" s="1629" t="s">
        <v>1331</v>
      </c>
      <c r="N17" s="1629" t="s">
        <v>3424</v>
      </c>
      <c r="O17" s="1629" t="s">
        <v>3353</v>
      </c>
      <c r="P17" s="1629" t="s">
        <v>1331</v>
      </c>
      <c r="Q17" s="1629" t="s">
        <v>1331</v>
      </c>
      <c r="R17" s="1629" t="s">
        <v>1331</v>
      </c>
      <c r="S17" s="1629" t="s">
        <v>3425</v>
      </c>
      <c r="T17" s="1629" t="s">
        <v>3426</v>
      </c>
      <c r="U17" s="1629" t="s">
        <v>3426</v>
      </c>
      <c r="V17" s="1629" t="s">
        <v>1331</v>
      </c>
      <c r="W17" s="1629" t="s">
        <v>3388</v>
      </c>
      <c r="X17" s="1629" t="s">
        <v>3418</v>
      </c>
      <c r="Y17" s="1629" t="s">
        <v>3427</v>
      </c>
      <c r="Z17" s="1629" t="s">
        <v>3427</v>
      </c>
      <c r="AA17" s="1629" t="s">
        <v>3427</v>
      </c>
      <c r="AB17" s="1629" t="s">
        <v>3423</v>
      </c>
      <c r="AC17" s="1629" t="s">
        <v>3314</v>
      </c>
      <c r="AD17" s="1629" t="s">
        <v>3428</v>
      </c>
      <c r="AE17" s="1629">
        <v>19000</v>
      </c>
      <c r="AF17" s="1629" t="s">
        <v>1331</v>
      </c>
      <c r="AG17" s="1629">
        <v>62800</v>
      </c>
      <c r="AH17" s="1629" t="s">
        <v>1331</v>
      </c>
      <c r="AI17" s="1629">
        <v>2063.27</v>
      </c>
      <c r="AJ17" s="1629" t="s">
        <v>1331</v>
      </c>
      <c r="AK17" s="1629">
        <v>17194.16</v>
      </c>
      <c r="AL17" s="1629" t="s">
        <v>1331</v>
      </c>
      <c r="AM17" s="1629" t="s">
        <v>1331</v>
      </c>
      <c r="AN17" s="1629" t="s">
        <v>1331</v>
      </c>
      <c r="AO17" s="1629" t="s">
        <v>3316</v>
      </c>
      <c r="AP17" s="1629" t="s">
        <v>1331</v>
      </c>
      <c r="AQ17" s="1629" t="s">
        <v>1331</v>
      </c>
      <c r="AR17" s="1629" t="s">
        <v>1331</v>
      </c>
      <c r="AS17" s="1629" t="s">
        <v>3322</v>
      </c>
    </row>
    <row r="18" spans="1:45">
      <c r="A18" s="1629" t="s">
        <v>3083</v>
      </c>
      <c r="B18" s="1629" t="s">
        <v>3062</v>
      </c>
      <c r="C18" s="1629" t="s">
        <v>3084</v>
      </c>
      <c r="D18" s="1629" t="s">
        <v>3340</v>
      </c>
      <c r="E18" s="1629" t="s">
        <v>1331</v>
      </c>
      <c r="F18" s="1629" t="s">
        <v>3373</v>
      </c>
      <c r="G18" s="1629" t="s">
        <v>3085</v>
      </c>
      <c r="H18" s="1629" t="s">
        <v>3429</v>
      </c>
      <c r="I18" s="1629" t="s">
        <v>3430</v>
      </c>
      <c r="J18" s="1629">
        <v>175114.7</v>
      </c>
      <c r="K18" s="1629">
        <v>299579</v>
      </c>
      <c r="L18" s="1629">
        <v>1.7</v>
      </c>
      <c r="M18" s="1629" t="s">
        <v>1331</v>
      </c>
      <c r="N18" s="1629" t="s">
        <v>3431</v>
      </c>
      <c r="O18" s="1629" t="s">
        <v>3432</v>
      </c>
      <c r="P18" s="1629" t="s">
        <v>1331</v>
      </c>
      <c r="Q18" s="1629" t="s">
        <v>1331</v>
      </c>
      <c r="R18" s="1629" t="s">
        <v>1331</v>
      </c>
      <c r="S18" s="1629" t="s">
        <v>1331</v>
      </c>
      <c r="T18" s="1629" t="s">
        <v>3354</v>
      </c>
      <c r="U18" s="1629" t="s">
        <v>3355</v>
      </c>
      <c r="V18" s="1629" t="s">
        <v>1331</v>
      </c>
      <c r="W18" s="1629" t="s">
        <v>3388</v>
      </c>
      <c r="X18" s="1629" t="s">
        <v>3433</v>
      </c>
      <c r="Y18" s="1629" t="s">
        <v>3434</v>
      </c>
      <c r="Z18" s="1629" t="s">
        <v>3086</v>
      </c>
      <c r="AA18" s="1629" t="s">
        <v>3086</v>
      </c>
      <c r="AB18" s="1629" t="s">
        <v>3429</v>
      </c>
      <c r="AC18" s="1629" t="s">
        <v>3314</v>
      </c>
      <c r="AD18" s="1629" t="s">
        <v>3087</v>
      </c>
      <c r="AE18" s="1629">
        <v>136000</v>
      </c>
      <c r="AF18" s="1629">
        <v>453000</v>
      </c>
      <c r="AG18" s="1629">
        <v>545000</v>
      </c>
      <c r="AH18" s="1629">
        <v>1724.58</v>
      </c>
      <c r="AI18" s="1629">
        <v>2074.83</v>
      </c>
      <c r="AJ18" s="1629">
        <v>15121.21</v>
      </c>
      <c r="AK18" s="1629">
        <v>18192.2</v>
      </c>
      <c r="AL18" s="1629" t="s">
        <v>1331</v>
      </c>
      <c r="AM18" s="1629" t="s">
        <v>1331</v>
      </c>
      <c r="AN18" s="1629">
        <v>20.309999999999999</v>
      </c>
      <c r="AO18" s="1629" t="s">
        <v>3316</v>
      </c>
      <c r="AP18" s="1629" t="s">
        <v>1331</v>
      </c>
      <c r="AQ18" s="1629" t="s">
        <v>1331</v>
      </c>
      <c r="AR18" s="1629" t="s">
        <v>1331</v>
      </c>
      <c r="AS18" s="1629" t="s">
        <v>3317</v>
      </c>
    </row>
    <row r="19" spans="1:45" hidden="1">
      <c r="A19" s="1629" t="s">
        <v>3088</v>
      </c>
      <c r="B19" s="1629" t="s">
        <v>3062</v>
      </c>
      <c r="C19" s="1629" t="s">
        <v>3084</v>
      </c>
      <c r="D19" s="1629" t="s">
        <v>3340</v>
      </c>
      <c r="E19" s="1629" t="s">
        <v>1331</v>
      </c>
      <c r="F19" s="1629" t="s">
        <v>3435</v>
      </c>
      <c r="G19" s="1629" t="s">
        <v>3085</v>
      </c>
      <c r="H19" s="1629" t="s">
        <v>3436</v>
      </c>
      <c r="I19" s="1629" t="s">
        <v>3437</v>
      </c>
      <c r="J19" s="1629">
        <v>122262</v>
      </c>
      <c r="K19" s="1629">
        <v>285496</v>
      </c>
      <c r="L19" s="1629">
        <v>2.335</v>
      </c>
      <c r="M19" s="1629" t="s">
        <v>1331</v>
      </c>
      <c r="N19" s="1629" t="s">
        <v>3438</v>
      </c>
      <c r="O19" s="1629" t="s">
        <v>3439</v>
      </c>
      <c r="P19" s="1629" t="s">
        <v>1331</v>
      </c>
      <c r="Q19" s="1629" t="s">
        <v>1331</v>
      </c>
      <c r="R19" s="1629" t="s">
        <v>1331</v>
      </c>
      <c r="S19" s="1629" t="s">
        <v>3440</v>
      </c>
      <c r="T19" s="1629" t="s">
        <v>3426</v>
      </c>
      <c r="U19" s="1629" t="s">
        <v>3426</v>
      </c>
      <c r="V19" s="1629" t="s">
        <v>1331</v>
      </c>
      <c r="W19" s="1629" t="s">
        <v>3388</v>
      </c>
      <c r="X19" s="1629" t="s">
        <v>3441</v>
      </c>
      <c r="Y19" s="1629" t="s">
        <v>3442</v>
      </c>
      <c r="Z19" s="1629" t="s">
        <v>3089</v>
      </c>
      <c r="AA19" s="1629" t="s">
        <v>3089</v>
      </c>
      <c r="AB19" s="1629" t="s">
        <v>3436</v>
      </c>
      <c r="AC19" s="1629" t="s">
        <v>3314</v>
      </c>
      <c r="AD19" s="1629" t="s">
        <v>3090</v>
      </c>
      <c r="AE19" s="1629">
        <v>99000</v>
      </c>
      <c r="AF19" s="1629">
        <v>328500</v>
      </c>
      <c r="AG19" s="1629">
        <v>328500</v>
      </c>
      <c r="AH19" s="1629">
        <v>1791.24</v>
      </c>
      <c r="AI19" s="1629">
        <v>1791.24</v>
      </c>
      <c r="AJ19" s="1629">
        <v>11506.29</v>
      </c>
      <c r="AK19" s="1629">
        <v>11506.29</v>
      </c>
      <c r="AL19" s="1629" t="s">
        <v>1331</v>
      </c>
      <c r="AM19" s="1629" t="s">
        <v>1331</v>
      </c>
      <c r="AN19" s="1629">
        <v>0</v>
      </c>
      <c r="AO19" s="1629" t="s">
        <v>3316</v>
      </c>
      <c r="AP19" s="1629" t="s">
        <v>1331</v>
      </c>
      <c r="AQ19" s="1629" t="s">
        <v>1331</v>
      </c>
      <c r="AR19" s="1629" t="s">
        <v>1331</v>
      </c>
      <c r="AS19" s="1629" t="s">
        <v>3322</v>
      </c>
    </row>
    <row r="20" spans="1:45" s="2975" customFormat="1">
      <c r="A20" s="2975" t="s">
        <v>3091</v>
      </c>
      <c r="B20" s="2975" t="s">
        <v>3062</v>
      </c>
      <c r="C20" s="2975" t="s">
        <v>3084</v>
      </c>
      <c r="D20" s="2975" t="s">
        <v>3340</v>
      </c>
      <c r="E20" s="2975" t="s">
        <v>1331</v>
      </c>
      <c r="F20" s="2975" t="s">
        <v>3443</v>
      </c>
      <c r="G20" s="2975" t="s">
        <v>3085</v>
      </c>
      <c r="H20" s="2975" t="s">
        <v>3444</v>
      </c>
      <c r="I20" s="2975" t="s">
        <v>3399</v>
      </c>
      <c r="J20" s="2975">
        <v>71022.78</v>
      </c>
      <c r="K20" s="2975">
        <v>170414</v>
      </c>
      <c r="L20" s="2975">
        <v>2.4</v>
      </c>
      <c r="M20" s="2975" t="s">
        <v>1331</v>
      </c>
      <c r="N20" s="2975" t="s">
        <v>3445</v>
      </c>
      <c r="O20" s="2975" t="s">
        <v>3446</v>
      </c>
      <c r="P20" s="2975" t="s">
        <v>1331</v>
      </c>
      <c r="Q20" s="2975" t="s">
        <v>1331</v>
      </c>
      <c r="R20" s="2975" t="s">
        <v>1331</v>
      </c>
      <c r="S20" s="2975" t="s">
        <v>1331</v>
      </c>
      <c r="T20" s="2975" t="s">
        <v>3308</v>
      </c>
      <c r="U20" s="2975" t="s">
        <v>3447</v>
      </c>
      <c r="V20" s="2975" t="s">
        <v>1331</v>
      </c>
      <c r="W20" s="2975" t="s">
        <v>3448</v>
      </c>
      <c r="X20" s="2975" t="s">
        <v>3449</v>
      </c>
      <c r="Y20" s="2975" t="s">
        <v>3450</v>
      </c>
      <c r="Z20" s="2975" t="s">
        <v>3092</v>
      </c>
      <c r="AA20" s="2975" t="s">
        <v>3092</v>
      </c>
      <c r="AB20" s="2975" t="s">
        <v>3444</v>
      </c>
      <c r="AC20" s="2975" t="s">
        <v>3314</v>
      </c>
      <c r="AD20" s="2975" t="s">
        <v>3093</v>
      </c>
      <c r="AE20" s="2975">
        <v>135000</v>
      </c>
      <c r="AF20" s="2975">
        <v>450000</v>
      </c>
      <c r="AG20" s="2975">
        <v>648000</v>
      </c>
      <c r="AH20" s="2975">
        <v>4224</v>
      </c>
      <c r="AI20" s="2975">
        <v>6082.56</v>
      </c>
      <c r="AJ20" s="2975">
        <v>26406.28</v>
      </c>
      <c r="AK20" s="2975">
        <v>38025.040000000001</v>
      </c>
      <c r="AL20" s="2975" t="s">
        <v>1331</v>
      </c>
      <c r="AM20" s="2975" t="s">
        <v>1331</v>
      </c>
      <c r="AN20" s="2975">
        <v>44</v>
      </c>
      <c r="AO20" s="2975" t="s">
        <v>3316</v>
      </c>
      <c r="AP20" s="2975" t="s">
        <v>1331</v>
      </c>
      <c r="AQ20" s="2975">
        <v>3</v>
      </c>
      <c r="AR20" s="2975" t="s">
        <v>1331</v>
      </c>
      <c r="AS20" s="2975" t="s">
        <v>3383</v>
      </c>
    </row>
    <row r="21" spans="1:45" hidden="1">
      <c r="A21" s="1629" t="s">
        <v>3451</v>
      </c>
      <c r="B21" s="1629" t="s">
        <v>3062</v>
      </c>
      <c r="C21" s="1629" t="s">
        <v>3095</v>
      </c>
      <c r="D21" s="1629" t="s">
        <v>3301</v>
      </c>
      <c r="E21" s="1629" t="s">
        <v>1331</v>
      </c>
      <c r="F21" s="1629" t="s">
        <v>3397</v>
      </c>
      <c r="G21" s="1629" t="s">
        <v>3085</v>
      </c>
      <c r="H21" s="1629" t="s">
        <v>3452</v>
      </c>
      <c r="I21" s="1629" t="s">
        <v>3304</v>
      </c>
      <c r="J21" s="1629">
        <v>95947</v>
      </c>
      <c r="K21" s="1629">
        <v>211083</v>
      </c>
      <c r="L21" s="1629">
        <v>2.2000000000000002</v>
      </c>
      <c r="M21" s="1629" t="s">
        <v>1331</v>
      </c>
      <c r="N21" s="1629" t="s">
        <v>3306</v>
      </c>
      <c r="O21" s="1629" t="s">
        <v>3360</v>
      </c>
      <c r="P21" s="1629" t="s">
        <v>1331</v>
      </c>
      <c r="Q21" s="1629" t="s">
        <v>1331</v>
      </c>
      <c r="R21" s="1629" t="s">
        <v>1331</v>
      </c>
      <c r="S21" s="1629" t="s">
        <v>3453</v>
      </c>
      <c r="T21" s="1629" t="s">
        <v>3426</v>
      </c>
      <c r="U21" s="1629" t="s">
        <v>3426</v>
      </c>
      <c r="V21" s="1629" t="s">
        <v>1331</v>
      </c>
      <c r="W21" s="1629" t="s">
        <v>3388</v>
      </c>
      <c r="X21" s="1629" t="s">
        <v>3454</v>
      </c>
      <c r="Y21" s="1629" t="s">
        <v>3455</v>
      </c>
      <c r="Z21" s="1629" t="s">
        <v>3096</v>
      </c>
      <c r="AA21" s="1629" t="s">
        <v>3096</v>
      </c>
      <c r="AB21" s="1629" t="s">
        <v>3452</v>
      </c>
      <c r="AC21" s="1629" t="s">
        <v>3314</v>
      </c>
      <c r="AD21" s="1629" t="s">
        <v>3456</v>
      </c>
      <c r="AE21" s="1629">
        <v>110000</v>
      </c>
      <c r="AF21" s="1629">
        <v>370000</v>
      </c>
      <c r="AG21" s="1629">
        <v>370000</v>
      </c>
      <c r="AH21" s="1629">
        <v>2570.86</v>
      </c>
      <c r="AI21" s="1629">
        <v>2570.86</v>
      </c>
      <c r="AJ21" s="1629">
        <v>17528.650000000001</v>
      </c>
      <c r="AK21" s="1629">
        <v>17528.650000000001</v>
      </c>
      <c r="AL21" s="1629" t="s">
        <v>1331</v>
      </c>
      <c r="AM21" s="1629" t="s">
        <v>1331</v>
      </c>
      <c r="AN21" s="1629">
        <v>0</v>
      </c>
      <c r="AO21" s="1629" t="s">
        <v>3316</v>
      </c>
      <c r="AP21" s="1629" t="s">
        <v>1331</v>
      </c>
      <c r="AQ21" s="1629" t="s">
        <v>1331</v>
      </c>
      <c r="AR21" s="1629" t="s">
        <v>1331</v>
      </c>
      <c r="AS21" s="1629" t="s">
        <v>3383</v>
      </c>
    </row>
    <row r="22" spans="1:45" hidden="1">
      <c r="A22" s="1629" t="s">
        <v>3094</v>
      </c>
      <c r="B22" s="1629" t="s">
        <v>3062</v>
      </c>
      <c r="C22" s="1629" t="s">
        <v>3095</v>
      </c>
      <c r="D22" s="1629" t="s">
        <v>3340</v>
      </c>
      <c r="E22" s="1629" t="s">
        <v>1331</v>
      </c>
      <c r="F22" s="1629" t="s">
        <v>3457</v>
      </c>
      <c r="G22" s="1629" t="s">
        <v>3085</v>
      </c>
      <c r="H22" s="1629" t="s">
        <v>3458</v>
      </c>
      <c r="I22" s="1629" t="s">
        <v>3304</v>
      </c>
      <c r="J22" s="1629">
        <v>66465.42</v>
      </c>
      <c r="K22" s="1629">
        <v>99698</v>
      </c>
      <c r="L22" s="1629">
        <v>1.5</v>
      </c>
      <c r="M22" s="1629" t="s">
        <v>1331</v>
      </c>
      <c r="N22" s="1629" t="s">
        <v>3306</v>
      </c>
      <c r="O22" s="1629" t="s">
        <v>3353</v>
      </c>
      <c r="P22" s="1629" t="s">
        <v>1331</v>
      </c>
      <c r="Q22" s="1629" t="s">
        <v>1331</v>
      </c>
      <c r="R22" s="1629" t="s">
        <v>1331</v>
      </c>
      <c r="S22" s="1629" t="s">
        <v>3453</v>
      </c>
      <c r="T22" s="1629" t="s">
        <v>3426</v>
      </c>
      <c r="U22" s="1629" t="s">
        <v>3426</v>
      </c>
      <c r="V22" s="1629" t="s">
        <v>1331</v>
      </c>
      <c r="W22" s="1629" t="s">
        <v>3388</v>
      </c>
      <c r="X22" s="1629" t="s">
        <v>3454</v>
      </c>
      <c r="Y22" s="1629" t="s">
        <v>3455</v>
      </c>
      <c r="Z22" s="1629" t="s">
        <v>3096</v>
      </c>
      <c r="AA22" s="1629" t="s">
        <v>3096</v>
      </c>
      <c r="AB22" s="1629" t="s">
        <v>3458</v>
      </c>
      <c r="AC22" s="1629" t="s">
        <v>3314</v>
      </c>
      <c r="AD22" s="1629" t="s">
        <v>3090</v>
      </c>
      <c r="AE22" s="1629">
        <v>56000</v>
      </c>
      <c r="AF22" s="1629">
        <v>185000</v>
      </c>
      <c r="AG22" s="1629">
        <v>190000</v>
      </c>
      <c r="AH22" s="1629">
        <v>1855.6</v>
      </c>
      <c r="AI22" s="1629">
        <v>1905.75</v>
      </c>
      <c r="AJ22" s="1629">
        <v>18556.04</v>
      </c>
      <c r="AK22" s="1629">
        <v>19057.54</v>
      </c>
      <c r="AL22" s="1629" t="s">
        <v>1331</v>
      </c>
      <c r="AM22" s="1629" t="s">
        <v>1331</v>
      </c>
      <c r="AN22" s="1629">
        <v>2.7</v>
      </c>
      <c r="AO22" s="1629" t="s">
        <v>3316</v>
      </c>
      <c r="AP22" s="1629" t="s">
        <v>1331</v>
      </c>
      <c r="AQ22" s="1629" t="s">
        <v>1331</v>
      </c>
      <c r="AR22" s="1629" t="s">
        <v>1331</v>
      </c>
      <c r="AS22" s="1629" t="s">
        <v>3322</v>
      </c>
    </row>
    <row r="23" spans="1:45">
      <c r="A23" s="1629" t="s">
        <v>3459</v>
      </c>
      <c r="B23" s="1629" t="s">
        <v>3062</v>
      </c>
      <c r="C23" s="1629" t="s">
        <v>3084</v>
      </c>
      <c r="D23" s="1629" t="s">
        <v>3301</v>
      </c>
      <c r="E23" s="1629" t="s">
        <v>1331</v>
      </c>
      <c r="F23" s="1629" t="s">
        <v>3415</v>
      </c>
      <c r="G23" s="1629" t="s">
        <v>3085</v>
      </c>
      <c r="H23" s="1629" t="s">
        <v>3460</v>
      </c>
      <c r="I23" s="1629" t="s">
        <v>3461</v>
      </c>
      <c r="J23" s="1629">
        <v>90424</v>
      </c>
      <c r="K23" s="1629">
        <v>220105</v>
      </c>
      <c r="L23" s="1629">
        <v>2.4300000000000002</v>
      </c>
      <c r="M23" s="1629" t="s">
        <v>1331</v>
      </c>
      <c r="N23" s="1629" t="s">
        <v>3462</v>
      </c>
      <c r="O23" s="1629" t="s">
        <v>3463</v>
      </c>
      <c r="P23" s="1629" t="s">
        <v>1331</v>
      </c>
      <c r="Q23" s="1629" t="s">
        <v>1331</v>
      </c>
      <c r="R23" s="1629" t="s">
        <v>1331</v>
      </c>
      <c r="S23" s="1629" t="s">
        <v>1331</v>
      </c>
      <c r="T23" s="1629" t="s">
        <v>3464</v>
      </c>
      <c r="U23" s="1629" t="s">
        <v>3309</v>
      </c>
      <c r="V23" s="1629" t="s">
        <v>1331</v>
      </c>
      <c r="W23" s="1629" t="s">
        <v>3388</v>
      </c>
      <c r="X23" s="1629" t="s">
        <v>3465</v>
      </c>
      <c r="Y23" s="1629" t="s">
        <v>3466</v>
      </c>
      <c r="Z23" s="1629" t="s">
        <v>3467</v>
      </c>
      <c r="AA23" s="1629" t="s">
        <v>3467</v>
      </c>
      <c r="AB23" s="1629" t="s">
        <v>3460</v>
      </c>
      <c r="AC23" s="1629" t="s">
        <v>3314</v>
      </c>
      <c r="AD23" s="1629" t="s">
        <v>3468</v>
      </c>
      <c r="AE23" s="1629">
        <v>110000</v>
      </c>
      <c r="AF23" s="1629">
        <v>360000</v>
      </c>
      <c r="AG23" s="1629">
        <v>360000</v>
      </c>
      <c r="AH23" s="1629">
        <v>2654.16</v>
      </c>
      <c r="AI23" s="1629">
        <v>2654.16</v>
      </c>
      <c r="AJ23" s="1629">
        <v>16355.82</v>
      </c>
      <c r="AK23" s="1629">
        <v>16355.82</v>
      </c>
      <c r="AL23" s="1629" t="s">
        <v>1331</v>
      </c>
      <c r="AM23" s="1629" t="s">
        <v>1331</v>
      </c>
      <c r="AN23" s="1629">
        <v>0</v>
      </c>
      <c r="AO23" s="1629" t="s">
        <v>3316</v>
      </c>
      <c r="AP23" s="1629" t="s">
        <v>1331</v>
      </c>
      <c r="AQ23" s="1629" t="s">
        <v>1331</v>
      </c>
      <c r="AR23" s="1629" t="s">
        <v>1331</v>
      </c>
      <c r="AS23" s="1629" t="s">
        <v>3322</v>
      </c>
    </row>
    <row r="24" spans="1:45">
      <c r="A24" s="1629" t="s">
        <v>3469</v>
      </c>
      <c r="B24" s="1629" t="s">
        <v>3062</v>
      </c>
      <c r="C24" s="1629" t="s">
        <v>3084</v>
      </c>
      <c r="D24" s="1629" t="s">
        <v>3301</v>
      </c>
      <c r="E24" s="1629" t="s">
        <v>1331</v>
      </c>
      <c r="F24" s="1629" t="s">
        <v>3470</v>
      </c>
      <c r="G24" s="1629" t="s">
        <v>3085</v>
      </c>
      <c r="H24" s="1629" t="s">
        <v>3471</v>
      </c>
      <c r="I24" s="1629" t="s">
        <v>3399</v>
      </c>
      <c r="J24" s="1629">
        <v>37662.699999999997</v>
      </c>
      <c r="K24" s="1629">
        <v>69250.399999999994</v>
      </c>
      <c r="L24" s="1629">
        <v>1.84</v>
      </c>
      <c r="M24" s="1629" t="s">
        <v>1331</v>
      </c>
      <c r="N24" s="1629" t="s">
        <v>3400</v>
      </c>
      <c r="O24" s="1629" t="s">
        <v>3472</v>
      </c>
      <c r="P24" s="1629" t="s">
        <v>1331</v>
      </c>
      <c r="Q24" s="1629" t="s">
        <v>1331</v>
      </c>
      <c r="R24" s="1629" t="s">
        <v>1331</v>
      </c>
      <c r="S24" s="1629" t="s">
        <v>1331</v>
      </c>
      <c r="T24" s="1629" t="s">
        <v>3308</v>
      </c>
      <c r="U24" s="1629" t="s">
        <v>3447</v>
      </c>
      <c r="V24" s="1629" t="s">
        <v>1331</v>
      </c>
      <c r="W24" s="1629" t="s">
        <v>3448</v>
      </c>
      <c r="X24" s="1629" t="s">
        <v>3473</v>
      </c>
      <c r="Y24" s="1629" t="s">
        <v>3474</v>
      </c>
      <c r="Z24" s="1629" t="s">
        <v>3098</v>
      </c>
      <c r="AA24" s="1629" t="s">
        <v>3098</v>
      </c>
      <c r="AB24" s="1629" t="s">
        <v>3471</v>
      </c>
      <c r="AC24" s="1629" t="s">
        <v>3314</v>
      </c>
      <c r="AD24" s="1629" t="s">
        <v>3475</v>
      </c>
      <c r="AE24" s="1629">
        <v>55000</v>
      </c>
      <c r="AF24" s="1629">
        <v>181000</v>
      </c>
      <c r="AG24" s="1629">
        <v>246000</v>
      </c>
      <c r="AH24" s="1629">
        <v>3203.88</v>
      </c>
      <c r="AI24" s="1629">
        <v>4354.4399999999996</v>
      </c>
      <c r="AJ24" s="1629">
        <v>26137.03</v>
      </c>
      <c r="AK24" s="1629">
        <v>35523.26</v>
      </c>
      <c r="AL24" s="1629" t="s">
        <v>1331</v>
      </c>
      <c r="AM24" s="1629" t="s">
        <v>1331</v>
      </c>
      <c r="AN24" s="1629">
        <v>35.909999999999997</v>
      </c>
      <c r="AO24" s="1629" t="s">
        <v>3316</v>
      </c>
      <c r="AP24" s="1629" t="s">
        <v>1331</v>
      </c>
      <c r="AQ24" s="1629">
        <v>22</v>
      </c>
      <c r="AR24" s="1629" t="s">
        <v>1331</v>
      </c>
      <c r="AS24" s="1629" t="s">
        <v>3317</v>
      </c>
    </row>
    <row r="25" spans="1:45" s="2975" customFormat="1">
      <c r="A25" s="2975" t="s">
        <v>3097</v>
      </c>
      <c r="B25" s="2975" t="s">
        <v>3062</v>
      </c>
      <c r="C25" s="2975" t="s">
        <v>3095</v>
      </c>
      <c r="D25" s="2975" t="s">
        <v>3340</v>
      </c>
      <c r="E25" s="2975" t="s">
        <v>1331</v>
      </c>
      <c r="F25" s="2975" t="s">
        <v>3476</v>
      </c>
      <c r="G25" s="2975" t="s">
        <v>3085</v>
      </c>
      <c r="H25" s="2975" t="s">
        <v>3477</v>
      </c>
      <c r="I25" s="2975" t="s">
        <v>3304</v>
      </c>
      <c r="J25" s="2975">
        <v>30890.99</v>
      </c>
      <c r="K25" s="2975">
        <v>67960</v>
      </c>
      <c r="L25" s="2975">
        <v>2.2000000000000002</v>
      </c>
      <c r="M25" s="2975" t="s">
        <v>1331</v>
      </c>
      <c r="N25" s="2975" t="s">
        <v>3306</v>
      </c>
      <c r="O25" s="2975" t="s">
        <v>3478</v>
      </c>
      <c r="P25" s="2975" t="s">
        <v>1331</v>
      </c>
      <c r="Q25" s="2975" t="s">
        <v>1331</v>
      </c>
      <c r="R25" s="2975" t="s">
        <v>1331</v>
      </c>
      <c r="S25" s="2975" t="s">
        <v>1331</v>
      </c>
      <c r="T25" s="2975" t="s">
        <v>3308</v>
      </c>
      <c r="U25" s="2975" t="s">
        <v>3447</v>
      </c>
      <c r="V25" s="2975" t="s">
        <v>1331</v>
      </c>
      <c r="W25" s="2975" t="s">
        <v>3388</v>
      </c>
      <c r="X25" s="2975" t="s">
        <v>3473</v>
      </c>
      <c r="Y25" s="2975" t="s">
        <v>3474</v>
      </c>
      <c r="Z25" s="2975" t="s">
        <v>3098</v>
      </c>
      <c r="AA25" s="2975" t="s">
        <v>3098</v>
      </c>
      <c r="AB25" s="2975" t="s">
        <v>3477</v>
      </c>
      <c r="AC25" s="2975" t="s">
        <v>3314</v>
      </c>
      <c r="AD25" s="2975" t="s">
        <v>3099</v>
      </c>
      <c r="AE25" s="2975">
        <v>48000</v>
      </c>
      <c r="AF25" s="2975">
        <v>160000</v>
      </c>
      <c r="AG25" s="2975">
        <v>238000</v>
      </c>
      <c r="AH25" s="2975">
        <v>3453</v>
      </c>
      <c r="AI25" s="2975">
        <v>5136.34</v>
      </c>
      <c r="AJ25" s="2975">
        <v>23543.25</v>
      </c>
      <c r="AK25" s="2975">
        <v>35020.589999999997</v>
      </c>
      <c r="AL25" s="2975" t="s">
        <v>1331</v>
      </c>
      <c r="AM25" s="2975" t="s">
        <v>1331</v>
      </c>
      <c r="AN25" s="2975">
        <v>48.75</v>
      </c>
      <c r="AO25" s="2975" t="s">
        <v>3316</v>
      </c>
      <c r="AP25" s="2975" t="s">
        <v>1331</v>
      </c>
      <c r="AQ25" s="2975">
        <v>15</v>
      </c>
      <c r="AR25" s="2975" t="s">
        <v>1331</v>
      </c>
      <c r="AS25" s="2975" t="s">
        <v>3317</v>
      </c>
    </row>
    <row r="26" spans="1:45" hidden="1">
      <c r="A26" s="1629" t="s">
        <v>3479</v>
      </c>
      <c r="B26" s="1629" t="s">
        <v>3062</v>
      </c>
      <c r="C26" s="1629" t="s">
        <v>3084</v>
      </c>
      <c r="D26" s="1629" t="s">
        <v>3301</v>
      </c>
      <c r="E26" s="1629" t="s">
        <v>1331</v>
      </c>
      <c r="F26" s="1629" t="s">
        <v>3480</v>
      </c>
      <c r="G26" s="1629" t="s">
        <v>3085</v>
      </c>
      <c r="H26" s="1629" t="s">
        <v>3481</v>
      </c>
      <c r="I26" s="1629" t="s">
        <v>3482</v>
      </c>
      <c r="J26" s="1629">
        <v>48377.1</v>
      </c>
      <c r="K26" s="1629">
        <v>87296.2</v>
      </c>
      <c r="L26" s="1629">
        <v>1.8</v>
      </c>
      <c r="M26" s="1629" t="s">
        <v>1331</v>
      </c>
      <c r="N26" s="1629" t="s">
        <v>3306</v>
      </c>
      <c r="O26" s="1629" t="s">
        <v>3483</v>
      </c>
      <c r="P26" s="1629" t="s">
        <v>1331</v>
      </c>
      <c r="Q26" s="1629" t="s">
        <v>1331</v>
      </c>
      <c r="R26" s="1629" t="s">
        <v>1331</v>
      </c>
      <c r="S26" s="1629" t="s">
        <v>3484</v>
      </c>
      <c r="T26" s="1629" t="s">
        <v>3426</v>
      </c>
      <c r="U26" s="1629" t="s">
        <v>3426</v>
      </c>
      <c r="V26" s="1629" t="s">
        <v>1331</v>
      </c>
      <c r="W26" s="1629" t="s">
        <v>3388</v>
      </c>
      <c r="X26" s="1629" t="s">
        <v>3473</v>
      </c>
      <c r="Y26" s="1629" t="s">
        <v>3474</v>
      </c>
      <c r="Z26" s="1629" t="s">
        <v>3098</v>
      </c>
      <c r="AA26" s="1629" t="s">
        <v>3098</v>
      </c>
      <c r="AB26" s="1629" t="s">
        <v>3481</v>
      </c>
      <c r="AC26" s="1629" t="s">
        <v>3314</v>
      </c>
      <c r="AD26" s="1629" t="s">
        <v>3485</v>
      </c>
      <c r="AE26" s="1629">
        <v>48000</v>
      </c>
      <c r="AF26" s="1629">
        <v>160000</v>
      </c>
      <c r="AG26" s="1629">
        <v>222000</v>
      </c>
      <c r="AH26" s="1629">
        <v>2204.9</v>
      </c>
      <c r="AI26" s="1629">
        <v>3059.3</v>
      </c>
      <c r="AJ26" s="1629">
        <v>18328.400000000001</v>
      </c>
      <c r="AK26" s="1629">
        <v>25430.65</v>
      </c>
      <c r="AL26" s="1629" t="s">
        <v>1331</v>
      </c>
      <c r="AM26" s="1629" t="s">
        <v>1331</v>
      </c>
      <c r="AN26" s="1629">
        <v>38.75</v>
      </c>
      <c r="AO26" s="1629" t="s">
        <v>3316</v>
      </c>
      <c r="AP26" s="1629" t="s">
        <v>1331</v>
      </c>
      <c r="AQ26" s="1629" t="s">
        <v>1331</v>
      </c>
      <c r="AR26" s="1629" t="s">
        <v>1331</v>
      </c>
      <c r="AS26" s="1629" t="s">
        <v>3317</v>
      </c>
    </row>
    <row r="27" spans="1:45">
      <c r="A27" s="1629" t="s">
        <v>3486</v>
      </c>
      <c r="B27" s="1629" t="s">
        <v>3062</v>
      </c>
      <c r="C27" s="1629" t="s">
        <v>3095</v>
      </c>
      <c r="D27" s="1629" t="s">
        <v>3301</v>
      </c>
      <c r="E27" s="1629" t="s">
        <v>1331</v>
      </c>
      <c r="F27" s="1629" t="s">
        <v>3487</v>
      </c>
      <c r="G27" s="1629" t="s">
        <v>3085</v>
      </c>
      <c r="H27" s="1629" t="s">
        <v>3488</v>
      </c>
      <c r="I27" s="1629" t="s">
        <v>3304</v>
      </c>
      <c r="J27" s="1629">
        <v>92065.1</v>
      </c>
      <c r="K27" s="1629">
        <v>165717.20000000001</v>
      </c>
      <c r="L27" s="1629">
        <v>1.8</v>
      </c>
      <c r="M27" s="1629" t="s">
        <v>1331</v>
      </c>
      <c r="N27" s="1629" t="s">
        <v>3306</v>
      </c>
      <c r="O27" s="1629" t="s">
        <v>3489</v>
      </c>
      <c r="P27" s="1629" t="s">
        <v>1331</v>
      </c>
      <c r="Q27" s="1629" t="s">
        <v>1331</v>
      </c>
      <c r="R27" s="1629" t="s">
        <v>1331</v>
      </c>
      <c r="S27" s="1629" t="s">
        <v>1331</v>
      </c>
      <c r="T27" s="1629" t="s">
        <v>3308</v>
      </c>
      <c r="U27" s="1629" t="s">
        <v>3447</v>
      </c>
      <c r="V27" s="1629" t="s">
        <v>1331</v>
      </c>
      <c r="W27" s="1629" t="s">
        <v>3388</v>
      </c>
      <c r="X27" s="1629" t="s">
        <v>3490</v>
      </c>
      <c r="Y27" s="1629" t="s">
        <v>3473</v>
      </c>
      <c r="Z27" s="1629" t="s">
        <v>3474</v>
      </c>
      <c r="AA27" s="1629" t="s">
        <v>3474</v>
      </c>
      <c r="AB27" s="1629" t="s">
        <v>3491</v>
      </c>
      <c r="AC27" s="1629" t="s">
        <v>3314</v>
      </c>
      <c r="AD27" s="1629" t="s">
        <v>3492</v>
      </c>
      <c r="AE27" s="1629">
        <v>140000</v>
      </c>
      <c r="AF27" s="1629">
        <v>464000</v>
      </c>
      <c r="AG27" s="1629">
        <v>629000</v>
      </c>
      <c r="AH27" s="1629">
        <v>3359.94</v>
      </c>
      <c r="AI27" s="1629">
        <v>4554.75</v>
      </c>
      <c r="AJ27" s="1629">
        <v>27999.5</v>
      </c>
      <c r="AK27" s="1629">
        <v>37956.230000000003</v>
      </c>
      <c r="AL27" s="1629" t="s">
        <v>1331</v>
      </c>
      <c r="AM27" s="1629" t="s">
        <v>1331</v>
      </c>
      <c r="AN27" s="1629">
        <v>35.56</v>
      </c>
      <c r="AO27" s="1629" t="s">
        <v>3316</v>
      </c>
      <c r="AP27" s="1629" t="s">
        <v>1331</v>
      </c>
      <c r="AQ27" s="1629">
        <v>2</v>
      </c>
      <c r="AR27" s="1629" t="s">
        <v>1331</v>
      </c>
      <c r="AS27" s="1629" t="s">
        <v>3317</v>
      </c>
    </row>
    <row r="28" spans="1:45">
      <c r="A28" s="1629" t="s">
        <v>3493</v>
      </c>
      <c r="B28" s="1629" t="s">
        <v>3062</v>
      </c>
      <c r="C28" s="1629" t="s">
        <v>3084</v>
      </c>
      <c r="D28" s="1629" t="s">
        <v>3301</v>
      </c>
      <c r="E28" s="1629" t="s">
        <v>1331</v>
      </c>
      <c r="F28" s="1629" t="s">
        <v>3494</v>
      </c>
      <c r="G28" s="1629" t="s">
        <v>3085</v>
      </c>
      <c r="H28" s="1629" t="s">
        <v>3495</v>
      </c>
      <c r="I28" s="1629" t="s">
        <v>3496</v>
      </c>
      <c r="J28" s="1629">
        <v>76286.2</v>
      </c>
      <c r="K28" s="1629">
        <v>181983.1</v>
      </c>
      <c r="L28" s="1629">
        <v>2.5</v>
      </c>
      <c r="M28" s="1629" t="s">
        <v>1331</v>
      </c>
      <c r="N28" s="1629" t="s">
        <v>1331</v>
      </c>
      <c r="O28" s="1629" t="s">
        <v>1331</v>
      </c>
      <c r="P28" s="1629" t="s">
        <v>1331</v>
      </c>
      <c r="Q28" s="1629" t="s">
        <v>1331</v>
      </c>
      <c r="R28" s="1629" t="s">
        <v>1331</v>
      </c>
      <c r="S28" s="1629" t="s">
        <v>1331</v>
      </c>
      <c r="T28" s="1629" t="s">
        <v>3308</v>
      </c>
      <c r="U28" s="1629" t="s">
        <v>3309</v>
      </c>
      <c r="V28" s="1629" t="s">
        <v>1331</v>
      </c>
      <c r="W28" s="1629" t="s">
        <v>3388</v>
      </c>
      <c r="X28" s="1629" t="s">
        <v>3497</v>
      </c>
      <c r="Y28" s="1629" t="s">
        <v>3104</v>
      </c>
      <c r="Z28" s="1629" t="s">
        <v>3498</v>
      </c>
      <c r="AA28" s="1629" t="s">
        <v>3498</v>
      </c>
      <c r="AB28" s="1629" t="s">
        <v>3495</v>
      </c>
      <c r="AC28" s="1629" t="s">
        <v>3314</v>
      </c>
      <c r="AD28" s="1629" t="s">
        <v>3499</v>
      </c>
      <c r="AE28" s="1629">
        <v>144000</v>
      </c>
      <c r="AF28" s="1629">
        <v>478000</v>
      </c>
      <c r="AG28" s="1629">
        <v>716500</v>
      </c>
      <c r="AH28" s="1629">
        <v>4177.25</v>
      </c>
      <c r="AI28" s="1629">
        <v>6261.51</v>
      </c>
      <c r="AJ28" s="1629">
        <v>26266.17</v>
      </c>
      <c r="AK28" s="1629">
        <v>39371.79</v>
      </c>
      <c r="AL28" s="1629" t="s">
        <v>1331</v>
      </c>
      <c r="AM28" s="1629" t="s">
        <v>1331</v>
      </c>
      <c r="AN28" s="1629">
        <v>49.9</v>
      </c>
      <c r="AO28" s="1629" t="s">
        <v>3316</v>
      </c>
      <c r="AP28" s="1629" t="s">
        <v>1331</v>
      </c>
      <c r="AQ28" s="1629" t="s">
        <v>1331</v>
      </c>
      <c r="AR28" s="1629" t="s">
        <v>1331</v>
      </c>
      <c r="AS28" s="1629" t="s">
        <v>3500</v>
      </c>
    </row>
    <row r="29" spans="1:45">
      <c r="A29" s="1629" t="s">
        <v>3501</v>
      </c>
      <c r="B29" s="1629" t="s">
        <v>3062</v>
      </c>
      <c r="C29" s="1629" t="s">
        <v>3084</v>
      </c>
      <c r="D29" s="1629" t="s">
        <v>3301</v>
      </c>
      <c r="E29" s="1629" t="s">
        <v>1331</v>
      </c>
      <c r="F29" s="1629" t="s">
        <v>3502</v>
      </c>
      <c r="G29" s="1629" t="s">
        <v>3085</v>
      </c>
      <c r="H29" s="1629" t="s">
        <v>3503</v>
      </c>
      <c r="I29" s="1629" t="s">
        <v>3336</v>
      </c>
      <c r="J29" s="1629">
        <v>28212.35</v>
      </c>
      <c r="K29" s="1629">
        <v>70531</v>
      </c>
      <c r="L29" s="1629">
        <v>2.5</v>
      </c>
      <c r="M29" s="1629" t="s">
        <v>1331</v>
      </c>
      <c r="N29" s="1629" t="s">
        <v>3306</v>
      </c>
      <c r="O29" s="1629" t="s">
        <v>3387</v>
      </c>
      <c r="P29" s="1629" t="s">
        <v>1331</v>
      </c>
      <c r="Q29" s="1629" t="s">
        <v>1331</v>
      </c>
      <c r="R29" s="1629" t="s">
        <v>1331</v>
      </c>
      <c r="S29" s="1629" t="s">
        <v>1331</v>
      </c>
      <c r="T29" s="1629" t="s">
        <v>3308</v>
      </c>
      <c r="U29" s="1629" t="s">
        <v>3309</v>
      </c>
      <c r="V29" s="1629" t="s">
        <v>1331</v>
      </c>
      <c r="W29" s="1629" t="s">
        <v>3388</v>
      </c>
      <c r="X29" s="1629" t="s">
        <v>3504</v>
      </c>
      <c r="Y29" s="1629" t="s">
        <v>3505</v>
      </c>
      <c r="Z29" s="1629" t="s">
        <v>3506</v>
      </c>
      <c r="AA29" s="1629" t="s">
        <v>3506</v>
      </c>
      <c r="AB29" s="1629" t="s">
        <v>3503</v>
      </c>
      <c r="AC29" s="1629" t="s">
        <v>3314</v>
      </c>
      <c r="AD29" s="1629" t="s">
        <v>3507</v>
      </c>
      <c r="AE29" s="1629">
        <v>57000</v>
      </c>
      <c r="AF29" s="1629">
        <v>190000</v>
      </c>
      <c r="AG29" s="1629">
        <v>270000</v>
      </c>
      <c r="AH29" s="1629">
        <v>4489.76</v>
      </c>
      <c r="AI29" s="1629">
        <v>6380.18</v>
      </c>
      <c r="AJ29" s="1629">
        <v>26938.5</v>
      </c>
      <c r="AK29" s="1629">
        <v>38281.040000000001</v>
      </c>
      <c r="AL29" s="1629" t="s">
        <v>1331</v>
      </c>
      <c r="AM29" s="1629" t="s">
        <v>1331</v>
      </c>
      <c r="AN29" s="1629">
        <v>42.11</v>
      </c>
      <c r="AO29" s="1629" t="s">
        <v>3316</v>
      </c>
      <c r="AP29" s="1629" t="s">
        <v>1331</v>
      </c>
      <c r="AQ29" s="1629" t="s">
        <v>1331</v>
      </c>
      <c r="AR29" s="1629" t="s">
        <v>1331</v>
      </c>
      <c r="AS29" s="1629" t="s">
        <v>3322</v>
      </c>
    </row>
    <row r="30" spans="1:45">
      <c r="A30" s="1629" t="s">
        <v>3508</v>
      </c>
      <c r="B30" s="1629" t="s">
        <v>3062</v>
      </c>
      <c r="C30" s="1629" t="s">
        <v>3084</v>
      </c>
      <c r="D30" s="1629" t="s">
        <v>3301</v>
      </c>
      <c r="E30" s="1629" t="s">
        <v>1331</v>
      </c>
      <c r="F30" s="1629" t="s">
        <v>3324</v>
      </c>
      <c r="G30" s="1629" t="s">
        <v>3085</v>
      </c>
      <c r="H30" s="1629" t="s">
        <v>3509</v>
      </c>
      <c r="I30" s="1629" t="s">
        <v>3399</v>
      </c>
      <c r="J30" s="1629">
        <v>75065.42</v>
      </c>
      <c r="K30" s="1629">
        <v>133506</v>
      </c>
      <c r="L30" s="1629" t="s">
        <v>3510</v>
      </c>
      <c r="M30" s="1629" t="s">
        <v>1331</v>
      </c>
      <c r="N30" s="1629" t="s">
        <v>3306</v>
      </c>
      <c r="O30" s="1629" t="s">
        <v>1331</v>
      </c>
      <c r="P30" s="1629" t="s">
        <v>1331</v>
      </c>
      <c r="Q30" s="1629" t="s">
        <v>1331</v>
      </c>
      <c r="R30" s="1629" t="s">
        <v>1331</v>
      </c>
      <c r="S30" s="1629" t="s">
        <v>1331</v>
      </c>
      <c r="T30" s="1629" t="s">
        <v>3308</v>
      </c>
      <c r="U30" s="1629" t="s">
        <v>3447</v>
      </c>
      <c r="V30" s="1629" t="s">
        <v>1331</v>
      </c>
      <c r="W30" s="1629" t="s">
        <v>3388</v>
      </c>
      <c r="X30" s="1629" t="s">
        <v>3511</v>
      </c>
      <c r="Y30" s="1629" t="s">
        <v>3512</v>
      </c>
      <c r="Z30" s="1629" t="s">
        <v>3101</v>
      </c>
      <c r="AA30" s="1629" t="s">
        <v>3101</v>
      </c>
      <c r="AB30" s="1629" t="s">
        <v>3509</v>
      </c>
      <c r="AC30" s="1629" t="s">
        <v>3314</v>
      </c>
      <c r="AD30" s="1629" t="s">
        <v>3513</v>
      </c>
      <c r="AE30" s="1629">
        <v>96000</v>
      </c>
      <c r="AF30" s="1629">
        <v>320000</v>
      </c>
      <c r="AG30" s="1629">
        <v>479000</v>
      </c>
      <c r="AH30" s="1629">
        <v>2841.97</v>
      </c>
      <c r="AI30" s="1629">
        <v>4254.07</v>
      </c>
      <c r="AJ30" s="1629">
        <v>23968.95</v>
      </c>
      <c r="AK30" s="1629">
        <v>35878.54</v>
      </c>
      <c r="AL30" s="1629" t="s">
        <v>1331</v>
      </c>
      <c r="AM30" s="1629" t="s">
        <v>1331</v>
      </c>
      <c r="AN30" s="1629">
        <v>49.69</v>
      </c>
      <c r="AO30" s="1629" t="s">
        <v>3316</v>
      </c>
      <c r="AP30" s="1629" t="s">
        <v>1331</v>
      </c>
      <c r="AQ30" s="1629">
        <v>26</v>
      </c>
      <c r="AR30" s="1629" t="s">
        <v>1331</v>
      </c>
      <c r="AS30" s="1629" t="s">
        <v>3322</v>
      </c>
    </row>
    <row r="31" spans="1:45">
      <c r="A31" s="1629" t="s">
        <v>3514</v>
      </c>
      <c r="B31" s="1629" t="s">
        <v>3062</v>
      </c>
      <c r="C31" s="1629" t="s">
        <v>3084</v>
      </c>
      <c r="D31" s="1629" t="s">
        <v>3301</v>
      </c>
      <c r="E31" s="1629" t="s">
        <v>1331</v>
      </c>
      <c r="F31" s="1629" t="s">
        <v>3502</v>
      </c>
      <c r="G31" s="1629" t="s">
        <v>3085</v>
      </c>
      <c r="H31" s="1629" t="s">
        <v>3515</v>
      </c>
      <c r="I31" s="1629" t="s">
        <v>3336</v>
      </c>
      <c r="J31" s="1629">
        <v>22717.91</v>
      </c>
      <c r="K31" s="1629">
        <v>56795</v>
      </c>
      <c r="L31" s="1629">
        <v>2.5</v>
      </c>
      <c r="M31" s="1629" t="s">
        <v>1331</v>
      </c>
      <c r="N31" s="1629" t="s">
        <v>3306</v>
      </c>
      <c r="O31" s="1629" t="s">
        <v>3387</v>
      </c>
      <c r="P31" s="1629" t="s">
        <v>1331</v>
      </c>
      <c r="Q31" s="1629" t="s">
        <v>1331</v>
      </c>
      <c r="R31" s="1629" t="s">
        <v>1331</v>
      </c>
      <c r="S31" s="1629" t="s">
        <v>1331</v>
      </c>
      <c r="T31" s="1629" t="s">
        <v>3308</v>
      </c>
      <c r="U31" s="1629" t="s">
        <v>3447</v>
      </c>
      <c r="V31" s="1629" t="s">
        <v>1331</v>
      </c>
      <c r="W31" s="1629" t="s">
        <v>3388</v>
      </c>
      <c r="X31" s="1629" t="s">
        <v>3511</v>
      </c>
      <c r="Y31" s="1629" t="s">
        <v>3512</v>
      </c>
      <c r="Z31" s="1629" t="s">
        <v>3101</v>
      </c>
      <c r="AA31" s="1629" t="s">
        <v>3101</v>
      </c>
      <c r="AB31" s="1629" t="s">
        <v>3515</v>
      </c>
      <c r="AC31" s="1629" t="s">
        <v>3314</v>
      </c>
      <c r="AD31" s="1629" t="s">
        <v>3516</v>
      </c>
      <c r="AE31" s="1629">
        <v>46000</v>
      </c>
      <c r="AF31" s="1629">
        <v>153000</v>
      </c>
      <c r="AG31" s="1629">
        <v>229000</v>
      </c>
      <c r="AH31" s="1629">
        <v>4489.8500000000004</v>
      </c>
      <c r="AI31" s="1629">
        <v>6720.1</v>
      </c>
      <c r="AJ31" s="1629">
        <v>26938.99</v>
      </c>
      <c r="AK31" s="1629">
        <v>40320.44</v>
      </c>
      <c r="AL31" s="1629" t="s">
        <v>1331</v>
      </c>
      <c r="AM31" s="1629" t="s">
        <v>1331</v>
      </c>
      <c r="AN31" s="1629">
        <v>49.67</v>
      </c>
      <c r="AO31" s="1629" t="s">
        <v>3316</v>
      </c>
      <c r="AP31" s="1629" t="s">
        <v>1331</v>
      </c>
      <c r="AQ31" s="1629">
        <v>6</v>
      </c>
      <c r="AR31" s="1629" t="s">
        <v>1331</v>
      </c>
      <c r="AS31" s="1629" t="s">
        <v>3322</v>
      </c>
    </row>
    <row r="32" spans="1:45">
      <c r="A32" s="1629" t="s">
        <v>3100</v>
      </c>
      <c r="B32" s="1629" t="s">
        <v>3062</v>
      </c>
      <c r="C32" s="1629" t="s">
        <v>3084</v>
      </c>
      <c r="D32" s="1629" t="s">
        <v>3340</v>
      </c>
      <c r="E32" s="1629" t="s">
        <v>1331</v>
      </c>
      <c r="F32" s="1629" t="s">
        <v>3435</v>
      </c>
      <c r="G32" s="1629" t="s">
        <v>3085</v>
      </c>
      <c r="H32" s="1629" t="s">
        <v>3517</v>
      </c>
      <c r="I32" s="1629" t="s">
        <v>3518</v>
      </c>
      <c r="J32" s="1629">
        <v>101259.5</v>
      </c>
      <c r="K32" s="1629">
        <v>202324</v>
      </c>
      <c r="L32" s="1629">
        <v>2</v>
      </c>
      <c r="M32" s="1629" t="s">
        <v>1331</v>
      </c>
      <c r="N32" s="1629" t="s">
        <v>3519</v>
      </c>
      <c r="O32" s="1629" t="s">
        <v>3519</v>
      </c>
      <c r="P32" s="1629" t="s">
        <v>1331</v>
      </c>
      <c r="Q32" s="1629" t="s">
        <v>1331</v>
      </c>
      <c r="R32" s="1629" t="s">
        <v>1331</v>
      </c>
      <c r="S32" s="1629" t="s">
        <v>1331</v>
      </c>
      <c r="T32" s="1629" t="s">
        <v>3378</v>
      </c>
      <c r="U32" s="1629" t="s">
        <v>3379</v>
      </c>
      <c r="V32" s="1629" t="s">
        <v>1331</v>
      </c>
      <c r="W32" s="1629" t="s">
        <v>3388</v>
      </c>
      <c r="X32" s="1629" t="s">
        <v>3511</v>
      </c>
      <c r="Y32" s="1629" t="s">
        <v>3512</v>
      </c>
      <c r="Z32" s="1629" t="s">
        <v>3101</v>
      </c>
      <c r="AA32" s="1629" t="s">
        <v>3101</v>
      </c>
      <c r="AB32" s="1629" t="s">
        <v>3517</v>
      </c>
      <c r="AC32" s="1629" t="s">
        <v>3314</v>
      </c>
      <c r="AD32" s="1629" t="s">
        <v>3102</v>
      </c>
      <c r="AE32" s="1629">
        <v>110000</v>
      </c>
      <c r="AF32" s="1629">
        <v>370000</v>
      </c>
      <c r="AG32" s="1629">
        <v>395000</v>
      </c>
      <c r="AH32" s="1629">
        <v>2435.9899999999998</v>
      </c>
      <c r="AI32" s="1629">
        <v>2600.58</v>
      </c>
      <c r="AJ32" s="1629">
        <v>18287.5</v>
      </c>
      <c r="AK32" s="1629">
        <v>19523.13</v>
      </c>
      <c r="AL32" s="1629" t="s">
        <v>1331</v>
      </c>
      <c r="AM32" s="1629" t="s">
        <v>1331</v>
      </c>
      <c r="AN32" s="1629">
        <v>6.76</v>
      </c>
      <c r="AO32" s="1629" t="s">
        <v>3316</v>
      </c>
      <c r="AP32" s="1629" t="s">
        <v>1331</v>
      </c>
      <c r="AQ32" s="1629" t="s">
        <v>1331</v>
      </c>
      <c r="AR32" s="1629" t="s">
        <v>1331</v>
      </c>
      <c r="AS32" s="1629" t="s">
        <v>3317</v>
      </c>
    </row>
    <row r="33" spans="1:45" hidden="1">
      <c r="A33" s="1629" t="s">
        <v>3520</v>
      </c>
      <c r="B33" s="1629" t="s">
        <v>3062</v>
      </c>
      <c r="C33" s="1629" t="s">
        <v>3084</v>
      </c>
      <c r="D33" s="1629" t="s">
        <v>3301</v>
      </c>
      <c r="E33" s="1629" t="s">
        <v>1331</v>
      </c>
      <c r="F33" s="1629" t="s">
        <v>3502</v>
      </c>
      <c r="G33" s="1629" t="s">
        <v>3085</v>
      </c>
      <c r="H33" s="1629" t="s">
        <v>3521</v>
      </c>
      <c r="I33" s="1629" t="s">
        <v>3336</v>
      </c>
      <c r="J33" s="1629">
        <v>31048.69</v>
      </c>
      <c r="K33" s="1629">
        <v>77622</v>
      </c>
      <c r="L33" s="1629">
        <v>2.5</v>
      </c>
      <c r="M33" s="1629" t="s">
        <v>3522</v>
      </c>
      <c r="N33" s="1629" t="s">
        <v>3306</v>
      </c>
      <c r="O33" s="1629" t="s">
        <v>3387</v>
      </c>
      <c r="P33" s="1629" t="s">
        <v>1331</v>
      </c>
      <c r="Q33" s="1629" t="s">
        <v>1331</v>
      </c>
      <c r="R33" s="1629" t="s">
        <v>1331</v>
      </c>
      <c r="S33" s="1629" t="s">
        <v>3523</v>
      </c>
      <c r="T33" s="1629" t="s">
        <v>3426</v>
      </c>
      <c r="U33" s="1629" t="s">
        <v>3426</v>
      </c>
      <c r="V33" s="1629" t="s">
        <v>1331</v>
      </c>
      <c r="W33" s="1629" t="s">
        <v>3388</v>
      </c>
      <c r="X33" s="1629" t="s">
        <v>3524</v>
      </c>
      <c r="Y33" s="1629" t="s">
        <v>3525</v>
      </c>
      <c r="Z33" s="1629" t="s">
        <v>3104</v>
      </c>
      <c r="AA33" s="1629" t="s">
        <v>3104</v>
      </c>
      <c r="AB33" s="1629" t="s">
        <v>3521</v>
      </c>
      <c r="AC33" s="1629" t="s">
        <v>3314</v>
      </c>
      <c r="AD33" s="1629" t="s">
        <v>3526</v>
      </c>
      <c r="AE33" s="1629">
        <v>43500</v>
      </c>
      <c r="AF33" s="1629">
        <v>145000</v>
      </c>
      <c r="AG33" s="1629">
        <v>146500</v>
      </c>
      <c r="AH33" s="1629">
        <v>3113.39</v>
      </c>
      <c r="AI33" s="1629">
        <v>3145.6</v>
      </c>
      <c r="AJ33" s="1629">
        <v>18680.27</v>
      </c>
      <c r="AK33" s="1629">
        <v>18873.52</v>
      </c>
      <c r="AL33" s="1629" t="s">
        <v>1331</v>
      </c>
      <c r="AM33" s="1629" t="s">
        <v>1331</v>
      </c>
      <c r="AN33" s="1629">
        <v>1.03</v>
      </c>
      <c r="AO33" s="1629" t="s">
        <v>3316</v>
      </c>
      <c r="AP33" s="1629" t="s">
        <v>1331</v>
      </c>
      <c r="AQ33" s="1629" t="s">
        <v>1331</v>
      </c>
      <c r="AR33" s="1629" t="s">
        <v>1331</v>
      </c>
      <c r="AS33" s="1629" t="s">
        <v>3322</v>
      </c>
    </row>
    <row r="34" spans="1:45" hidden="1">
      <c r="A34" s="1629" t="s">
        <v>3103</v>
      </c>
      <c r="B34" s="1629" t="s">
        <v>3062</v>
      </c>
      <c r="C34" s="1629" t="s">
        <v>3095</v>
      </c>
      <c r="D34" s="1629" t="s">
        <v>3340</v>
      </c>
      <c r="E34" s="1629" t="s">
        <v>1331</v>
      </c>
      <c r="F34" s="1629" t="s">
        <v>3435</v>
      </c>
      <c r="G34" s="1629" t="s">
        <v>3085</v>
      </c>
      <c r="H34" s="1629" t="s">
        <v>3527</v>
      </c>
      <c r="I34" s="1629" t="s">
        <v>3304</v>
      </c>
      <c r="J34" s="1629">
        <v>44353.34</v>
      </c>
      <c r="K34" s="1629">
        <v>97577</v>
      </c>
      <c r="L34" s="1629">
        <v>2.2000000000000002</v>
      </c>
      <c r="M34" s="1629" t="s">
        <v>1331</v>
      </c>
      <c r="N34" s="1629" t="s">
        <v>3306</v>
      </c>
      <c r="O34" s="1629" t="s">
        <v>3528</v>
      </c>
      <c r="P34" s="1629" t="s">
        <v>1331</v>
      </c>
      <c r="Q34" s="1629" t="s">
        <v>1331</v>
      </c>
      <c r="R34" s="1629" t="s">
        <v>1331</v>
      </c>
      <c r="S34" s="1629" t="s">
        <v>3529</v>
      </c>
      <c r="T34" s="1629" t="s">
        <v>3426</v>
      </c>
      <c r="U34" s="1629" t="s">
        <v>3426</v>
      </c>
      <c r="V34" s="1629" t="s">
        <v>1331</v>
      </c>
      <c r="W34" s="1629" t="s">
        <v>3388</v>
      </c>
      <c r="X34" s="1629" t="s">
        <v>3524</v>
      </c>
      <c r="Y34" s="1629" t="s">
        <v>3525</v>
      </c>
      <c r="Z34" s="1629" t="s">
        <v>3104</v>
      </c>
      <c r="AA34" s="1629" t="s">
        <v>3104</v>
      </c>
      <c r="AB34" s="1629" t="s">
        <v>3527</v>
      </c>
      <c r="AC34" s="1629" t="s">
        <v>3314</v>
      </c>
      <c r="AD34" s="1629" t="s">
        <v>3105</v>
      </c>
      <c r="AE34" s="1629">
        <v>53000</v>
      </c>
      <c r="AF34" s="1629">
        <v>175000</v>
      </c>
      <c r="AG34" s="1629">
        <v>222000</v>
      </c>
      <c r="AH34" s="1629">
        <v>2630.39</v>
      </c>
      <c r="AI34" s="1629">
        <v>3336.84</v>
      </c>
      <c r="AJ34" s="1629">
        <v>17934.55</v>
      </c>
      <c r="AK34" s="1629">
        <v>22751.25</v>
      </c>
      <c r="AL34" s="1629" t="s">
        <v>1331</v>
      </c>
      <c r="AM34" s="1629" t="s">
        <v>1331</v>
      </c>
      <c r="AN34" s="1629">
        <v>26.86</v>
      </c>
      <c r="AO34" s="1629" t="s">
        <v>3316</v>
      </c>
      <c r="AP34" s="1629" t="s">
        <v>1331</v>
      </c>
      <c r="AQ34" s="1629" t="s">
        <v>1331</v>
      </c>
      <c r="AR34" s="1629" t="s">
        <v>1331</v>
      </c>
      <c r="AS34" s="1629" t="s">
        <v>3317</v>
      </c>
    </row>
    <row r="35" spans="1:45">
      <c r="A35" s="1629" t="s">
        <v>3530</v>
      </c>
      <c r="B35" s="1629" t="s">
        <v>3062</v>
      </c>
      <c r="C35" s="1629" t="s">
        <v>3084</v>
      </c>
      <c r="D35" s="1629" t="s">
        <v>3301</v>
      </c>
      <c r="E35" s="1629" t="s">
        <v>1331</v>
      </c>
      <c r="F35" s="1629" t="s">
        <v>3531</v>
      </c>
      <c r="G35" s="1629" t="s">
        <v>3085</v>
      </c>
      <c r="H35" s="1629" t="s">
        <v>3532</v>
      </c>
      <c r="I35" s="1629" t="s">
        <v>3375</v>
      </c>
      <c r="J35" s="1629">
        <v>40985.61</v>
      </c>
      <c r="K35" s="1629">
        <v>81971</v>
      </c>
      <c r="L35" s="1629">
        <v>2</v>
      </c>
      <c r="M35" s="1629" t="s">
        <v>1331</v>
      </c>
      <c r="N35" s="1629" t="s">
        <v>3522</v>
      </c>
      <c r="O35" s="1629">
        <v>45</v>
      </c>
      <c r="P35" s="1629" t="s">
        <v>1331</v>
      </c>
      <c r="Q35" s="1629" t="s">
        <v>1331</v>
      </c>
      <c r="R35" s="1629" t="s">
        <v>1331</v>
      </c>
      <c r="S35" s="1629" t="s">
        <v>1331</v>
      </c>
      <c r="T35" s="1629" t="s">
        <v>3378</v>
      </c>
      <c r="U35" s="1629" t="s">
        <v>3379</v>
      </c>
      <c r="V35" s="1629" t="s">
        <v>1331</v>
      </c>
      <c r="W35" s="1629" t="s">
        <v>3388</v>
      </c>
      <c r="X35" s="1629" t="s">
        <v>3533</v>
      </c>
      <c r="Y35" s="1629" t="s">
        <v>3534</v>
      </c>
      <c r="Z35" s="1629" t="s">
        <v>3535</v>
      </c>
      <c r="AA35" s="1629" t="s">
        <v>3535</v>
      </c>
      <c r="AB35" s="1629" t="s">
        <v>3532</v>
      </c>
      <c r="AC35" s="1629" t="s">
        <v>3314</v>
      </c>
      <c r="AD35" s="1629" t="s">
        <v>3536</v>
      </c>
      <c r="AE35" s="1629">
        <v>50000</v>
      </c>
      <c r="AF35" s="1629">
        <v>168000</v>
      </c>
      <c r="AG35" s="1629">
        <v>168000</v>
      </c>
      <c r="AH35" s="1629">
        <v>2732.67</v>
      </c>
      <c r="AI35" s="1629">
        <v>2732.67</v>
      </c>
      <c r="AJ35" s="1629">
        <v>20495.05</v>
      </c>
      <c r="AK35" s="1629">
        <v>20495.04</v>
      </c>
      <c r="AL35" s="1629" t="s">
        <v>1331</v>
      </c>
      <c r="AM35" s="1629" t="s">
        <v>1331</v>
      </c>
      <c r="AN35" s="1629">
        <v>0</v>
      </c>
      <c r="AO35" s="1629" t="s">
        <v>3316</v>
      </c>
      <c r="AP35" s="1629" t="s">
        <v>1331</v>
      </c>
      <c r="AQ35" s="1629" t="s">
        <v>1331</v>
      </c>
      <c r="AR35" s="1629" t="s">
        <v>1331</v>
      </c>
      <c r="AS35" s="1629" t="s">
        <v>3322</v>
      </c>
    </row>
    <row r="36" spans="1:45" hidden="1">
      <c r="A36" s="1629" t="s">
        <v>3537</v>
      </c>
      <c r="B36" s="1629" t="s">
        <v>3062</v>
      </c>
      <c r="C36" s="1629" t="s">
        <v>3095</v>
      </c>
      <c r="D36" s="1629" t="s">
        <v>3301</v>
      </c>
      <c r="E36" s="1629" t="s">
        <v>1331</v>
      </c>
      <c r="F36" s="1629" t="s">
        <v>3531</v>
      </c>
      <c r="G36" s="1629" t="s">
        <v>3085</v>
      </c>
      <c r="H36" s="1629" t="s">
        <v>3538</v>
      </c>
      <c r="I36" s="1629" t="s">
        <v>3336</v>
      </c>
      <c r="J36" s="1629">
        <v>63029.62</v>
      </c>
      <c r="K36" s="1629">
        <v>126059</v>
      </c>
      <c r="L36" s="1629">
        <v>2</v>
      </c>
      <c r="M36" s="1629" t="s">
        <v>1331</v>
      </c>
      <c r="N36" s="1629" t="s">
        <v>1331</v>
      </c>
      <c r="O36" s="1629" t="s">
        <v>1331</v>
      </c>
      <c r="P36" s="1629" t="s">
        <v>1331</v>
      </c>
      <c r="Q36" s="1629" t="s">
        <v>1331</v>
      </c>
      <c r="R36" s="1629" t="s">
        <v>1331</v>
      </c>
      <c r="S36" s="1629" t="s">
        <v>3539</v>
      </c>
      <c r="T36" s="1629" t="s">
        <v>3426</v>
      </c>
      <c r="U36" s="1629" t="s">
        <v>3426</v>
      </c>
      <c r="V36" s="1629" t="s">
        <v>1331</v>
      </c>
      <c r="W36" s="1629" t="s">
        <v>3388</v>
      </c>
      <c r="X36" s="1629" t="s">
        <v>3540</v>
      </c>
      <c r="Y36" s="1629" t="s">
        <v>3541</v>
      </c>
      <c r="Z36" s="1629" t="s">
        <v>3542</v>
      </c>
      <c r="AA36" s="1629" t="s">
        <v>3542</v>
      </c>
      <c r="AB36" s="1629" t="s">
        <v>3538</v>
      </c>
      <c r="AC36" s="1629" t="s">
        <v>3314</v>
      </c>
      <c r="AD36" s="1629" t="s">
        <v>3543</v>
      </c>
      <c r="AE36" s="1629">
        <v>72000</v>
      </c>
      <c r="AF36" s="1629">
        <v>240000</v>
      </c>
      <c r="AG36" s="1629">
        <v>380000</v>
      </c>
      <c r="AH36" s="1629">
        <v>2538.4899999999998</v>
      </c>
      <c r="AI36" s="1629">
        <v>4019.27</v>
      </c>
      <c r="AJ36" s="1629">
        <v>19038.7</v>
      </c>
      <c r="AK36" s="1629">
        <v>30144.61</v>
      </c>
      <c r="AL36" s="1629" t="s">
        <v>1331</v>
      </c>
      <c r="AM36" s="1629" t="s">
        <v>1331</v>
      </c>
      <c r="AN36" s="1629">
        <v>58.33</v>
      </c>
      <c r="AO36" s="1629" t="s">
        <v>3544</v>
      </c>
      <c r="AP36" s="1629" t="s">
        <v>1331</v>
      </c>
      <c r="AQ36" s="1629" t="s">
        <v>1331</v>
      </c>
      <c r="AR36" s="1629" t="s">
        <v>1331</v>
      </c>
      <c r="AS36" s="1629" t="s">
        <v>3322</v>
      </c>
    </row>
    <row r="37" spans="1:45">
      <c r="A37" s="1629" t="s">
        <v>3545</v>
      </c>
      <c r="B37" s="1629" t="s">
        <v>3062</v>
      </c>
      <c r="C37" s="1629" t="s">
        <v>3084</v>
      </c>
      <c r="D37" s="1629" t="s">
        <v>3301</v>
      </c>
      <c r="E37" s="1629" t="s">
        <v>1331</v>
      </c>
      <c r="F37" s="1629" t="s">
        <v>3546</v>
      </c>
      <c r="G37" s="1629" t="s">
        <v>3085</v>
      </c>
      <c r="H37" s="1629" t="s">
        <v>3547</v>
      </c>
      <c r="I37" s="1629" t="s">
        <v>3304</v>
      </c>
      <c r="J37" s="1629">
        <v>85956.89</v>
      </c>
      <c r="K37" s="1629">
        <v>182033</v>
      </c>
      <c r="L37" s="1629">
        <v>2.12</v>
      </c>
      <c r="M37" s="1629" t="s">
        <v>1331</v>
      </c>
      <c r="N37" s="1629" t="s">
        <v>1331</v>
      </c>
      <c r="O37" s="1629" t="s">
        <v>1331</v>
      </c>
      <c r="P37" s="1629" t="s">
        <v>1331</v>
      </c>
      <c r="Q37" s="1629" t="s">
        <v>1331</v>
      </c>
      <c r="R37" s="1629" t="s">
        <v>1331</v>
      </c>
      <c r="S37" s="1629" t="s">
        <v>1331</v>
      </c>
      <c r="T37" s="1629" t="s">
        <v>3354</v>
      </c>
      <c r="U37" s="1629" t="s">
        <v>3354</v>
      </c>
      <c r="V37" s="1629" t="s">
        <v>1331</v>
      </c>
      <c r="W37" s="1629" t="s">
        <v>3388</v>
      </c>
      <c r="X37" s="1629" t="s">
        <v>3548</v>
      </c>
      <c r="Y37" s="1629" t="s">
        <v>3540</v>
      </c>
      <c r="Z37" s="1629" t="s">
        <v>3549</v>
      </c>
      <c r="AA37" s="1629" t="s">
        <v>3549</v>
      </c>
      <c r="AB37" s="1629" t="s">
        <v>3547</v>
      </c>
      <c r="AC37" s="1629" t="s">
        <v>3314</v>
      </c>
      <c r="AD37" s="1629" t="s">
        <v>3550</v>
      </c>
      <c r="AE37" s="1629">
        <v>140000</v>
      </c>
      <c r="AF37" s="1629">
        <v>466000</v>
      </c>
      <c r="AG37" s="1629">
        <v>698000</v>
      </c>
      <c r="AH37" s="1629">
        <v>3614.21</v>
      </c>
      <c r="AI37" s="1629">
        <v>5413.57</v>
      </c>
      <c r="AJ37" s="1629">
        <v>25599.75</v>
      </c>
      <c r="AK37" s="1629">
        <v>38344.69</v>
      </c>
      <c r="AL37" s="1629" t="s">
        <v>1331</v>
      </c>
      <c r="AM37" s="1629" t="s">
        <v>1331</v>
      </c>
      <c r="AN37" s="1629">
        <v>49.79</v>
      </c>
      <c r="AO37" s="1629" t="s">
        <v>3316</v>
      </c>
      <c r="AP37" s="1629" t="s">
        <v>1331</v>
      </c>
      <c r="AQ37" s="1629">
        <v>70</v>
      </c>
      <c r="AR37" s="1629" t="s">
        <v>1331</v>
      </c>
      <c r="AS37" s="1629" t="s">
        <v>3500</v>
      </c>
    </row>
    <row r="38" spans="1:45">
      <c r="A38" s="1629" t="s">
        <v>3551</v>
      </c>
      <c r="B38" s="1629" t="s">
        <v>3062</v>
      </c>
      <c r="C38" s="1629" t="s">
        <v>3084</v>
      </c>
      <c r="D38" s="1629" t="s">
        <v>3301</v>
      </c>
      <c r="E38" s="1629" t="s">
        <v>1331</v>
      </c>
      <c r="F38" s="1629" t="s">
        <v>3546</v>
      </c>
      <c r="G38" s="1629" t="s">
        <v>3085</v>
      </c>
      <c r="H38" s="1629" t="s">
        <v>3552</v>
      </c>
      <c r="I38" s="1629" t="s">
        <v>3304</v>
      </c>
      <c r="J38" s="1629">
        <v>66379.53</v>
      </c>
      <c r="K38" s="1629">
        <v>146035</v>
      </c>
      <c r="L38" s="1629">
        <v>2.2000000000000002</v>
      </c>
      <c r="M38" s="1629" t="s">
        <v>1331</v>
      </c>
      <c r="N38" s="1629" t="s">
        <v>1331</v>
      </c>
      <c r="O38" s="1629" t="s">
        <v>1331</v>
      </c>
      <c r="P38" s="1629" t="s">
        <v>1331</v>
      </c>
      <c r="Q38" s="1629" t="s">
        <v>1331</v>
      </c>
      <c r="R38" s="1629" t="s">
        <v>1331</v>
      </c>
      <c r="S38" s="1629" t="s">
        <v>1331</v>
      </c>
      <c r="T38" s="1629" t="s">
        <v>3354</v>
      </c>
      <c r="U38" s="1629" t="s">
        <v>3354</v>
      </c>
      <c r="V38" s="1629" t="s">
        <v>1331</v>
      </c>
      <c r="W38" s="1629" t="s">
        <v>3388</v>
      </c>
      <c r="X38" s="1629" t="s">
        <v>3548</v>
      </c>
      <c r="Y38" s="1629" t="s">
        <v>3540</v>
      </c>
      <c r="Z38" s="1629" t="s">
        <v>3549</v>
      </c>
      <c r="AA38" s="1629" t="s">
        <v>3549</v>
      </c>
      <c r="AB38" s="1629" t="s">
        <v>3552</v>
      </c>
      <c r="AC38" s="1629" t="s">
        <v>3314</v>
      </c>
      <c r="AD38" s="1629" t="s">
        <v>3550</v>
      </c>
      <c r="AE38" s="1629">
        <v>115000</v>
      </c>
      <c r="AF38" s="1629">
        <v>383000</v>
      </c>
      <c r="AG38" s="1629">
        <v>574000</v>
      </c>
      <c r="AH38" s="1629">
        <v>3846.57</v>
      </c>
      <c r="AI38" s="1629">
        <v>5764.83</v>
      </c>
      <c r="AJ38" s="1629">
        <v>26226.59</v>
      </c>
      <c r="AK38" s="1629">
        <v>39305.65</v>
      </c>
      <c r="AL38" s="1629" t="s">
        <v>1331</v>
      </c>
      <c r="AM38" s="1629" t="s">
        <v>1331</v>
      </c>
      <c r="AN38" s="1629">
        <v>49.87</v>
      </c>
      <c r="AO38" s="1629" t="s">
        <v>3316</v>
      </c>
      <c r="AP38" s="1629" t="s">
        <v>1331</v>
      </c>
      <c r="AQ38" s="1629">
        <v>70</v>
      </c>
      <c r="AR38" s="1629" t="s">
        <v>1331</v>
      </c>
      <c r="AS38" s="1629" t="s">
        <v>3500</v>
      </c>
    </row>
    <row r="39" spans="1:45">
      <c r="A39" s="1629" t="s">
        <v>3553</v>
      </c>
      <c r="B39" s="1629" t="s">
        <v>3062</v>
      </c>
      <c r="C39" s="1629" t="s">
        <v>3084</v>
      </c>
      <c r="D39" s="1629" t="s">
        <v>3301</v>
      </c>
      <c r="E39" s="1629" t="s">
        <v>1331</v>
      </c>
      <c r="F39" s="1629" t="s">
        <v>3554</v>
      </c>
      <c r="G39" s="1629" t="s">
        <v>3085</v>
      </c>
      <c r="H39" s="1629" t="s">
        <v>3555</v>
      </c>
      <c r="I39" s="1629" t="s">
        <v>3399</v>
      </c>
      <c r="J39" s="1629">
        <v>51970.99</v>
      </c>
      <c r="K39" s="1629">
        <v>135275</v>
      </c>
      <c r="L39" s="1629">
        <v>2.6</v>
      </c>
      <c r="M39" s="1629" t="s">
        <v>1331</v>
      </c>
      <c r="N39" s="1629" t="s">
        <v>1331</v>
      </c>
      <c r="O39" s="1629" t="s">
        <v>1331</v>
      </c>
      <c r="P39" s="1629" t="s">
        <v>1331</v>
      </c>
      <c r="Q39" s="1629" t="s">
        <v>1331</v>
      </c>
      <c r="R39" s="1629" t="s">
        <v>1331</v>
      </c>
      <c r="S39" s="1629" t="s">
        <v>1331</v>
      </c>
      <c r="T39" s="1629" t="s">
        <v>3354</v>
      </c>
      <c r="U39" s="1629" t="s">
        <v>3354</v>
      </c>
      <c r="V39" s="1629" t="s">
        <v>1331</v>
      </c>
      <c r="W39" s="1629" t="s">
        <v>3388</v>
      </c>
      <c r="X39" s="1629" t="s">
        <v>3556</v>
      </c>
      <c r="Y39" s="1629" t="s">
        <v>3557</v>
      </c>
      <c r="Z39" s="1629" t="s">
        <v>3558</v>
      </c>
      <c r="AA39" s="1629" t="s">
        <v>3558</v>
      </c>
      <c r="AB39" s="1629" t="s">
        <v>3555</v>
      </c>
      <c r="AC39" s="1629" t="s">
        <v>3314</v>
      </c>
      <c r="AD39" s="1629" t="s">
        <v>3559</v>
      </c>
      <c r="AE39" s="1629">
        <v>75000</v>
      </c>
      <c r="AF39" s="1629">
        <v>248000</v>
      </c>
      <c r="AG39" s="1629">
        <v>367500</v>
      </c>
      <c r="AH39" s="1629">
        <v>3181.26</v>
      </c>
      <c r="AI39" s="1629">
        <v>4714.17</v>
      </c>
      <c r="AJ39" s="1629">
        <v>18333.02</v>
      </c>
      <c r="AK39" s="1629">
        <v>27166.880000000001</v>
      </c>
      <c r="AL39" s="1629" t="s">
        <v>1331</v>
      </c>
      <c r="AM39" s="1629" t="s">
        <v>1331</v>
      </c>
      <c r="AN39" s="1629">
        <v>48.19</v>
      </c>
      <c r="AO39" s="1629" t="s">
        <v>3316</v>
      </c>
      <c r="AP39" s="1629" t="s">
        <v>1331</v>
      </c>
      <c r="AQ39" s="1629">
        <v>100</v>
      </c>
      <c r="AR39" s="1629" t="s">
        <v>1331</v>
      </c>
      <c r="AS39" s="1629" t="s">
        <v>3322</v>
      </c>
    </row>
    <row r="40" spans="1:45" hidden="1">
      <c r="A40" s="1629" t="s">
        <v>3560</v>
      </c>
      <c r="B40" s="1629" t="s">
        <v>3062</v>
      </c>
      <c r="C40" s="1629" t="s">
        <v>3095</v>
      </c>
      <c r="D40" s="1629" t="s">
        <v>3301</v>
      </c>
      <c r="E40" s="1629" t="s">
        <v>1331</v>
      </c>
      <c r="F40" s="1629" t="s">
        <v>3560</v>
      </c>
      <c r="G40" s="1629" t="s">
        <v>3085</v>
      </c>
      <c r="H40" s="1629" t="s">
        <v>3561</v>
      </c>
      <c r="I40" s="1629" t="s">
        <v>3304</v>
      </c>
      <c r="J40" s="1629">
        <v>50662.6</v>
      </c>
      <c r="K40" s="1629">
        <v>101325.2</v>
      </c>
      <c r="L40" s="1629">
        <v>2</v>
      </c>
      <c r="M40" s="1629" t="s">
        <v>1331</v>
      </c>
      <c r="N40" s="1629" t="s">
        <v>1331</v>
      </c>
      <c r="O40" s="1629" t="s">
        <v>1331</v>
      </c>
      <c r="P40" s="1629" t="s">
        <v>1331</v>
      </c>
      <c r="Q40" s="1629" t="s">
        <v>1331</v>
      </c>
      <c r="R40" s="1629" t="s">
        <v>1331</v>
      </c>
      <c r="S40" s="1629" t="s">
        <v>3562</v>
      </c>
      <c r="T40" s="1629" t="s">
        <v>3426</v>
      </c>
      <c r="U40" s="1629" t="s">
        <v>3426</v>
      </c>
      <c r="V40" s="1629" t="s">
        <v>1331</v>
      </c>
      <c r="W40" s="1629" t="s">
        <v>3448</v>
      </c>
      <c r="X40" s="1629" t="s">
        <v>3563</v>
      </c>
      <c r="Y40" s="1629" t="s">
        <v>3564</v>
      </c>
      <c r="Z40" s="1629" t="s">
        <v>3565</v>
      </c>
      <c r="AA40" s="1629" t="s">
        <v>3565</v>
      </c>
      <c r="AB40" s="1629" t="s">
        <v>3561</v>
      </c>
      <c r="AC40" s="1629" t="s">
        <v>3314</v>
      </c>
      <c r="AD40" s="1629" t="s">
        <v>3485</v>
      </c>
      <c r="AE40" s="1629">
        <v>45300</v>
      </c>
      <c r="AF40" s="1629">
        <v>151000</v>
      </c>
      <c r="AG40" s="1629">
        <v>211000</v>
      </c>
      <c r="AH40" s="1629">
        <v>1987</v>
      </c>
      <c r="AI40" s="1629">
        <v>2776.54</v>
      </c>
      <c r="AJ40" s="1629">
        <v>14902.51</v>
      </c>
      <c r="AK40" s="1629">
        <v>20824.04</v>
      </c>
      <c r="AL40" s="1629" t="s">
        <v>1331</v>
      </c>
      <c r="AM40" s="1629" t="s">
        <v>1331</v>
      </c>
      <c r="AN40" s="1629">
        <v>39.74</v>
      </c>
      <c r="AO40" s="1629" t="s">
        <v>3566</v>
      </c>
      <c r="AP40" s="1629" t="s">
        <v>1331</v>
      </c>
      <c r="AQ40" s="1629" t="s">
        <v>1331</v>
      </c>
      <c r="AR40" s="1629" t="s">
        <v>1331</v>
      </c>
      <c r="AS40" s="1629" t="s">
        <v>3317</v>
      </c>
    </row>
    <row r="41" spans="1:45" hidden="1">
      <c r="A41" s="1629" t="s">
        <v>3106</v>
      </c>
      <c r="B41" s="1629" t="s">
        <v>3062</v>
      </c>
      <c r="C41" s="1629" t="s">
        <v>3084</v>
      </c>
      <c r="D41" s="1629" t="s">
        <v>3340</v>
      </c>
      <c r="E41" s="1629" t="s">
        <v>1331</v>
      </c>
      <c r="F41" s="1629" t="s">
        <v>3567</v>
      </c>
      <c r="G41" s="1629" t="s">
        <v>3085</v>
      </c>
      <c r="H41" s="1629" t="s">
        <v>3568</v>
      </c>
      <c r="I41" s="1629" t="s">
        <v>3336</v>
      </c>
      <c r="J41" s="1629">
        <v>89347.09</v>
      </c>
      <c r="K41" s="1629">
        <v>178694</v>
      </c>
      <c r="L41" s="1629">
        <v>2</v>
      </c>
      <c r="M41" s="1629" t="s">
        <v>1331</v>
      </c>
      <c r="N41" s="1629" t="s">
        <v>1331</v>
      </c>
      <c r="O41" s="1629" t="s">
        <v>1331</v>
      </c>
      <c r="P41" s="1629" t="s">
        <v>3569</v>
      </c>
      <c r="Q41" s="1629">
        <v>37500</v>
      </c>
      <c r="R41" s="1629">
        <v>57500</v>
      </c>
      <c r="S41" s="1629" t="s">
        <v>1331</v>
      </c>
      <c r="T41" s="1629" t="s">
        <v>1331</v>
      </c>
      <c r="U41" s="1629" t="s">
        <v>1331</v>
      </c>
      <c r="V41" s="1629" t="s">
        <v>1331</v>
      </c>
      <c r="W41" s="1629" t="s">
        <v>3448</v>
      </c>
      <c r="X41" s="1629" t="s">
        <v>3570</v>
      </c>
      <c r="Y41" s="1629" t="s">
        <v>3571</v>
      </c>
      <c r="Z41" s="1629" t="s">
        <v>3107</v>
      </c>
      <c r="AA41" s="1629" t="s">
        <v>3107</v>
      </c>
      <c r="AB41" s="1629" t="s">
        <v>3568</v>
      </c>
      <c r="AC41" s="1629" t="s">
        <v>3314</v>
      </c>
      <c r="AD41" s="1629" t="s">
        <v>3108</v>
      </c>
      <c r="AE41" s="1629">
        <v>64000</v>
      </c>
      <c r="AF41" s="1629">
        <v>213000</v>
      </c>
      <c r="AG41" s="1629">
        <v>319500</v>
      </c>
      <c r="AH41" s="1629">
        <v>1589.31</v>
      </c>
      <c r="AI41" s="1629">
        <v>2383.96</v>
      </c>
      <c r="AJ41" s="1629">
        <v>11919.81</v>
      </c>
      <c r="AK41" s="1629">
        <v>17879.72</v>
      </c>
      <c r="AL41" s="1629">
        <v>15086</v>
      </c>
      <c r="AM41" s="1629">
        <v>26363</v>
      </c>
      <c r="AN41" s="1629">
        <v>50</v>
      </c>
      <c r="AO41" s="1629" t="s">
        <v>3316</v>
      </c>
      <c r="AP41" s="1629" t="s">
        <v>1331</v>
      </c>
      <c r="AQ41" s="1629" t="s">
        <v>1331</v>
      </c>
      <c r="AR41" s="1629" t="s">
        <v>1331</v>
      </c>
      <c r="AS41" s="1629" t="s">
        <v>3317</v>
      </c>
    </row>
    <row r="42" spans="1:45" hidden="1">
      <c r="A42" s="1629" t="s">
        <v>3109</v>
      </c>
      <c r="B42" s="1629" t="s">
        <v>3062</v>
      </c>
      <c r="C42" s="1629" t="s">
        <v>3084</v>
      </c>
      <c r="D42" s="1629" t="s">
        <v>3340</v>
      </c>
      <c r="E42" s="1629" t="s">
        <v>1331</v>
      </c>
      <c r="F42" s="1629" t="s">
        <v>3567</v>
      </c>
      <c r="G42" s="1629" t="s">
        <v>3085</v>
      </c>
      <c r="H42" s="1629" t="s">
        <v>3572</v>
      </c>
      <c r="I42" s="1629" t="s">
        <v>3336</v>
      </c>
      <c r="J42" s="1629">
        <v>83732.679999999993</v>
      </c>
      <c r="K42" s="1629">
        <v>167465</v>
      </c>
      <c r="L42" s="1629">
        <v>2</v>
      </c>
      <c r="M42" s="1629" t="s">
        <v>1331</v>
      </c>
      <c r="N42" s="1629" t="s">
        <v>1331</v>
      </c>
      <c r="O42" s="1629" t="s">
        <v>1331</v>
      </c>
      <c r="P42" s="1629" t="s">
        <v>1331</v>
      </c>
      <c r="Q42" s="1629">
        <v>35200</v>
      </c>
      <c r="R42" s="1629">
        <v>57200</v>
      </c>
      <c r="S42" s="1629" t="s">
        <v>1331</v>
      </c>
      <c r="T42" s="1629" t="s">
        <v>1331</v>
      </c>
      <c r="U42" s="1629" t="s">
        <v>1331</v>
      </c>
      <c r="V42" s="1629" t="s">
        <v>1331</v>
      </c>
      <c r="W42" s="1629" t="s">
        <v>3448</v>
      </c>
      <c r="X42" s="1629" t="s">
        <v>3570</v>
      </c>
      <c r="Y42" s="1629" t="s">
        <v>3571</v>
      </c>
      <c r="Z42" s="1629" t="s">
        <v>3107</v>
      </c>
      <c r="AA42" s="1629" t="s">
        <v>3107</v>
      </c>
      <c r="AB42" s="1629" t="s">
        <v>3572</v>
      </c>
      <c r="AC42" s="1629" t="s">
        <v>3314</v>
      </c>
      <c r="AD42" s="1629" t="s">
        <v>3108</v>
      </c>
      <c r="AE42" s="1629">
        <v>60000</v>
      </c>
      <c r="AF42" s="1629">
        <v>200000</v>
      </c>
      <c r="AG42" s="1629">
        <v>300000</v>
      </c>
      <c r="AH42" s="1629">
        <v>1592.37</v>
      </c>
      <c r="AI42" s="1629">
        <v>2388.5500000000002</v>
      </c>
      <c r="AJ42" s="1629">
        <v>11942.79</v>
      </c>
      <c r="AK42" s="1629">
        <v>17914.18</v>
      </c>
      <c r="AL42" s="1629">
        <v>15121</v>
      </c>
      <c r="AM42" s="1629">
        <v>27207</v>
      </c>
      <c r="AN42" s="1629">
        <v>50</v>
      </c>
      <c r="AO42" s="1629" t="s">
        <v>3316</v>
      </c>
      <c r="AP42" s="1629" t="s">
        <v>1331</v>
      </c>
      <c r="AQ42" s="1629" t="s">
        <v>1331</v>
      </c>
      <c r="AR42" s="1629" t="s">
        <v>1331</v>
      </c>
      <c r="AS42" s="1629" t="s">
        <v>3317</v>
      </c>
    </row>
  </sheetData>
  <autoFilter ref="A1:AS42"/>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2741</v>
      </c>
      <c r="D3" s="1577"/>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2640</v>
      </c>
      <c r="B4" s="401"/>
      <c r="C4" s="3227" t="s">
        <v>2641</v>
      </c>
      <c r="D4" s="3228"/>
      <c r="E4" s="3229" t="s">
        <v>2642</v>
      </c>
      <c r="F4" s="3230"/>
      <c r="G4" s="3227" t="s">
        <v>2643</v>
      </c>
      <c r="H4" s="3228"/>
      <c r="I4" s="3227" t="s">
        <v>2644</v>
      </c>
      <c r="J4" s="3228"/>
      <c r="K4" s="609" t="s">
        <v>2645</v>
      </c>
      <c r="L4" s="1126"/>
      <c r="M4" s="1127"/>
      <c r="N4" s="1127"/>
      <c r="O4" s="1127"/>
      <c r="P4" s="3231" t="s">
        <v>2646</v>
      </c>
      <c r="Q4" s="3232"/>
      <c r="R4" s="3237" t="s">
        <v>2642</v>
      </c>
      <c r="S4" s="3238"/>
      <c r="T4" s="3237" t="s">
        <v>2643</v>
      </c>
      <c r="U4" s="3238"/>
      <c r="V4" s="3251" t="s">
        <v>2644</v>
      </c>
      <c r="W4" s="3251"/>
      <c r="X4" s="1807"/>
      <c r="Y4" s="3237" t="s">
        <v>2646</v>
      </c>
      <c r="Z4" s="3238"/>
      <c r="AA4" s="3224" t="s">
        <v>2642</v>
      </c>
      <c r="AB4" s="3225" t="s">
        <v>2643</v>
      </c>
      <c r="AC4" s="3224" t="s">
        <v>2644</v>
      </c>
    </row>
    <row r="5" spans="1:29" ht="15">
      <c r="A5" s="403"/>
      <c r="B5" s="404"/>
      <c r="C5" s="3270" t="s">
        <v>2537</v>
      </c>
      <c r="D5" s="3242"/>
      <c r="E5" s="3272" t="s">
        <v>2538</v>
      </c>
      <c r="F5" s="3244"/>
      <c r="G5" s="3270" t="s">
        <v>2539</v>
      </c>
      <c r="H5" s="3242"/>
      <c r="I5" s="3270" t="s">
        <v>2540</v>
      </c>
      <c r="J5" s="3242"/>
      <c r="K5" s="609"/>
      <c r="L5" s="1126"/>
      <c r="M5" s="1127"/>
      <c r="N5" s="1127"/>
      <c r="O5" s="1127"/>
      <c r="P5" s="3233"/>
      <c r="Q5" s="3234"/>
      <c r="R5" s="3239"/>
      <c r="S5" s="3240"/>
      <c r="T5" s="3239"/>
      <c r="U5" s="3240"/>
      <c r="V5" s="3251"/>
      <c r="W5" s="3251"/>
      <c r="X5" s="1807"/>
      <c r="Y5" s="3239"/>
      <c r="Z5" s="3240"/>
      <c r="AA5" s="3225"/>
      <c r="AB5" s="3225"/>
      <c r="AC5" s="3225"/>
    </row>
    <row r="6" spans="1:29" ht="15.75" thickBot="1">
      <c r="A6" s="405"/>
      <c r="B6" s="406"/>
      <c r="C6" s="3296" t="s">
        <v>2792</v>
      </c>
      <c r="D6" s="3297"/>
      <c r="E6" s="3298" t="s">
        <v>2792</v>
      </c>
      <c r="F6" s="3299"/>
      <c r="G6" s="3296" t="s">
        <v>2792</v>
      </c>
      <c r="H6" s="3297"/>
      <c r="I6" s="3296" t="s">
        <v>2792</v>
      </c>
      <c r="J6" s="3297"/>
      <c r="K6" s="609" t="s">
        <v>2542</v>
      </c>
      <c r="L6" s="1126"/>
      <c r="M6" s="1127"/>
      <c r="N6" s="1127"/>
      <c r="O6" s="1127"/>
      <c r="P6" s="3235"/>
      <c r="Q6" s="3236"/>
      <c r="R6" s="3239"/>
      <c r="S6" s="3240"/>
      <c r="T6" s="3249"/>
      <c r="U6" s="3250"/>
      <c r="V6" s="3251"/>
      <c r="W6" s="3251"/>
      <c r="X6" s="1807"/>
      <c r="Y6" s="3249"/>
      <c r="Z6" s="3250"/>
      <c r="AA6" s="3226"/>
      <c r="AB6" s="3226"/>
      <c r="AC6" s="3226"/>
    </row>
    <row r="7" spans="1:29" s="116" customFormat="1" ht="15.75" thickBot="1">
      <c r="A7" s="407" t="s">
        <v>2543</v>
      </c>
      <c r="B7" s="408"/>
      <c r="C7" s="409">
        <f>'数据-取费表'!B2</f>
        <v>43633</v>
      </c>
      <c r="D7" s="410">
        <v>100</v>
      </c>
      <c r="E7" s="411"/>
      <c r="F7" s="412">
        <f>SUMIF(65:65,YEAR(E7)&amp;"-"&amp;INT((MONTH(E7)+2)/3),66:66)</f>
        <v>0</v>
      </c>
      <c r="G7" s="2688"/>
      <c r="H7" s="410">
        <f>SUMIF(65:65,YEAR(G7)&amp;"-"&amp;INT((MONTH(G7)+2)/3),66:66)</f>
        <v>0</v>
      </c>
      <c r="I7" s="2688"/>
      <c r="J7" s="410">
        <f>SUMIF(65:65,YEAR(I7)&amp;"-"&amp;INT((MONTH(I7)+2)/3),66:66)</f>
        <v>0</v>
      </c>
      <c r="K7" s="610"/>
      <c r="L7" s="1128"/>
      <c r="M7" s="1129"/>
      <c r="N7" s="1129"/>
      <c r="O7" s="1129"/>
      <c r="P7" s="3252" t="s">
        <v>2544</v>
      </c>
      <c r="Q7" s="3253"/>
      <c r="R7" s="769" t="s">
        <v>17</v>
      </c>
      <c r="S7" s="770">
        <f t="shared" ref="S7:S15" si="0">F7</f>
        <v>0</v>
      </c>
      <c r="T7" s="769" t="s">
        <v>17</v>
      </c>
      <c r="U7" s="770">
        <f t="shared" ref="U7:U15" si="1">H7</f>
        <v>0</v>
      </c>
      <c r="V7" s="769" t="s">
        <v>17</v>
      </c>
      <c r="W7" s="770">
        <f t="shared" ref="W7:W15" si="2">J7</f>
        <v>0</v>
      </c>
      <c r="X7" s="771"/>
      <c r="Y7" s="3252" t="s">
        <v>2544</v>
      </c>
      <c r="Z7" s="3254"/>
      <c r="AA7" s="772" t="e">
        <f>D7/F7</f>
        <v>#DIV/0!</v>
      </c>
      <c r="AB7" s="772" t="e">
        <f>D7/H7</f>
        <v>#DIV/0!</v>
      </c>
      <c r="AC7" s="772"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52" t="s">
        <v>2547</v>
      </c>
      <c r="Q8" s="3254"/>
      <c r="R8" s="769" t="s">
        <v>17</v>
      </c>
      <c r="S8" s="770">
        <f t="shared" si="0"/>
        <v>0</v>
      </c>
      <c r="T8" s="769" t="s">
        <v>17</v>
      </c>
      <c r="U8" s="770">
        <f t="shared" si="1"/>
        <v>0</v>
      </c>
      <c r="V8" s="769" t="s">
        <v>17</v>
      </c>
      <c r="W8" s="770">
        <f t="shared" si="2"/>
        <v>0</v>
      </c>
      <c r="X8" s="771"/>
      <c r="Y8" s="3252" t="s">
        <v>2547</v>
      </c>
      <c r="Z8" s="3254"/>
      <c r="AA8" s="772" t="e">
        <f t="shared" ref="AA8:AA40" si="3">D8/F8</f>
        <v>#DIV/0!</v>
      </c>
      <c r="AB8" s="772" t="e">
        <f t="shared" ref="AB8:AB40" si="4">D8/H8</f>
        <v>#DIV/0!</v>
      </c>
      <c r="AC8" s="772" t="e">
        <f t="shared" ref="AC8:AC40" si="5">D8/J8</f>
        <v>#DIV/0!</v>
      </c>
    </row>
    <row r="9" spans="1:29" s="116" customFormat="1">
      <c r="A9" s="414" t="s">
        <v>2548</v>
      </c>
      <c r="B9" s="71" t="s">
        <v>2549</v>
      </c>
      <c r="C9" s="2691"/>
      <c r="D9" s="134">
        <v>100</v>
      </c>
      <c r="E9" s="2691"/>
      <c r="F9" s="134">
        <f>SUMIF(70:70,E9,71:71)-SUMIF(70:70,C9,71:71)+100</f>
        <v>100</v>
      </c>
      <c r="G9" s="2691"/>
      <c r="H9" s="134">
        <f>SUMIF(70:70,G9,71:71)-SUMIF(70:70,C9,71:71)+100</f>
        <v>100</v>
      </c>
      <c r="I9" s="2691"/>
      <c r="J9" s="134">
        <f>SUMIF(70:70,I9,71:71)-SUMIF(70:70,C9,71:71)+100</f>
        <v>100</v>
      </c>
      <c r="K9" s="610"/>
      <c r="L9" s="1128"/>
      <c r="M9" s="1129"/>
      <c r="N9" s="1129"/>
      <c r="O9" s="1130"/>
      <c r="P9" s="3265" t="s">
        <v>2550</v>
      </c>
      <c r="Q9" s="1789" t="str">
        <f t="shared" ref="Q9:Q15" si="6">B9</f>
        <v>用途</v>
      </c>
      <c r="R9" s="769" t="s">
        <v>17</v>
      </c>
      <c r="S9" s="770">
        <f t="shared" si="0"/>
        <v>100</v>
      </c>
      <c r="T9" s="769" t="s">
        <v>17</v>
      </c>
      <c r="U9" s="770">
        <f t="shared" si="1"/>
        <v>100</v>
      </c>
      <c r="V9" s="769" t="s">
        <v>17</v>
      </c>
      <c r="W9" s="770">
        <f t="shared" si="2"/>
        <v>100</v>
      </c>
      <c r="X9" s="771"/>
      <c r="Y9" s="3039" t="s">
        <v>2551</v>
      </c>
      <c r="Z9" s="55" t="str">
        <f t="shared" ref="Z9:Z15" si="7">Q9</f>
        <v>用途</v>
      </c>
      <c r="AA9" s="772">
        <f t="shared" si="3"/>
        <v>1</v>
      </c>
      <c r="AB9" s="772">
        <f t="shared" si="4"/>
        <v>1</v>
      </c>
      <c r="AC9" s="772">
        <f t="shared" si="5"/>
        <v>1</v>
      </c>
    </row>
    <row r="10" spans="1:29" s="426" customFormat="1" ht="27">
      <c r="A10" s="420"/>
      <c r="B10" s="421" t="s">
        <v>2552</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65"/>
      <c r="Q10" s="1789" t="str">
        <f t="shared" si="6"/>
        <v>土地使用年限（年）</v>
      </c>
      <c r="R10" s="769" t="s">
        <v>17</v>
      </c>
      <c r="S10" s="770">
        <f t="shared" si="0"/>
        <v>102</v>
      </c>
      <c r="T10" s="769" t="s">
        <v>17</v>
      </c>
      <c r="U10" s="770">
        <f t="shared" si="1"/>
        <v>102</v>
      </c>
      <c r="V10" s="769" t="s">
        <v>17</v>
      </c>
      <c r="W10" s="770">
        <f t="shared" si="2"/>
        <v>102</v>
      </c>
      <c r="X10" s="771"/>
      <c r="Y10" s="3039"/>
      <c r="Z10" s="55" t="str">
        <f t="shared" si="7"/>
        <v>土地使用年限（年）</v>
      </c>
      <c r="AA10" s="772">
        <f t="shared" si="3"/>
        <v>0.98039215686274506</v>
      </c>
      <c r="AB10" s="772">
        <f t="shared" si="4"/>
        <v>0.98039215686274506</v>
      </c>
      <c r="AC10" s="772">
        <f t="shared" si="5"/>
        <v>0.98039215686274506</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65"/>
      <c r="Q11" s="1789" t="str">
        <f t="shared" si="6"/>
        <v>容积率</v>
      </c>
      <c r="R11" s="769" t="s">
        <v>17</v>
      </c>
      <c r="S11" s="770" t="e">
        <f t="shared" si="0"/>
        <v>#N/A</v>
      </c>
      <c r="T11" s="769" t="s">
        <v>17</v>
      </c>
      <c r="U11" s="770" t="e">
        <f t="shared" si="1"/>
        <v>#N/A</v>
      </c>
      <c r="V11" s="769" t="s">
        <v>17</v>
      </c>
      <c r="W11" s="770" t="e">
        <f t="shared" si="2"/>
        <v>#N/A</v>
      </c>
      <c r="X11" s="771"/>
      <c r="Y11" s="3039"/>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65"/>
      <c r="Q12" s="1789">
        <f t="shared" si="6"/>
        <v>111</v>
      </c>
      <c r="R12" s="769" t="s">
        <v>17</v>
      </c>
      <c r="S12" s="770">
        <f t="shared" si="0"/>
        <v>100</v>
      </c>
      <c r="T12" s="769" t="s">
        <v>17</v>
      </c>
      <c r="U12" s="770">
        <f t="shared" si="1"/>
        <v>100</v>
      </c>
      <c r="V12" s="769" t="s">
        <v>17</v>
      </c>
      <c r="W12" s="770">
        <f t="shared" si="2"/>
        <v>100</v>
      </c>
      <c r="X12" s="771"/>
      <c r="Y12" s="3039"/>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65"/>
      <c r="Q13" s="1789">
        <f t="shared" si="6"/>
        <v>111</v>
      </c>
      <c r="R13" s="769" t="s">
        <v>17</v>
      </c>
      <c r="S13" s="770">
        <f t="shared" si="0"/>
        <v>100</v>
      </c>
      <c r="T13" s="769" t="s">
        <v>17</v>
      </c>
      <c r="U13" s="770">
        <f t="shared" si="1"/>
        <v>100</v>
      </c>
      <c r="V13" s="769" t="s">
        <v>17</v>
      </c>
      <c r="W13" s="770">
        <f t="shared" si="2"/>
        <v>100</v>
      </c>
      <c r="X13" s="771"/>
      <c r="Y13" s="3039"/>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65"/>
      <c r="Q14" s="1789">
        <f t="shared" si="6"/>
        <v>111</v>
      </c>
      <c r="R14" s="769" t="s">
        <v>17</v>
      </c>
      <c r="S14" s="770">
        <f t="shared" si="0"/>
        <v>100</v>
      </c>
      <c r="T14" s="769" t="s">
        <v>17</v>
      </c>
      <c r="U14" s="770">
        <f t="shared" si="1"/>
        <v>100</v>
      </c>
      <c r="V14" s="769" t="s">
        <v>17</v>
      </c>
      <c r="W14" s="770">
        <f t="shared" si="2"/>
        <v>100</v>
      </c>
      <c r="X14" s="771"/>
      <c r="Y14" s="3039"/>
      <c r="Z14" s="55">
        <f t="shared" si="7"/>
        <v>111</v>
      </c>
      <c r="AA14" s="772">
        <f t="shared" si="3"/>
        <v>1</v>
      </c>
      <c r="AB14" s="772">
        <f t="shared" si="4"/>
        <v>1</v>
      </c>
      <c r="AC14" s="772">
        <f t="shared" si="5"/>
        <v>1</v>
      </c>
    </row>
    <row r="15" spans="1:29" ht="57">
      <c r="A15" s="439" t="s">
        <v>2554</v>
      </c>
      <c r="B15" s="628" t="s">
        <v>2793</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58" t="s">
        <v>2555</v>
      </c>
      <c r="Q15" s="1804" t="str">
        <f t="shared" si="6"/>
        <v>产业集聚程度</v>
      </c>
      <c r="R15" s="773" t="s">
        <v>17</v>
      </c>
      <c r="S15" s="774">
        <f t="shared" si="0"/>
        <v>100</v>
      </c>
      <c r="T15" s="773" t="s">
        <v>17</v>
      </c>
      <c r="U15" s="774">
        <f t="shared" si="1"/>
        <v>100</v>
      </c>
      <c r="V15" s="773" t="s">
        <v>17</v>
      </c>
      <c r="W15" s="774">
        <f t="shared" si="2"/>
        <v>100</v>
      </c>
      <c r="X15" s="1807"/>
      <c r="Y15" s="3258" t="s">
        <v>2555</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6"/>
      <c r="M16" s="1127"/>
      <c r="N16" s="1127"/>
      <c r="O16" s="1135"/>
      <c r="P16" s="3259"/>
      <c r="Q16" s="1804"/>
      <c r="R16" s="773"/>
      <c r="S16" s="774"/>
      <c r="T16" s="773"/>
      <c r="U16" s="774"/>
      <c r="V16" s="773"/>
      <c r="W16" s="774"/>
      <c r="X16" s="1807"/>
      <c r="Y16" s="3259"/>
      <c r="Z16" s="1808"/>
      <c r="AA16" s="1805">
        <v>1</v>
      </c>
      <c r="AB16" s="1805">
        <v>1</v>
      </c>
      <c r="AC16" s="1805">
        <v>1</v>
      </c>
    </row>
    <row r="17" spans="1:29" ht="85.5">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59"/>
      <c r="Q17" s="1804" t="str">
        <f>B17</f>
        <v>交通便捷度</v>
      </c>
      <c r="R17" s="773" t="s">
        <v>17</v>
      </c>
      <c r="S17" s="774">
        <f>F17</f>
        <v>100</v>
      </c>
      <c r="T17" s="773" t="s">
        <v>17</v>
      </c>
      <c r="U17" s="774">
        <f>H17</f>
        <v>100</v>
      </c>
      <c r="V17" s="773" t="s">
        <v>17</v>
      </c>
      <c r="W17" s="774">
        <f>J17</f>
        <v>100</v>
      </c>
      <c r="X17" s="1807"/>
      <c r="Y17" s="3259"/>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6"/>
      <c r="M18" s="1127"/>
      <c r="N18" s="1127"/>
      <c r="O18" s="1135"/>
      <c r="P18" s="3259"/>
      <c r="Q18" s="1804"/>
      <c r="R18" s="773"/>
      <c r="S18" s="774"/>
      <c r="T18" s="773"/>
      <c r="U18" s="774"/>
      <c r="V18" s="773"/>
      <c r="W18" s="774"/>
      <c r="X18" s="1807"/>
      <c r="Y18" s="3259"/>
      <c r="Z18" s="1808"/>
      <c r="AA18" s="1805">
        <v>1</v>
      </c>
      <c r="AB18" s="1805">
        <v>1</v>
      </c>
      <c r="AC18" s="1805">
        <v>1</v>
      </c>
    </row>
    <row r="19" spans="1:29" ht="15">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59"/>
      <c r="Q19" s="1804" t="str">
        <f t="shared" ref="Q19:Q33" si="8">B19</f>
        <v>区域土地利用方向</v>
      </c>
      <c r="R19" s="773" t="s">
        <v>17</v>
      </c>
      <c r="S19" s="774">
        <f>F19</f>
        <v>100</v>
      </c>
      <c r="T19" s="773" t="s">
        <v>17</v>
      </c>
      <c r="U19" s="774">
        <f>H19</f>
        <v>100</v>
      </c>
      <c r="V19" s="773" t="s">
        <v>17</v>
      </c>
      <c r="W19" s="774">
        <f>J19</f>
        <v>100</v>
      </c>
      <c r="X19" s="1807"/>
      <c r="Y19" s="3259"/>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5"/>
      <c r="L20" s="1136"/>
      <c r="M20" s="1127"/>
      <c r="N20" s="1127"/>
      <c r="O20" s="1135"/>
      <c r="P20" s="3259"/>
      <c r="Q20" s="1804"/>
      <c r="R20" s="773"/>
      <c r="S20" s="774"/>
      <c r="T20" s="773"/>
      <c r="U20" s="774"/>
      <c r="V20" s="773"/>
      <c r="W20" s="774"/>
      <c r="X20" s="1807"/>
      <c r="Y20" s="3259"/>
      <c r="Z20" s="1808"/>
      <c r="AA20" s="1805"/>
      <c r="AB20" s="1805"/>
      <c r="AC20" s="1805"/>
    </row>
    <row r="21" spans="1:29" ht="71.25">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59"/>
      <c r="Q21" s="1804" t="str">
        <f t="shared" si="8"/>
        <v>环境状况</v>
      </c>
      <c r="R21" s="773" t="s">
        <v>17</v>
      </c>
      <c r="S21" s="774">
        <f>F21</f>
        <v>100</v>
      </c>
      <c r="T21" s="773" t="s">
        <v>17</v>
      </c>
      <c r="U21" s="774">
        <f>H21</f>
        <v>100</v>
      </c>
      <c r="V21" s="773" t="s">
        <v>17</v>
      </c>
      <c r="W21" s="774">
        <f>J21</f>
        <v>100</v>
      </c>
      <c r="X21" s="1807"/>
      <c r="Y21" s="3259"/>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6"/>
      <c r="M22" s="1127"/>
      <c r="N22" s="1127"/>
      <c r="O22" s="1135"/>
      <c r="P22" s="3259"/>
      <c r="Q22" s="1804"/>
      <c r="R22" s="773"/>
      <c r="S22" s="774"/>
      <c r="T22" s="773"/>
      <c r="U22" s="774"/>
      <c r="V22" s="773"/>
      <c r="W22" s="774"/>
      <c r="X22" s="1807"/>
      <c r="Y22" s="3259"/>
      <c r="Z22" s="1808"/>
      <c r="AA22" s="1805">
        <v>1</v>
      </c>
      <c r="AB22" s="1805">
        <v>1</v>
      </c>
      <c r="AC22" s="1805">
        <v>1</v>
      </c>
    </row>
    <row r="23" spans="1:29" s="116" customFormat="1" ht="42.75">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59"/>
      <c r="Q23" s="1789" t="str">
        <f t="shared" si="8"/>
        <v>公共配套设施</v>
      </c>
      <c r="R23" s="769" t="s">
        <v>17</v>
      </c>
      <c r="S23" s="770">
        <f>F23</f>
        <v>100</v>
      </c>
      <c r="T23" s="769" t="s">
        <v>17</v>
      </c>
      <c r="U23" s="770">
        <f>H23</f>
        <v>100</v>
      </c>
      <c r="V23" s="769" t="s">
        <v>17</v>
      </c>
      <c r="W23" s="770">
        <f>J23</f>
        <v>100</v>
      </c>
      <c r="X23" s="771"/>
      <c r="Y23" s="3259"/>
      <c r="Z23" s="55" t="str">
        <f>Q23</f>
        <v>公共配套设施</v>
      </c>
      <c r="AA23" s="1805">
        <f>D23/F23</f>
        <v>1</v>
      </c>
      <c r="AB23" s="1805">
        <f>D23/H23</f>
        <v>1</v>
      </c>
      <c r="AC23" s="1805">
        <f>D23/J23</f>
        <v>1</v>
      </c>
    </row>
    <row r="24" spans="1:29" s="116" customFormat="1" ht="15">
      <c r="A24" s="648"/>
      <c r="B24" s="631"/>
      <c r="C24" s="2692"/>
      <c r="D24" s="447"/>
      <c r="E24" s="2604"/>
      <c r="F24" s="447"/>
      <c r="G24" s="2604"/>
      <c r="H24" s="447"/>
      <c r="I24" s="446"/>
      <c r="J24" s="447"/>
      <c r="K24" s="671"/>
      <c r="L24" s="1128"/>
      <c r="M24" s="1129"/>
      <c r="N24" s="1129"/>
      <c r="O24" s="1130"/>
      <c r="P24" s="3259"/>
      <c r="Q24" s="1789"/>
      <c r="R24" s="769"/>
      <c r="S24" s="770"/>
      <c r="T24" s="769"/>
      <c r="U24" s="770"/>
      <c r="V24" s="769"/>
      <c r="W24" s="770"/>
      <c r="X24" s="771"/>
      <c r="Y24" s="3259"/>
      <c r="Z24" s="55"/>
      <c r="AA24" s="772">
        <v>1</v>
      </c>
      <c r="AB24" s="772">
        <v>1</v>
      </c>
      <c r="AC24" s="772">
        <v>1</v>
      </c>
    </row>
    <row r="25" spans="1:29" s="116" customFormat="1" ht="28.5">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59"/>
      <c r="Q25" s="1789" t="str">
        <f t="shared" ref="Q25" si="9">B25</f>
        <v>基础设施水平</v>
      </c>
      <c r="R25" s="769" t="s">
        <v>17</v>
      </c>
      <c r="S25" s="770">
        <f>F25</f>
        <v>100</v>
      </c>
      <c r="T25" s="769" t="s">
        <v>17</v>
      </c>
      <c r="U25" s="770">
        <f>H25</f>
        <v>100</v>
      </c>
      <c r="V25" s="769" t="s">
        <v>17</v>
      </c>
      <c r="W25" s="770">
        <f>J25</f>
        <v>100</v>
      </c>
      <c r="X25" s="771"/>
      <c r="Y25" s="3259"/>
      <c r="Z25" s="55" t="str">
        <f>Q25</f>
        <v>基础设施水平</v>
      </c>
      <c r="AA25" s="1805">
        <f>D25/F25</f>
        <v>1</v>
      </c>
      <c r="AB25" s="1805">
        <f>D25/H25</f>
        <v>1</v>
      </c>
      <c r="AC25" s="1805">
        <f>D25/J25</f>
        <v>1</v>
      </c>
    </row>
    <row r="26" spans="1:29" s="116" customFormat="1" ht="15">
      <c r="A26" s="648"/>
      <c r="B26" s="631"/>
      <c r="C26" s="2692"/>
      <c r="D26" s="447"/>
      <c r="E26" s="2693"/>
      <c r="F26" s="447"/>
      <c r="G26" s="2693"/>
      <c r="H26" s="447"/>
      <c r="I26" s="2693"/>
      <c r="J26" s="447"/>
      <c r="K26" s="671"/>
      <c r="L26" s="1128"/>
      <c r="M26" s="1129"/>
      <c r="N26" s="1129"/>
      <c r="O26" s="1130"/>
      <c r="P26" s="3259"/>
      <c r="Q26" s="1789"/>
      <c r="R26" s="769"/>
      <c r="S26" s="770"/>
      <c r="T26" s="769"/>
      <c r="U26" s="770"/>
      <c r="V26" s="769"/>
      <c r="W26" s="770"/>
      <c r="X26" s="771"/>
      <c r="Y26" s="3259"/>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59"/>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59"/>
      <c r="Z27" s="1808" t="str">
        <f t="shared" ref="Z27:Z40" si="13">Q27</f>
        <v>临街状况</v>
      </c>
      <c r="AA27" s="1805">
        <f t="shared" si="3"/>
        <v>1</v>
      </c>
      <c r="AB27" s="1805">
        <f t="shared" si="4"/>
        <v>1</v>
      </c>
      <c r="AC27" s="1805">
        <f t="shared" si="5"/>
        <v>1</v>
      </c>
    </row>
    <row r="28" spans="1:29" ht="27">
      <c r="A28" s="427"/>
      <c r="B28" s="632" t="s">
        <v>2686</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59"/>
      <c r="Q28" s="1804" t="str">
        <f t="shared" si="8"/>
        <v>毗邻道路的类型与等级</v>
      </c>
      <c r="R28" s="773" t="s">
        <v>17</v>
      </c>
      <c r="S28" s="774">
        <f t="shared" si="10"/>
        <v>100</v>
      </c>
      <c r="T28" s="773" t="s">
        <v>17</v>
      </c>
      <c r="U28" s="774">
        <f t="shared" si="11"/>
        <v>100</v>
      </c>
      <c r="V28" s="773" t="s">
        <v>17</v>
      </c>
      <c r="W28" s="774">
        <f t="shared" si="12"/>
        <v>100</v>
      </c>
      <c r="X28" s="1807"/>
      <c r="Y28" s="3259"/>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6"/>
      <c r="M29" s="1127"/>
      <c r="N29" s="1127"/>
      <c r="O29" s="1135"/>
      <c r="P29" s="3259"/>
      <c r="Q29" s="1804"/>
      <c r="R29" s="773"/>
      <c r="S29" s="774"/>
      <c r="T29" s="773"/>
      <c r="U29" s="774"/>
      <c r="V29" s="773"/>
      <c r="W29" s="774"/>
      <c r="X29" s="1807"/>
      <c r="Y29" s="3259"/>
      <c r="Z29" s="1808"/>
      <c r="AA29" s="1805">
        <v>1</v>
      </c>
      <c r="AB29" s="1805">
        <v>1</v>
      </c>
      <c r="AC29" s="1805">
        <v>1</v>
      </c>
    </row>
    <row r="30" spans="1:29" ht="15">
      <c r="A30" s="427"/>
      <c r="B30" s="653" t="s">
        <v>2745</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59"/>
      <c r="Q30" s="1804" t="str">
        <f t="shared" si="8"/>
        <v>土地级别</v>
      </c>
      <c r="R30" s="773" t="s">
        <v>17</v>
      </c>
      <c r="S30" s="774">
        <f t="shared" si="10"/>
        <v>100</v>
      </c>
      <c r="T30" s="773" t="s">
        <v>17</v>
      </c>
      <c r="U30" s="774">
        <f t="shared" si="11"/>
        <v>100</v>
      </c>
      <c r="V30" s="773" t="s">
        <v>17</v>
      </c>
      <c r="W30" s="774">
        <f t="shared" si="12"/>
        <v>100</v>
      </c>
      <c r="X30" s="1807"/>
      <c r="Y30" s="3259"/>
      <c r="Z30" s="1808" t="str">
        <f t="shared" si="13"/>
        <v>土地级别</v>
      </c>
      <c r="AA30" s="1805">
        <f t="shared" si="3"/>
        <v>1</v>
      </c>
      <c r="AB30" s="1805">
        <f t="shared" si="4"/>
        <v>1</v>
      </c>
      <c r="AC30" s="1805">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59"/>
      <c r="Q31" s="1804">
        <f t="shared" si="8"/>
        <v>111</v>
      </c>
      <c r="R31" s="773" t="s">
        <v>17</v>
      </c>
      <c r="S31" s="774">
        <f t="shared" si="10"/>
        <v>100</v>
      </c>
      <c r="T31" s="773" t="s">
        <v>17</v>
      </c>
      <c r="U31" s="774">
        <f t="shared" si="11"/>
        <v>100</v>
      </c>
      <c r="V31" s="773" t="s">
        <v>17</v>
      </c>
      <c r="W31" s="774">
        <f t="shared" si="12"/>
        <v>100</v>
      </c>
      <c r="X31" s="1807"/>
      <c r="Y31" s="3259"/>
      <c r="Z31" s="1808">
        <f t="shared" si="13"/>
        <v>111</v>
      </c>
      <c r="AA31" s="1805">
        <f t="shared" si="3"/>
        <v>1</v>
      </c>
      <c r="AB31" s="1805">
        <f t="shared" si="4"/>
        <v>1</v>
      </c>
      <c r="AC31" s="1805">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288" t="s">
        <v>2560</v>
      </c>
      <c r="Q32" s="1804">
        <f t="shared" si="8"/>
        <v>111</v>
      </c>
      <c r="R32" s="773" t="s">
        <v>17</v>
      </c>
      <c r="S32" s="774">
        <f t="shared" si="10"/>
        <v>100</v>
      </c>
      <c r="T32" s="773" t="s">
        <v>17</v>
      </c>
      <c r="U32" s="774">
        <f t="shared" si="11"/>
        <v>100</v>
      </c>
      <c r="V32" s="773" t="s">
        <v>17</v>
      </c>
      <c r="W32" s="774">
        <f t="shared" si="12"/>
        <v>100</v>
      </c>
      <c r="X32" s="1807"/>
      <c r="Y32" s="3263" t="s">
        <v>2560</v>
      </c>
      <c r="Z32" s="1808">
        <f t="shared" si="13"/>
        <v>111</v>
      </c>
      <c r="AA32" s="1805">
        <f t="shared" si="3"/>
        <v>1</v>
      </c>
      <c r="AB32" s="1805">
        <f t="shared" si="4"/>
        <v>1</v>
      </c>
      <c r="AC32" s="1805">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63"/>
      <c r="Q33" s="1804">
        <f t="shared" si="8"/>
        <v>111</v>
      </c>
      <c r="R33" s="776" t="s">
        <v>17</v>
      </c>
      <c r="S33" s="777">
        <f t="shared" si="10"/>
        <v>100</v>
      </c>
      <c r="T33" s="776" t="s">
        <v>17</v>
      </c>
      <c r="U33" s="777">
        <f t="shared" si="11"/>
        <v>100</v>
      </c>
      <c r="V33" s="776" t="s">
        <v>17</v>
      </c>
      <c r="W33" s="777">
        <f t="shared" si="12"/>
        <v>100</v>
      </c>
      <c r="X33" s="778"/>
      <c r="Y33" s="3263"/>
      <c r="Z33" s="779">
        <f t="shared" si="13"/>
        <v>111</v>
      </c>
      <c r="AA33" s="1805">
        <f t="shared" si="3"/>
        <v>1</v>
      </c>
      <c r="AB33" s="1805">
        <f t="shared" si="4"/>
        <v>1</v>
      </c>
      <c r="AC33" s="1805">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63"/>
      <c r="Q34" s="1804" t="str">
        <f>B34</f>
        <v>宗地面积</v>
      </c>
      <c r="R34" s="773" t="s">
        <v>17</v>
      </c>
      <c r="S34" s="774" t="e">
        <f t="shared" si="10"/>
        <v>#N/A</v>
      </c>
      <c r="T34" s="773" t="s">
        <v>17</v>
      </c>
      <c r="U34" s="774" t="e">
        <f t="shared" si="11"/>
        <v>#N/A</v>
      </c>
      <c r="V34" s="773" t="s">
        <v>17</v>
      </c>
      <c r="W34" s="774" t="e">
        <f t="shared" si="12"/>
        <v>#N/A</v>
      </c>
      <c r="X34" s="1807"/>
      <c r="Y34" s="3263"/>
      <c r="Z34" s="1808" t="str">
        <f t="shared" si="13"/>
        <v>宗地面积</v>
      </c>
      <c r="AA34" s="1805" t="e">
        <f t="shared" si="3"/>
        <v>#N/A</v>
      </c>
      <c r="AB34" s="1805" t="e">
        <f t="shared" si="4"/>
        <v>#N/A</v>
      </c>
      <c r="AC34" s="1805"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63"/>
      <c r="Q35" s="1804" t="str">
        <f t="shared" ref="Q35:Q40" si="14">B35</f>
        <v>宗地形状</v>
      </c>
      <c r="R35" s="773" t="s">
        <v>17</v>
      </c>
      <c r="S35" s="774">
        <f t="shared" si="10"/>
        <v>100</v>
      </c>
      <c r="T35" s="773" t="s">
        <v>17</v>
      </c>
      <c r="U35" s="774">
        <f t="shared" si="11"/>
        <v>100</v>
      </c>
      <c r="V35" s="773" t="s">
        <v>17</v>
      </c>
      <c r="W35" s="774">
        <f t="shared" si="12"/>
        <v>100</v>
      </c>
      <c r="X35" s="1807"/>
      <c r="Y35" s="3263"/>
      <c r="Z35" s="1808" t="str">
        <f t="shared" si="13"/>
        <v>宗地形状</v>
      </c>
      <c r="AA35" s="1805">
        <f t="shared" si="3"/>
        <v>1</v>
      </c>
      <c r="AB35" s="1805">
        <f t="shared" si="4"/>
        <v>1</v>
      </c>
      <c r="AC35" s="1805">
        <f t="shared" si="5"/>
        <v>1</v>
      </c>
    </row>
    <row r="36" spans="1:29" s="116" customFormat="1" ht="15">
      <c r="A36" s="472"/>
      <c r="B36" s="421" t="s">
        <v>2749</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28"/>
      <c r="M36" s="1129"/>
      <c r="N36" s="1129"/>
      <c r="O36" s="1130"/>
      <c r="P36" s="3263"/>
      <c r="Q36" s="1804" t="str">
        <f t="shared" si="14"/>
        <v>宗地开发程度</v>
      </c>
      <c r="R36" s="769" t="s">
        <v>17</v>
      </c>
      <c r="S36" s="770">
        <f t="shared" si="10"/>
        <v>100</v>
      </c>
      <c r="T36" s="769" t="s">
        <v>17</v>
      </c>
      <c r="U36" s="770">
        <f t="shared" si="11"/>
        <v>100</v>
      </c>
      <c r="V36" s="769" t="s">
        <v>17</v>
      </c>
      <c r="W36" s="770">
        <f t="shared" si="12"/>
        <v>100</v>
      </c>
      <c r="X36" s="771"/>
      <c r="Y36" s="3263"/>
      <c r="Z36" s="55" t="str">
        <f t="shared" si="13"/>
        <v>宗地开发程度</v>
      </c>
      <c r="AA36" s="772">
        <f t="shared" si="3"/>
        <v>1</v>
      </c>
      <c r="AB36" s="772">
        <f t="shared" si="4"/>
        <v>1</v>
      </c>
      <c r="AC36" s="772">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63" t="s">
        <v>2560</v>
      </c>
      <c r="Q37" s="1804" t="str">
        <f t="shared" si="14"/>
        <v>工程地质条件</v>
      </c>
      <c r="R37" s="773" t="s">
        <v>17</v>
      </c>
      <c r="S37" s="774">
        <f t="shared" si="10"/>
        <v>100</v>
      </c>
      <c r="T37" s="773" t="s">
        <v>17</v>
      </c>
      <c r="U37" s="774">
        <f t="shared" si="11"/>
        <v>100</v>
      </c>
      <c r="V37" s="773" t="s">
        <v>17</v>
      </c>
      <c r="W37" s="774">
        <f t="shared" si="12"/>
        <v>100</v>
      </c>
      <c r="X37" s="1807"/>
      <c r="Y37" s="3263" t="s">
        <v>2560</v>
      </c>
      <c r="Z37" s="1808" t="str">
        <f t="shared" si="13"/>
        <v>工程地质条件</v>
      </c>
      <c r="AA37" s="1805">
        <f t="shared" si="3"/>
        <v>1</v>
      </c>
      <c r="AB37" s="1805">
        <f t="shared" si="4"/>
        <v>1</v>
      </c>
      <c r="AC37" s="1805">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63"/>
      <c r="Q38" s="1804">
        <f t="shared" si="14"/>
        <v>111</v>
      </c>
      <c r="R38" s="773" t="s">
        <v>17</v>
      </c>
      <c r="S38" s="774">
        <f t="shared" si="10"/>
        <v>100</v>
      </c>
      <c r="T38" s="773" t="s">
        <v>17</v>
      </c>
      <c r="U38" s="774">
        <f t="shared" si="11"/>
        <v>100</v>
      </c>
      <c r="V38" s="773" t="s">
        <v>17</v>
      </c>
      <c r="W38" s="774">
        <f t="shared" si="12"/>
        <v>100</v>
      </c>
      <c r="X38" s="1807"/>
      <c r="Y38" s="3263"/>
      <c r="Z38" s="1808">
        <f t="shared" si="13"/>
        <v>111</v>
      </c>
      <c r="AA38" s="1805">
        <f t="shared" si="3"/>
        <v>1</v>
      </c>
      <c r="AB38" s="1805">
        <f t="shared" si="4"/>
        <v>1</v>
      </c>
      <c r="AC38" s="1805">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63"/>
      <c r="Q39" s="1804">
        <f t="shared" si="14"/>
        <v>111</v>
      </c>
      <c r="R39" s="773" t="s">
        <v>17</v>
      </c>
      <c r="S39" s="774">
        <f t="shared" si="10"/>
        <v>100</v>
      </c>
      <c r="T39" s="773" t="s">
        <v>17</v>
      </c>
      <c r="U39" s="774">
        <f t="shared" si="11"/>
        <v>100</v>
      </c>
      <c r="V39" s="773" t="s">
        <v>17</v>
      </c>
      <c r="W39" s="774">
        <f t="shared" si="12"/>
        <v>100</v>
      </c>
      <c r="X39" s="1807"/>
      <c r="Y39" s="3263"/>
      <c r="Z39" s="1808">
        <f t="shared" si="13"/>
        <v>111</v>
      </c>
      <c r="AA39" s="1805">
        <f t="shared" si="3"/>
        <v>1</v>
      </c>
      <c r="AB39" s="1805">
        <f t="shared" si="4"/>
        <v>1</v>
      </c>
      <c r="AC39" s="1805">
        <f t="shared" si="5"/>
        <v>1</v>
      </c>
    </row>
    <row r="40" spans="1:29" s="470" customFormat="1" ht="15.75" thickBot="1">
      <c r="A40" s="467"/>
      <c r="B40" s="1383">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63"/>
      <c r="Q40" s="1804">
        <f t="shared" si="14"/>
        <v>111</v>
      </c>
      <c r="R40" s="776" t="s">
        <v>17</v>
      </c>
      <c r="S40" s="777">
        <f t="shared" si="10"/>
        <v>100</v>
      </c>
      <c r="T40" s="776" t="s">
        <v>17</v>
      </c>
      <c r="U40" s="777">
        <f t="shared" si="11"/>
        <v>100</v>
      </c>
      <c r="V40" s="776" t="s">
        <v>17</v>
      </c>
      <c r="W40" s="777">
        <f t="shared" si="12"/>
        <v>100</v>
      </c>
      <c r="X40" s="778"/>
      <c r="Y40" s="3263"/>
      <c r="Z40" s="779">
        <f t="shared" si="13"/>
        <v>111</v>
      </c>
      <c r="AA40" s="1805">
        <f t="shared" si="3"/>
        <v>1</v>
      </c>
      <c r="AB40" s="1805">
        <f t="shared" si="4"/>
        <v>1</v>
      </c>
      <c r="AC40" s="1805">
        <f t="shared" si="5"/>
        <v>1</v>
      </c>
    </row>
    <row r="41" spans="1:29" ht="15">
      <c r="A41" s="478" t="s">
        <v>2715</v>
      </c>
      <c r="B41" s="2696" t="s">
        <v>2795</v>
      </c>
      <c r="C41" s="681" t="s">
        <v>1</v>
      </c>
      <c r="D41" s="480"/>
      <c r="E41" s="481"/>
      <c r="F41" s="482"/>
      <c r="G41" s="483"/>
      <c r="H41" s="484"/>
      <c r="I41" s="481"/>
      <c r="J41" s="484"/>
      <c r="K41" s="782"/>
      <c r="L41" s="1139"/>
      <c r="M41" s="1127"/>
      <c r="N41" s="1127"/>
      <c r="O41" s="1140"/>
      <c r="P41" s="3265" t="str">
        <f>A41</f>
        <v>成交单价</v>
      </c>
      <c r="Q41" s="3265"/>
      <c r="R41" s="3251">
        <f>E41</f>
        <v>0</v>
      </c>
      <c r="S41" s="3251"/>
      <c r="T41" s="3251">
        <f>G41</f>
        <v>0</v>
      </c>
      <c r="U41" s="3251"/>
      <c r="V41" s="3251">
        <f>I41</f>
        <v>0</v>
      </c>
      <c r="W41" s="3251"/>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39"/>
      <c r="M42" s="1127"/>
      <c r="N42" s="1127"/>
      <c r="O42" s="1140"/>
      <c r="P42" s="3265" t="str">
        <f>A42</f>
        <v>比较价值（元/平方米）</v>
      </c>
      <c r="Q42" s="3265"/>
      <c r="R42" s="3289" t="e">
        <f>ROUND(PRODUCT(R41,AA7:AA40),0)</f>
        <v>#DIV/0!</v>
      </c>
      <c r="S42" s="3289"/>
      <c r="T42" s="3289" t="e">
        <f>ROUND(PRODUCT(T41,AB7:AB40),0)</f>
        <v>#DIV/0!</v>
      </c>
      <c r="U42" s="3289"/>
      <c r="V42" s="3289" t="e">
        <f>ROUND(PRODUCT(V41,AC7:AC40),0)</f>
        <v>#DIV/0!</v>
      </c>
      <c r="W42" s="3289"/>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39"/>
      <c r="M43" s="1127"/>
      <c r="N43" s="1127"/>
      <c r="O43" s="1140"/>
      <c r="P43" s="3267" t="str">
        <f>A43</f>
        <v>估价对象XX用房的比较价值（楼面单价，元/平方米）</v>
      </c>
      <c r="Q43" s="3268"/>
      <c r="R43" s="3290" t="e">
        <f>ROUND(AVERAGE(R42:V42),0)</f>
        <v>#DIV/0!</v>
      </c>
      <c r="S43" s="3290"/>
      <c r="T43" s="3290"/>
      <c r="U43" s="3290"/>
      <c r="V43" s="3290"/>
      <c r="W43" s="3290"/>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2753</v>
      </c>
      <c r="B50" s="684" t="s">
        <v>2754</v>
      </c>
      <c r="C50" s="2697" t="s">
        <v>2755</v>
      </c>
      <c r="D50" s="2698" t="s">
        <v>2756</v>
      </c>
      <c r="E50" s="685" t="s">
        <v>2757</v>
      </c>
      <c r="F50" s="686" t="s">
        <v>2758</v>
      </c>
      <c r="G50" s="3227" t="s">
        <v>2759</v>
      </c>
      <c r="H50" s="3291"/>
      <c r="I50" s="1808" t="s">
        <v>2796</v>
      </c>
      <c r="J50" s="1808">
        <f>项目基本情况!F35</f>
        <v>0</v>
      </c>
      <c r="K50" s="2700" t="s">
        <v>2761</v>
      </c>
      <c r="L50" s="1102"/>
      <c r="M50" s="1140"/>
      <c r="N50" s="1140"/>
      <c r="O50" s="1140"/>
    </row>
    <row r="51" spans="1:17" s="691" customFormat="1">
      <c r="A51" s="687" t="s">
        <v>2762</v>
      </c>
      <c r="B51" s="688" t="e">
        <f>C43</f>
        <v>#DIV/0!</v>
      </c>
      <c r="C51" s="689">
        <v>1</v>
      </c>
      <c r="D51" s="1159">
        <v>1</v>
      </c>
      <c r="E51" s="689">
        <f>'数据-汇总表'!E8+'数据-汇总表'!E9</f>
        <v>19990.119999999995</v>
      </c>
      <c r="F51" s="690" t="e">
        <f t="shared" ref="F51:F60" si="15">ROUND(B51*E51/10000,0)</f>
        <v>#DIV/0!</v>
      </c>
      <c r="G51" s="3255"/>
      <c r="H51" s="3265"/>
      <c r="I51" s="938">
        <v>1</v>
      </c>
      <c r="J51" s="938">
        <v>1</v>
      </c>
      <c r="K51" s="1141"/>
      <c r="L51" s="937"/>
      <c r="M51" s="937"/>
      <c r="N51" s="937"/>
      <c r="O51" s="937"/>
    </row>
    <row r="52" spans="1:17" s="691" customFormat="1">
      <c r="A52" s="692" t="s">
        <v>2763</v>
      </c>
      <c r="B52" s="261" t="e">
        <f>ROUND($C$43*C52*D52,0)</f>
        <v>#DIV/0!</v>
      </c>
      <c r="C52" s="199">
        <f t="shared" ref="C52:C60" si="16">IF($C$50="北京市系数",I52,J52)</f>
        <v>0.6</v>
      </c>
      <c r="D52" s="1160">
        <v>0.25</v>
      </c>
      <c r="E52" s="693"/>
      <c r="F52" s="690" t="e">
        <f t="shared" si="15"/>
        <v>#DIV/0!</v>
      </c>
      <c r="G52" s="3292" t="s">
        <v>2764</v>
      </c>
      <c r="H52" s="1100" t="str">
        <f>项目基本情况!B37</f>
        <v>八级</v>
      </c>
      <c r="I52" s="938">
        <f>SUMIF(修正!A45:A56,H52,修正!B45:B56)</f>
        <v>0.6</v>
      </c>
      <c r="J52" s="939"/>
      <c r="K52" s="1140"/>
      <c r="L52" s="937"/>
      <c r="M52" s="937"/>
      <c r="N52" s="937"/>
      <c r="O52" s="937"/>
    </row>
    <row r="53" spans="1:17" s="691" customFormat="1">
      <c r="A53" s="692" t="s">
        <v>2765</v>
      </c>
      <c r="B53" s="261" t="e">
        <f t="shared" ref="B53:B60" si="17">ROUND($C$43*C53*D53,0)</f>
        <v>#DIV/0!</v>
      </c>
      <c r="C53" s="199">
        <f t="shared" si="16"/>
        <v>0.3</v>
      </c>
      <c r="D53" s="1160">
        <v>0.25</v>
      </c>
      <c r="E53" s="693"/>
      <c r="F53" s="690" t="e">
        <f t="shared" si="15"/>
        <v>#DIV/0!</v>
      </c>
      <c r="G53" s="3292"/>
      <c r="H53" s="1100" t="str">
        <f>项目基本情况!B37</f>
        <v>八级</v>
      </c>
      <c r="I53" s="938">
        <f>SUMIF(修正!A45:A56,H53,修正!C45:C56)</f>
        <v>0.3</v>
      </c>
      <c r="J53" s="939"/>
      <c r="K53" s="1141"/>
      <c r="L53" s="937"/>
      <c r="M53" s="937"/>
      <c r="N53" s="937"/>
      <c r="O53" s="937"/>
    </row>
    <row r="54" spans="1:17" s="691" customFormat="1">
      <c r="A54" s="692" t="s">
        <v>2766</v>
      </c>
      <c r="B54" s="261" t="e">
        <f t="shared" si="17"/>
        <v>#DIV/0!</v>
      </c>
      <c r="C54" s="199">
        <f t="shared" si="16"/>
        <v>0.2</v>
      </c>
      <c r="D54" s="1160">
        <v>0.25</v>
      </c>
      <c r="E54" s="693"/>
      <c r="F54" s="690" t="e">
        <f t="shared" si="15"/>
        <v>#DIV/0!</v>
      </c>
      <c r="G54" s="3292"/>
      <c r="H54" s="1100" t="str">
        <f>项目基本情况!B37</f>
        <v>八级</v>
      </c>
      <c r="I54" s="938">
        <f>SUMIF(修正!A45:A56,H54,修正!D45:D56)</f>
        <v>0.2</v>
      </c>
      <c r="J54" s="939"/>
      <c r="K54" s="1140"/>
      <c r="L54" s="937"/>
      <c r="M54" s="937"/>
      <c r="N54" s="937"/>
      <c r="O54" s="937"/>
    </row>
    <row r="55" spans="1:17" s="691" customFormat="1">
      <c r="A55" s="692" t="s">
        <v>2767</v>
      </c>
      <c r="B55" s="261" t="e">
        <f t="shared" si="17"/>
        <v>#DIV/0!</v>
      </c>
      <c r="C55" s="199">
        <f t="shared" si="16"/>
        <v>0.2</v>
      </c>
      <c r="D55" s="1160">
        <v>0.25</v>
      </c>
      <c r="E55" s="693"/>
      <c r="F55" s="690" t="e">
        <f t="shared" si="15"/>
        <v>#DIV/0!</v>
      </c>
      <c r="G55" s="3292"/>
      <c r="H55" s="1100" t="str">
        <f>项目基本情况!B37</f>
        <v>八级</v>
      </c>
      <c r="I55" s="938">
        <f>SUMIF(修正!A45:A56,H55,修正!E45:E56)</f>
        <v>0.2</v>
      </c>
      <c r="J55" s="939"/>
      <c r="K55" s="1141"/>
      <c r="L55" s="937"/>
      <c r="M55" s="937"/>
      <c r="N55" s="937"/>
      <c r="O55" s="937"/>
    </row>
    <row r="56" spans="1:17" s="691" customFormat="1">
      <c r="A56" s="692" t="s">
        <v>2768</v>
      </c>
      <c r="B56" s="261" t="e">
        <f t="shared" si="17"/>
        <v>#DIV/0!</v>
      </c>
      <c r="C56" s="199">
        <f t="shared" si="16"/>
        <v>0.2</v>
      </c>
      <c r="D56" s="1160">
        <v>0.25</v>
      </c>
      <c r="E56" s="260">
        <f>'数据-汇总表'!E11</f>
        <v>0</v>
      </c>
      <c r="F56" s="690" t="e">
        <f t="shared" si="15"/>
        <v>#DIV/0!</v>
      </c>
      <c r="G56" s="2701" t="s">
        <v>2769</v>
      </c>
      <c r="H56" s="1100" t="str">
        <f>项目基本情况!C37</f>
        <v>八级</v>
      </c>
      <c r="I56" s="938">
        <f>SUMIF(修正!A45:A56,H56,修正!F45:F56)</f>
        <v>0.2</v>
      </c>
      <c r="J56" s="939"/>
      <c r="K56" s="1140"/>
      <c r="L56" s="937"/>
      <c r="M56" s="937"/>
      <c r="N56" s="937"/>
      <c r="O56" s="937"/>
    </row>
    <row r="57" spans="1:17" s="691" customFormat="1">
      <c r="A57" s="692" t="s">
        <v>2770</v>
      </c>
      <c r="B57" s="261" t="e">
        <f t="shared" si="17"/>
        <v>#DIV/0!</v>
      </c>
      <c r="C57" s="199">
        <f t="shared" si="16"/>
        <v>0.2</v>
      </c>
      <c r="D57" s="1160">
        <v>0.25</v>
      </c>
      <c r="E57" s="260">
        <f>'数据-汇总表'!E12</f>
        <v>8182.909999999998</v>
      </c>
      <c r="F57" s="690" t="e">
        <f t="shared" si="15"/>
        <v>#DIV/0!</v>
      </c>
      <c r="G57" s="1105" t="s">
        <v>2771</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2772</v>
      </c>
      <c r="B58" s="261" t="e">
        <f t="shared" si="17"/>
        <v>#DIV/0!</v>
      </c>
      <c r="C58" s="199">
        <f t="shared" si="16"/>
        <v>0.15</v>
      </c>
      <c r="D58" s="1160">
        <v>0.25</v>
      </c>
      <c r="E58" s="260">
        <f>'数据-汇总表'!E13</f>
        <v>35529.1</v>
      </c>
      <c r="F58" s="690" t="e">
        <f t="shared" si="15"/>
        <v>#DIV/0!</v>
      </c>
      <c r="G58" s="1105" t="s">
        <v>2773</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91" customFormat="1">
      <c r="A59" s="692" t="s">
        <v>2774</v>
      </c>
      <c r="B59" s="261" t="e">
        <f t="shared" si="17"/>
        <v>#DIV/0!</v>
      </c>
      <c r="C59" s="199">
        <f t="shared" si="16"/>
        <v>0.15</v>
      </c>
      <c r="D59" s="1160">
        <v>0.25</v>
      </c>
      <c r="E59" s="260">
        <f>'数据-汇总表'!E14</f>
        <v>0</v>
      </c>
      <c r="F59" s="690" t="e">
        <f t="shared" si="15"/>
        <v>#DIV/0!</v>
      </c>
      <c r="G59" s="2701" t="s">
        <v>2764</v>
      </c>
      <c r="H59" s="1100" t="str">
        <f>项目基本情况!B37</f>
        <v>八级</v>
      </c>
      <c r="I59" s="938">
        <f>SUMIF(修正!A45:A56,H59,修正!H45:H56)</f>
        <v>0.15</v>
      </c>
      <c r="J59" s="939"/>
      <c r="K59" s="1141"/>
      <c r="L59" s="937"/>
      <c r="M59" s="937"/>
      <c r="N59" s="937"/>
      <c r="O59" s="937"/>
    </row>
    <row r="60" spans="1:17" s="691" customFormat="1" ht="15" thickBot="1">
      <c r="A60" s="692" t="s">
        <v>2775</v>
      </c>
      <c r="B60" s="261" t="e">
        <f t="shared" si="17"/>
        <v>#DIV/0!</v>
      </c>
      <c r="C60" s="199">
        <f t="shared" si="16"/>
        <v>0.15</v>
      </c>
      <c r="D60" s="1160">
        <v>0.25</v>
      </c>
      <c r="E60" s="260">
        <f>'数据-汇总表'!E15</f>
        <v>0</v>
      </c>
      <c r="F60" s="690" t="e">
        <f t="shared" si="15"/>
        <v>#DIV/0!</v>
      </c>
      <c r="G60" s="2702" t="s">
        <v>2769</v>
      </c>
      <c r="H60" s="1110" t="str">
        <f>项目基本情况!C37</f>
        <v>八级</v>
      </c>
      <c r="I60" s="938">
        <f>SUMIF(修正!A45:A56,H60,修正!H45:H56)</f>
        <v>0.15</v>
      </c>
      <c r="J60" s="939"/>
      <c r="K60" s="1140"/>
      <c r="L60" s="937"/>
      <c r="M60" s="937"/>
      <c r="N60" s="937"/>
      <c r="O60" s="937"/>
    </row>
    <row r="61" spans="1:17" s="691" customFormat="1" ht="15" thickBot="1">
      <c r="A61" s="694" t="s">
        <v>2776</v>
      </c>
      <c r="B61" s="695" t="s">
        <v>28</v>
      </c>
      <c r="C61" s="695" t="s">
        <v>29</v>
      </c>
      <c r="D61" s="695" t="s">
        <v>1029</v>
      </c>
      <c r="E61" s="695">
        <f>IF(B41="楼面地价",SUM(E51:E60),'数据-汇总表'!D3)</f>
        <v>14226.66</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2669</v>
      </c>
      <c r="B64" s="758"/>
      <c r="C64" s="763"/>
      <c r="D64" s="763"/>
      <c r="E64" s="763"/>
      <c r="F64" s="764"/>
      <c r="G64" s="764"/>
      <c r="H64" s="763"/>
      <c r="I64" s="763"/>
      <c r="J64" s="763"/>
      <c r="K64" s="765"/>
      <c r="L64" s="766"/>
      <c r="M64" s="763"/>
      <c r="N64" s="763"/>
      <c r="O64" s="1155"/>
      <c r="P64" s="502"/>
      <c r="Q64" s="503"/>
    </row>
    <row r="65" spans="1:17" s="507" customFormat="1" ht="15">
      <c r="A65" s="2703" t="s">
        <v>2777</v>
      </c>
      <c r="B65" s="1355"/>
      <c r="C65" s="1566" t="str">
        <f>YEAR(C63)&amp;"-"&amp;ROUNDUP(MONTH(C63)/3,0)</f>
        <v>2019-2</v>
      </c>
      <c r="D65" s="1566" t="str">
        <f t="shared" ref="D65:O65" si="19">YEAR(D63)&amp;"-"&amp;ROUNDUP(MONTH(D63)/3,0)</f>
        <v>2019-1</v>
      </c>
      <c r="E65" s="1566" t="str">
        <f t="shared" si="19"/>
        <v>2018-4</v>
      </c>
      <c r="F65" s="1566" t="str">
        <f t="shared" si="19"/>
        <v>2018-3</v>
      </c>
      <c r="G65" s="1566" t="str">
        <f t="shared" si="19"/>
        <v>2018-2</v>
      </c>
      <c r="H65" s="1566" t="str">
        <f t="shared" si="19"/>
        <v>2018-1</v>
      </c>
      <c r="I65" s="1566" t="str">
        <f t="shared" si="19"/>
        <v>2017-4</v>
      </c>
      <c r="J65" s="1566" t="str">
        <f t="shared" si="19"/>
        <v>2017-3</v>
      </c>
      <c r="K65" s="1566" t="str">
        <f t="shared" si="19"/>
        <v>2017-2</v>
      </c>
      <c r="L65" s="1566" t="str">
        <f t="shared" si="19"/>
        <v>2017-1</v>
      </c>
      <c r="M65" s="1566" t="str">
        <f t="shared" si="19"/>
        <v>2016-4</v>
      </c>
      <c r="N65" s="1566" t="str">
        <f t="shared" si="19"/>
        <v>2016-3</v>
      </c>
      <c r="O65" s="1566" t="str">
        <f t="shared" si="19"/>
        <v>2016-2</v>
      </c>
      <c r="P65" s="506"/>
    </row>
    <row r="66" spans="1:17" s="116" customFormat="1" ht="30.75" customHeight="1">
      <c r="A66" s="2708" t="s">
        <v>2797</v>
      </c>
      <c r="B66" s="331" t="str">
        <f>"北京市平均增长率"&amp;TEXT(基准地价修正!P24,"0.00%")</f>
        <v>北京市平均增长率0.00%</v>
      </c>
      <c r="C66" s="602">
        <v>100</v>
      </c>
      <c r="D66" s="594"/>
      <c r="E66" s="594"/>
      <c r="F66" s="594"/>
      <c r="G66" s="594"/>
      <c r="H66" s="594"/>
      <c r="I66" s="594"/>
      <c r="J66" s="594"/>
      <c r="K66" s="594"/>
      <c r="L66" s="594"/>
      <c r="M66" s="1562"/>
      <c r="N66" s="1562"/>
      <c r="O66" s="1563"/>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2583</v>
      </c>
      <c r="B70" s="527" t="s">
        <v>2549</v>
      </c>
      <c r="C70" s="529"/>
      <c r="D70" s="529"/>
      <c r="E70" s="529"/>
      <c r="F70" s="529"/>
      <c r="G70" s="529"/>
      <c r="H70" s="529"/>
      <c r="I70" s="529"/>
      <c r="J70" s="529"/>
      <c r="K70" s="530"/>
      <c r="L70" s="531"/>
      <c r="M70" s="532"/>
      <c r="N70" s="1148"/>
      <c r="O70" s="1148"/>
      <c r="P70" s="45"/>
      <c r="Q70" s="503"/>
    </row>
    <row r="71" spans="1:17" ht="15.75" thickBot="1">
      <c r="A71" s="533"/>
      <c r="B71" s="534"/>
      <c r="C71" s="535"/>
      <c r="D71" s="535"/>
      <c r="E71" s="535"/>
      <c r="F71" s="535"/>
      <c r="G71" s="535"/>
      <c r="H71" s="535"/>
      <c r="I71" s="535"/>
      <c r="J71" s="535"/>
      <c r="K71" s="535"/>
      <c r="L71" s="535"/>
      <c r="M71" s="536"/>
      <c r="N71" s="1149"/>
      <c r="O71" s="1149"/>
      <c r="P71" s="45"/>
      <c r="Q71" s="503"/>
    </row>
    <row r="72" spans="1:17" ht="27.75" thickTop="1">
      <c r="A72" s="533"/>
      <c r="B72" s="537" t="s">
        <v>2552</v>
      </c>
      <c r="C72" s="538"/>
      <c r="D72" s="538"/>
      <c r="E72" s="538"/>
      <c r="F72" s="538"/>
      <c r="G72" s="538"/>
      <c r="H72" s="538"/>
      <c r="I72" s="538"/>
      <c r="J72" s="538"/>
      <c r="K72" s="539"/>
      <c r="L72" s="540"/>
      <c r="M72" s="541"/>
      <c r="N72" s="1148"/>
      <c r="O72" s="1148"/>
      <c r="P72" s="45"/>
      <c r="Q72" s="503"/>
    </row>
    <row r="73" spans="1:17" ht="15.75" thickBot="1">
      <c r="A73" s="533"/>
      <c r="B73" s="542"/>
      <c r="C73" s="543"/>
      <c r="D73" s="543"/>
      <c r="E73" s="543"/>
      <c r="F73" s="543"/>
      <c r="G73" s="543"/>
      <c r="H73" s="543"/>
      <c r="I73" s="543"/>
      <c r="J73" s="543"/>
      <c r="K73" s="543"/>
      <c r="L73" s="543"/>
      <c r="M73" s="544"/>
      <c r="N73" s="1149"/>
      <c r="O73" s="1149"/>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5"/>
      <c r="Q74" s="503"/>
    </row>
    <row r="75" spans="1:17" ht="15">
      <c r="A75" s="533"/>
      <c r="B75" s="547"/>
      <c r="C75" s="548"/>
      <c r="D75" s="548"/>
      <c r="E75" s="548"/>
      <c r="F75" s="548"/>
      <c r="G75" s="548"/>
      <c r="H75" s="548"/>
      <c r="I75" s="548"/>
      <c r="J75" s="548"/>
      <c r="K75" s="549"/>
      <c r="L75" s="550"/>
      <c r="M75" s="551"/>
      <c r="N75" s="1148"/>
      <c r="O75" s="1148"/>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5"/>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8"/>
      <c r="O85" s="1148"/>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47"/>
      <c r="O87" s="1147"/>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47"/>
      <c r="O89" s="1147"/>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48"/>
      <c r="O95" s="1148"/>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5"/>
      <c r="Q96" s="503"/>
    </row>
    <row r="97" spans="1:17" ht="27.75" thickTop="1">
      <c r="A97" s="533"/>
      <c r="B97" s="537" t="s">
        <v>2686</v>
      </c>
      <c r="C97" s="553"/>
      <c r="D97" s="553"/>
      <c r="E97" s="553"/>
      <c r="F97" s="553"/>
      <c r="G97" s="553"/>
      <c r="H97" s="582"/>
      <c r="I97" s="582"/>
      <c r="J97" s="582"/>
      <c r="K97" s="583"/>
      <c r="L97" s="584"/>
      <c r="M97" s="585"/>
      <c r="N97" s="1148"/>
      <c r="O97" s="1148"/>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5"/>
      <c r="Q98" s="503"/>
    </row>
    <row r="99" spans="1:17" ht="15.75" thickTop="1">
      <c r="A99" s="533"/>
      <c r="B99" s="537" t="s">
        <v>2745</v>
      </c>
      <c r="C99" s="582"/>
      <c r="D99" s="582"/>
      <c r="E99" s="582"/>
      <c r="F99" s="582"/>
      <c r="G99" s="582"/>
      <c r="H99" s="582"/>
      <c r="I99" s="582"/>
      <c r="J99" s="582"/>
      <c r="K99" s="583"/>
      <c r="L99" s="584"/>
      <c r="M99" s="585"/>
      <c r="N99" s="1148"/>
      <c r="O99" s="1148"/>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5"/>
      <c r="Q100" s="503"/>
    </row>
    <row r="101" spans="1:17" ht="15.75" thickTop="1">
      <c r="A101" s="533"/>
      <c r="B101" s="545">
        <f>B31</f>
        <v>111</v>
      </c>
      <c r="C101" s="553"/>
      <c r="D101" s="553"/>
      <c r="E101" s="553"/>
      <c r="F101" s="553"/>
      <c r="G101" s="586"/>
      <c r="H101" s="586"/>
      <c r="I101" s="586"/>
      <c r="J101" s="586"/>
      <c r="K101" s="587"/>
      <c r="L101" s="588"/>
      <c r="M101" s="589"/>
      <c r="N101" s="1148"/>
      <c r="O101" s="1148"/>
      <c r="P101" s="45"/>
      <c r="Q101" s="503"/>
    </row>
    <row r="102" spans="1:17" ht="15.75" thickBot="1">
      <c r="A102" s="533"/>
      <c r="B102" s="568"/>
      <c r="C102" s="559"/>
      <c r="D102" s="535"/>
      <c r="E102" s="535"/>
      <c r="F102" s="535"/>
      <c r="G102" s="590"/>
      <c r="H102" s="590"/>
      <c r="I102" s="590"/>
      <c r="J102" s="590"/>
      <c r="K102" s="590"/>
      <c r="L102" s="590"/>
      <c r="M102" s="591"/>
      <c r="N102" s="1149"/>
      <c r="O102" s="1149"/>
      <c r="P102" s="45"/>
      <c r="Q102" s="503"/>
    </row>
    <row r="103" spans="1:17" ht="15" thickTop="1">
      <c r="A103" s="674"/>
      <c r="B103" s="537">
        <f>B32</f>
        <v>111</v>
      </c>
      <c r="C103" s="553"/>
      <c r="D103" s="553"/>
      <c r="E103" s="553"/>
      <c r="F103" s="553"/>
      <c r="G103" s="582"/>
      <c r="H103" s="582"/>
      <c r="I103" s="582"/>
      <c r="J103" s="582"/>
      <c r="K103" s="583"/>
      <c r="L103" s="584"/>
      <c r="M103" s="585"/>
      <c r="N103" s="1148"/>
      <c r="O103" s="1148"/>
      <c r="P103" s="45"/>
      <c r="Q103" s="503"/>
    </row>
    <row r="104" spans="1:17" ht="15.75" thickBot="1">
      <c r="A104" s="533"/>
      <c r="B104" s="542"/>
      <c r="C104" s="559"/>
      <c r="D104" s="559"/>
      <c r="E104" s="559"/>
      <c r="F104" s="559"/>
      <c r="G104" s="535"/>
      <c r="H104" s="535"/>
      <c r="I104" s="535"/>
      <c r="J104" s="535"/>
      <c r="K104" s="535"/>
      <c r="L104" s="535"/>
      <c r="M104" s="536"/>
      <c r="N104" s="1149"/>
      <c r="O104" s="1149"/>
      <c r="P104" s="45"/>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8"/>
      <c r="O107" s="1148"/>
      <c r="P107" s="45"/>
      <c r="Q107" s="503"/>
    </row>
    <row r="108" spans="1:17" ht="15">
      <c r="A108" s="533"/>
      <c r="B108" s="545"/>
      <c r="C108" s="594"/>
      <c r="D108" s="594"/>
      <c r="E108" s="594"/>
      <c r="F108" s="594"/>
      <c r="G108" s="594"/>
      <c r="H108" s="594"/>
      <c r="I108" s="594"/>
      <c r="J108" s="595"/>
      <c r="K108" s="595"/>
      <c r="L108" s="596"/>
      <c r="M108" s="597"/>
      <c r="N108" s="1148"/>
      <c r="O108" s="1148"/>
      <c r="P108" s="45"/>
      <c r="Q108" s="503"/>
    </row>
    <row r="109" spans="1:17" ht="15.75" thickBot="1">
      <c r="A109" s="533"/>
      <c r="B109" s="542"/>
      <c r="C109" s="569"/>
      <c r="D109" s="590"/>
      <c r="E109" s="590"/>
      <c r="F109" s="590"/>
      <c r="G109" s="590"/>
      <c r="H109" s="590"/>
      <c r="I109" s="590"/>
      <c r="J109" s="590"/>
      <c r="K109" s="590"/>
      <c r="L109" s="590"/>
      <c r="M109" s="591"/>
      <c r="N109" s="1149"/>
      <c r="O109" s="1149"/>
      <c r="P109" s="45"/>
      <c r="Q109" s="503"/>
    </row>
    <row r="110" spans="1:17" ht="15" thickTop="1">
      <c r="A110" s="598"/>
      <c r="B110" s="537" t="s">
        <v>2787</v>
      </c>
      <c r="C110" s="582"/>
      <c r="D110" s="582"/>
      <c r="E110" s="582"/>
      <c r="F110" s="582"/>
      <c r="G110" s="582"/>
      <c r="H110" s="582"/>
      <c r="I110" s="582"/>
      <c r="J110" s="582"/>
      <c r="K110" s="583"/>
      <c r="L110" s="584"/>
      <c r="M110" s="585"/>
      <c r="N110" s="1148"/>
      <c r="O110" s="1148"/>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5"/>
      <c r="Q111" s="503"/>
    </row>
    <row r="112" spans="1:17" s="470" customFormat="1" ht="15" thickTop="1">
      <c r="A112" s="592"/>
      <c r="B112" s="537" t="s">
        <v>2789</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2790</v>
      </c>
      <c r="C114" s="553"/>
      <c r="D114" s="553"/>
      <c r="E114" s="582"/>
      <c r="F114" s="582"/>
      <c r="G114" s="582"/>
      <c r="H114" s="582"/>
      <c r="I114" s="582"/>
      <c r="J114" s="582"/>
      <c r="K114" s="583"/>
      <c r="L114" s="584"/>
      <c r="M114" s="585"/>
      <c r="N114" s="1148"/>
      <c r="O114" s="1148"/>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5"/>
      <c r="Q115" s="503"/>
    </row>
    <row r="116" spans="1:17" ht="15" thickTop="1">
      <c r="A116" s="598"/>
      <c r="B116" s="537">
        <f>B38</f>
        <v>111</v>
      </c>
      <c r="C116" s="553"/>
      <c r="D116" s="553"/>
      <c r="E116" s="553"/>
      <c r="F116" s="553"/>
      <c r="G116" s="553"/>
      <c r="H116" s="582"/>
      <c r="I116" s="582"/>
      <c r="J116" s="582"/>
      <c r="K116" s="583"/>
      <c r="L116" s="584"/>
      <c r="M116" s="585"/>
      <c r="N116" s="1148"/>
      <c r="O116" s="1148"/>
      <c r="P116" s="45"/>
      <c r="Q116" s="503"/>
    </row>
    <row r="117" spans="1:17" ht="15.75" thickBot="1">
      <c r="A117" s="533"/>
      <c r="B117" s="542"/>
      <c r="C117" s="559"/>
      <c r="D117" s="535"/>
      <c r="E117" s="535"/>
      <c r="F117" s="535"/>
      <c r="G117" s="535"/>
      <c r="H117" s="535"/>
      <c r="I117" s="535"/>
      <c r="J117" s="535"/>
      <c r="K117" s="535"/>
      <c r="L117" s="535"/>
      <c r="M117" s="536"/>
      <c r="N117" s="1149"/>
      <c r="O117" s="1149"/>
      <c r="P117" s="45"/>
      <c r="Q117" s="503"/>
    </row>
    <row r="118" spans="1:17" ht="15" thickTop="1">
      <c r="A118" s="598"/>
      <c r="B118" s="537">
        <f>B39</f>
        <v>111</v>
      </c>
      <c r="C118" s="553"/>
      <c r="D118" s="553"/>
      <c r="E118" s="553"/>
      <c r="F118" s="553"/>
      <c r="G118" s="582"/>
      <c r="H118" s="582"/>
      <c r="I118" s="582"/>
      <c r="J118" s="582"/>
      <c r="K118" s="583"/>
      <c r="L118" s="584"/>
      <c r="M118" s="585"/>
      <c r="N118" s="1148"/>
      <c r="O118" s="1148"/>
      <c r="P118" s="45"/>
      <c r="Q118" s="503"/>
    </row>
    <row r="119" spans="1:17" ht="15.75" thickBot="1">
      <c r="A119" s="533"/>
      <c r="B119" s="542"/>
      <c r="C119" s="559"/>
      <c r="D119" s="559"/>
      <c r="E119" s="559"/>
      <c r="F119" s="559"/>
      <c r="G119" s="535"/>
      <c r="H119" s="535"/>
      <c r="I119" s="535"/>
      <c r="J119" s="535"/>
      <c r="K119" s="535"/>
      <c r="L119" s="535"/>
      <c r="M119" s="536"/>
      <c r="N119" s="1149"/>
      <c r="O119" s="1149"/>
      <c r="P119" s="45"/>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8" customWidth="1"/>
    <col min="33" max="36" width="9.375" style="2788" customWidth="1"/>
    <col min="37" max="38" width="9.375" style="2712" customWidth="1"/>
    <col min="39" max="16384" width="12" style="2712"/>
  </cols>
  <sheetData>
    <row r="1" spans="1:36" ht="28.5">
      <c r="A1" s="239" t="s">
        <v>2799</v>
      </c>
      <c r="B1" s="240"/>
      <c r="C1" s="244" t="s">
        <v>2800</v>
      </c>
      <c r="D1" s="387">
        <f>SUM(D29:D30,D33:D39)</f>
        <v>10000</v>
      </c>
      <c r="E1" s="2709"/>
      <c r="F1" s="2709"/>
      <c r="G1" s="2709"/>
      <c r="H1" s="2709"/>
      <c r="I1" s="2709"/>
      <c r="J1" s="2709"/>
      <c r="K1" s="1366"/>
      <c r="L1" s="2710" t="s">
        <v>2801</v>
      </c>
      <c r="M1" s="1076">
        <f>SUMPRODUCT((区片价!B5:B9=I2)*(区片价!C3:F3=E2)*(区片价!C5:F9))</f>
        <v>0</v>
      </c>
      <c r="N1" s="1079">
        <f>SUMPRODUCT((因素修正幅度!B5:B9=I2)*(因素修正幅度!C3:F3=E2)*(因素修正幅度!C5:F9))</f>
        <v>0</v>
      </c>
      <c r="O1" s="2711"/>
      <c r="P1" s="2711"/>
      <c r="Q1" s="1366"/>
      <c r="R1" s="1596" t="s">
        <v>2802</v>
      </c>
      <c r="S1" s="1596" t="s">
        <v>2803</v>
      </c>
      <c r="T1" s="1596" t="s">
        <v>2804</v>
      </c>
      <c r="U1" s="1596" t="s">
        <v>2805</v>
      </c>
      <c r="V1" s="1596" t="s">
        <v>2806</v>
      </c>
      <c r="W1" s="1600"/>
      <c r="X1" s="1600"/>
      <c r="Y1" s="1600"/>
      <c r="Z1" s="1600"/>
      <c r="AA1" s="1600"/>
      <c r="AB1" s="1600"/>
      <c r="AC1" s="1601"/>
      <c r="AD1" s="1602"/>
      <c r="AE1" s="1602"/>
      <c r="AF1" s="1602"/>
      <c r="AG1" s="1602"/>
      <c r="AH1" s="1602"/>
      <c r="AI1" s="1602"/>
      <c r="AJ1" s="1603"/>
    </row>
    <row r="2" spans="1:36" ht="15.75">
      <c r="A2" s="244" t="s">
        <v>2807</v>
      </c>
      <c r="B2" s="247" t="e">
        <f ca="1">C26</f>
        <v>#DIV/0!</v>
      </c>
      <c r="C2" s="2713" t="s">
        <v>2808</v>
      </c>
      <c r="D2" s="2714" t="s">
        <v>2809</v>
      </c>
      <c r="E2" s="2715" t="s">
        <v>27</v>
      </c>
      <c r="F2" s="2714" t="s">
        <v>2810</v>
      </c>
      <c r="G2" s="2716" t="str">
        <f>IF(E2="商业",项目基本情况!B37,IF(E2="办公",项目基本情况!C37,IF(E2="住宅",项目基本情况!D37,项目基本情况!E37)))</f>
        <v>八级</v>
      </c>
      <c r="H2" s="2714" t="s">
        <v>2811</v>
      </c>
      <c r="I2" s="2716" t="str">
        <f>IF(E2="商业",项目基本情况!B38,IF(E2="办公",项目基本情况!C38,IF(E2="住宅",项目基本情况!D38,项目基本情况!E38)))</f>
        <v>Ⅷ-昌1</v>
      </c>
      <c r="J2" s="2717"/>
      <c r="K2" s="1366"/>
      <c r="L2" s="2718" t="s">
        <v>2812</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1.9419999999999999</v>
      </c>
      <c r="T2" s="1596" t="e">
        <f ca="1">ROUND($C$5*$C$18*$C$19*$C$20*S2*$C$24,0)</f>
        <v>#DIV/0!</v>
      </c>
      <c r="U2" s="1597"/>
      <c r="V2" s="1596" t="e">
        <f ca="1">ROUND(T2*U2/10000,0)</f>
        <v>#DIV/0!</v>
      </c>
      <c r="W2" s="1600"/>
      <c r="X2" s="1600"/>
      <c r="Y2" s="1600"/>
      <c r="Z2" s="1600"/>
      <c r="AA2" s="1600"/>
      <c r="AB2" s="1600"/>
      <c r="AC2" s="1601"/>
      <c r="AD2" s="1602"/>
      <c r="AE2" s="1602"/>
      <c r="AF2" s="1602"/>
      <c r="AG2" s="1602"/>
      <c r="AH2" s="1602"/>
      <c r="AI2" s="1602"/>
      <c r="AJ2" s="1603"/>
    </row>
    <row r="3" spans="1:36" ht="25.5">
      <c r="A3" s="246" t="s">
        <v>2813</v>
      </c>
      <c r="B3" s="247" t="e">
        <f ca="1">ROUND(B2*10000/D1,0)</f>
        <v>#DIV/0!</v>
      </c>
      <c r="C3" s="2713" t="s">
        <v>2814</v>
      </c>
      <c r="D3" s="2714" t="s">
        <v>2815</v>
      </c>
      <c r="E3" s="2719" t="s">
        <v>3043</v>
      </c>
      <c r="F3" s="2720" t="s">
        <v>2816</v>
      </c>
      <c r="G3" s="909">
        <f>IF(F3="宗地容积率",'数据-汇总表'!I4,IF(F3="估价对象容积率",'数据-汇总表'!I6,'数据-汇总表'!I7))</f>
        <v>1.41</v>
      </c>
      <c r="H3" s="197" t="s">
        <v>2817</v>
      </c>
      <c r="I3" s="940"/>
      <c r="J3" s="2717" t="s">
        <v>2818</v>
      </c>
      <c r="K3" s="1366"/>
      <c r="L3" s="2718" t="s">
        <v>2819</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1.2799</v>
      </c>
      <c r="T3" s="1596" t="e">
        <f t="shared" ref="T3:T16" ca="1" si="0">ROUND($C$5*$C$18*$C$19*$C$20*S3*$C$24,0)</f>
        <v>#DIV/0!</v>
      </c>
      <c r="U3" s="1597"/>
      <c r="V3" s="1596" t="e">
        <f t="shared" ref="V3:V16" ca="1" si="1">ROUND(T3*U3/10000,0)</f>
        <v>#DIV/0!</v>
      </c>
      <c r="W3" s="1600"/>
      <c r="X3" s="1600"/>
      <c r="Y3" s="1600"/>
      <c r="Z3" s="1600"/>
      <c r="AA3" s="1600"/>
      <c r="AB3" s="1600"/>
      <c r="AC3" s="1601"/>
      <c r="AD3" s="1602"/>
      <c r="AE3" s="1602"/>
      <c r="AF3" s="1602"/>
      <c r="AG3" s="1602"/>
      <c r="AH3" s="1602"/>
      <c r="AI3" s="1602"/>
      <c r="AJ3" s="1603"/>
    </row>
    <row r="4" spans="1:36" ht="15.75">
      <c r="A4" s="3303"/>
      <c r="B4" s="3304"/>
      <c r="C4" s="3304"/>
      <c r="D4" s="3305"/>
      <c r="E4" s="3305"/>
      <c r="F4" s="3305"/>
      <c r="G4" s="3305"/>
      <c r="H4" s="3305"/>
      <c r="I4" s="3305"/>
      <c r="J4" s="3306"/>
      <c r="K4" s="1366"/>
      <c r="L4" s="2718" t="s">
        <v>2820</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1.0072000000000001</v>
      </c>
      <c r="T4" s="1596" t="e">
        <f t="shared" ca="1" si="0"/>
        <v>#DIV/0!</v>
      </c>
      <c r="U4" s="1597"/>
      <c r="V4" s="1596" t="e">
        <f t="shared" ca="1" si="1"/>
        <v>#DIV/0!</v>
      </c>
      <c r="W4" s="1600"/>
      <c r="X4" s="1600"/>
      <c r="Y4" s="1600"/>
      <c r="Z4" s="1600"/>
      <c r="AA4" s="1600"/>
      <c r="AB4" s="1600"/>
      <c r="AC4" s="1601"/>
      <c r="AD4" s="1602"/>
      <c r="AE4" s="1602"/>
      <c r="AF4" s="1602"/>
      <c r="AG4" s="1602"/>
      <c r="AH4" s="1602"/>
      <c r="AI4" s="1602"/>
      <c r="AJ4" s="1603"/>
    </row>
    <row r="5" spans="1:36" s="2730" customFormat="1" ht="15.75" thickBot="1">
      <c r="A5" s="2721" t="s">
        <v>807</v>
      </c>
      <c r="B5" s="2722" t="s">
        <v>2821</v>
      </c>
      <c r="C5" s="910">
        <f>ROUND(IF(E2="商业",IF(F16="增加",C6*C7+C16,C6*C7-C16),IF(E2="住宅",IF(F16="增加",C6*C12+C16,C6*C12-C16),IF(F16="增加",C6+C16,C6-C16))),0)</f>
        <v>5480</v>
      </c>
      <c r="D5" s="1781">
        <f>ROUND(IF(E2="商业",IF(F16="增加",C6+C16,C6-C16)),0)</f>
        <v>0</v>
      </c>
      <c r="E5" s="2723"/>
      <c r="F5" s="2723"/>
      <c r="G5" s="2724"/>
      <c r="H5" s="2724"/>
      <c r="I5" s="2724"/>
      <c r="J5" s="2725"/>
      <c r="K5" s="2726"/>
      <c r="L5" s="2718" t="s">
        <v>2822</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0.75249999999999995</v>
      </c>
      <c r="T5" s="1596" t="e">
        <f t="shared" ca="1" si="0"/>
        <v>#DIV/0!</v>
      </c>
      <c r="U5" s="1597"/>
      <c r="V5" s="1596" t="e">
        <f t="shared" ca="1" si="1"/>
        <v>#DIV/0!</v>
      </c>
      <c r="W5" s="1600"/>
      <c r="X5" s="1600"/>
      <c r="Y5" s="1600"/>
      <c r="Z5" s="1600"/>
      <c r="AA5" s="1600"/>
      <c r="AB5" s="1600"/>
      <c r="AC5" s="2727"/>
      <c r="AD5" s="2728"/>
      <c r="AE5" s="2728"/>
      <c r="AF5" s="2728"/>
      <c r="AG5" s="2728"/>
      <c r="AH5" s="2728"/>
      <c r="AI5" s="2728"/>
      <c r="AJ5" s="2729"/>
    </row>
    <row r="6" spans="1:36" ht="15.75" thickBot="1">
      <c r="A6" s="2731" t="s">
        <v>2823</v>
      </c>
      <c r="B6" s="2732" t="s">
        <v>2824</v>
      </c>
      <c r="C6" s="911">
        <f>SUMIF(L1:L12,G2,M1:M12)</f>
        <v>5500</v>
      </c>
      <c r="D6" s="2733" t="s">
        <v>2825</v>
      </c>
      <c r="E6" s="2734"/>
      <c r="F6" s="2734"/>
      <c r="G6" s="2735"/>
      <c r="H6" s="2735"/>
      <c r="I6" s="2735"/>
      <c r="J6" s="2736"/>
      <c r="K6" s="1836"/>
      <c r="L6" s="2718" t="s">
        <v>2826</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0.56589999999999996</v>
      </c>
      <c r="T6" s="1596" t="e">
        <f t="shared" ca="1" si="0"/>
        <v>#DIV/0!</v>
      </c>
      <c r="U6" s="1597"/>
      <c r="V6" s="1596" t="e">
        <f t="shared" ca="1" si="1"/>
        <v>#DIV/0!</v>
      </c>
      <c r="W6" s="1600"/>
      <c r="X6" s="1600"/>
      <c r="Y6" s="1600"/>
      <c r="Z6" s="1600"/>
      <c r="AA6" s="1600"/>
      <c r="AB6" s="1600"/>
      <c r="AC6" s="2727"/>
      <c r="AD6" s="2728"/>
      <c r="AE6" s="2728"/>
      <c r="AF6" s="2728"/>
      <c r="AG6" s="2728"/>
      <c r="AH6" s="2728"/>
      <c r="AI6" s="2728"/>
      <c r="AJ6" s="2729"/>
    </row>
    <row r="7" spans="1:36" ht="24">
      <c r="A7" s="3307" t="str">
        <f>IF(E2="商业",IF(C8="不临58条商业街","",2),"")</f>
        <v/>
      </c>
      <c r="B7" s="2737" t="s">
        <v>2827</v>
      </c>
      <c r="C7" s="912" t="e">
        <f>IF(C8="不临58条商业街",1,ROUND(1+(1.6*E8+1.2*E9+0.8*E10+0.4*E11)*C9,4))</f>
        <v>#DIV/0!</v>
      </c>
      <c r="D7" s="2738" t="s">
        <v>2828</v>
      </c>
      <c r="E7" s="941"/>
      <c r="F7" s="2739"/>
      <c r="G7" s="2740"/>
      <c r="H7" s="2740"/>
      <c r="I7" s="2740"/>
      <c r="J7" s="2741"/>
      <c r="K7" s="1836"/>
      <c r="L7" s="2718" t="s">
        <v>2829</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0.45250000000000001</v>
      </c>
      <c r="T7" s="1596" t="e">
        <f t="shared" ca="1" si="0"/>
        <v>#DIV/0!</v>
      </c>
      <c r="U7" s="1597"/>
      <c r="V7" s="1596" t="e">
        <f t="shared" ca="1" si="1"/>
        <v>#DIV/0!</v>
      </c>
      <c r="W7" s="1810" t="s">
        <v>2830</v>
      </c>
      <c r="X7" s="1598" t="str">
        <f>G2</f>
        <v>八级</v>
      </c>
      <c r="Y7" s="1598" t="s">
        <v>2831</v>
      </c>
      <c r="Z7" s="1599">
        <f>G3</f>
        <v>1.41</v>
      </c>
      <c r="AA7" s="1600"/>
      <c r="AB7" s="1600"/>
      <c r="AC7" s="1601"/>
      <c r="AD7" s="1602"/>
      <c r="AE7" s="1602"/>
      <c r="AF7" s="1602"/>
      <c r="AG7" s="1602"/>
      <c r="AH7" s="1602"/>
      <c r="AI7" s="1602"/>
      <c r="AJ7" s="1603"/>
    </row>
    <row r="8" spans="1:36" ht="15">
      <c r="A8" s="3308"/>
      <c r="B8" s="197" t="s">
        <v>2832</v>
      </c>
      <c r="C8" s="2742"/>
      <c r="D8" s="913" t="s">
        <v>139</v>
      </c>
      <c r="E8" s="914" t="e">
        <f>ROUND(C11/E7,4)</f>
        <v>#DIV/0!</v>
      </c>
      <c r="F8" s="2743" t="s">
        <v>2833</v>
      </c>
      <c r="G8" s="2744"/>
      <c r="H8" s="2744"/>
      <c r="I8" s="2744"/>
      <c r="J8" s="2745"/>
      <c r="K8" s="1366"/>
      <c r="L8" s="2718" t="s">
        <v>2834</v>
      </c>
      <c r="M8" s="1077">
        <f>SUMPRODUCT((区片价!B206:B244=I2)*(区片价!C3:F3=E2)*(区片价!C206:F244))</f>
        <v>5500</v>
      </c>
      <c r="N8" s="1079">
        <f>SUMPRODUCT((因素修正幅度!B206:B244=I2)*(因素修正幅度!C3:F3=E2)*(因素修正幅度!C206:F244))</f>
        <v>0.15</v>
      </c>
      <c r="O8" s="1366"/>
      <c r="P8" s="1366"/>
      <c r="Q8" s="1366"/>
      <c r="R8" s="1596">
        <v>7</v>
      </c>
      <c r="S8" s="1597"/>
      <c r="T8" s="1596" t="e">
        <f t="shared" ca="1" si="0"/>
        <v>#DIV/0!</v>
      </c>
      <c r="U8" s="1597"/>
      <c r="V8" s="1596" t="e">
        <f t="shared" ca="1" si="1"/>
        <v>#DIV/0!</v>
      </c>
      <c r="W8" s="3300" t="s">
        <v>2835</v>
      </c>
      <c r="X8" s="3301"/>
      <c r="Y8" s="1604" t="s">
        <v>2836</v>
      </c>
      <c r="Z8" s="1604" t="s">
        <v>2837</v>
      </c>
      <c r="AA8" s="1604" t="s">
        <v>2838</v>
      </c>
      <c r="AB8" s="1604" t="s">
        <v>2839</v>
      </c>
      <c r="AC8" s="1604" t="s">
        <v>2840</v>
      </c>
      <c r="AD8" s="1604" t="s">
        <v>2841</v>
      </c>
      <c r="AE8" s="1604" t="s">
        <v>2842</v>
      </c>
      <c r="AF8" s="1604" t="s">
        <v>2843</v>
      </c>
      <c r="AG8" s="1604" t="s">
        <v>2844</v>
      </c>
      <c r="AH8" s="1604" t="s">
        <v>2845</v>
      </c>
      <c r="AI8" s="1604" t="s">
        <v>2846</v>
      </c>
      <c r="AJ8" s="1604" t="s">
        <v>2847</v>
      </c>
    </row>
    <row r="9" spans="1:36" ht="15">
      <c r="A9" s="3308"/>
      <c r="B9" s="197" t="s">
        <v>2848</v>
      </c>
      <c r="C9" s="915">
        <f>SUMIF(修正!C59:C119,C8,修正!E59:E119)</f>
        <v>0</v>
      </c>
      <c r="D9" s="199" t="s">
        <v>140</v>
      </c>
      <c r="E9" s="199" t="e">
        <f>ROUND(C11/E7,4)</f>
        <v>#DIV/0!</v>
      </c>
      <c r="F9" s="2743" t="s">
        <v>2849</v>
      </c>
      <c r="G9" s="2744"/>
      <c r="H9" s="2744"/>
      <c r="I9" s="2744"/>
      <c r="J9" s="2745"/>
      <c r="K9" s="1366"/>
      <c r="L9" s="2718" t="s">
        <v>2850</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ca="1" si="0"/>
        <v>#DIV/0!</v>
      </c>
      <c r="U9" s="1597"/>
      <c r="V9" s="1596" t="e">
        <f t="shared" ca="1" si="1"/>
        <v>#DIV/0!</v>
      </c>
      <c r="W9" s="3302" t="s">
        <v>2851</v>
      </c>
      <c r="X9" s="1605" t="s">
        <v>2852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8"/>
      <c r="B10" s="197" t="s">
        <v>2853</v>
      </c>
      <c r="C10" s="199">
        <f>SUMIF(修正!C59:C119,C8,修正!F59:F119)</f>
        <v>0</v>
      </c>
      <c r="D10" s="199" t="s">
        <v>141</v>
      </c>
      <c r="E10" s="199" t="e">
        <f>ROUND(C11/E7,4)</f>
        <v>#DIV/0!</v>
      </c>
      <c r="F10" s="2743" t="s">
        <v>2854</v>
      </c>
      <c r="G10" s="2744"/>
      <c r="H10" s="2744"/>
      <c r="I10" s="2744"/>
      <c r="J10" s="2745"/>
      <c r="K10" s="1366"/>
      <c r="L10" s="2718" t="s">
        <v>2855</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ca="1" si="0"/>
        <v>#DIV/0!</v>
      </c>
      <c r="U10" s="1597"/>
      <c r="V10" s="1596" t="e">
        <f t="shared" ca="1" si="1"/>
        <v>#DIV/0!</v>
      </c>
      <c r="W10" s="3302"/>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08"/>
      <c r="B11" s="2746" t="s">
        <v>2856</v>
      </c>
      <c r="C11" s="916">
        <f>C10/4</f>
        <v>0</v>
      </c>
      <c r="D11" s="916" t="s">
        <v>142</v>
      </c>
      <c r="E11" s="916" t="e">
        <f>ROUND(C11/E7,4)</f>
        <v>#DIV/0!</v>
      </c>
      <c r="F11" s="2747" t="s">
        <v>2857</v>
      </c>
      <c r="G11" s="2748"/>
      <c r="H11" s="2748"/>
      <c r="I11" s="2748"/>
      <c r="J11" s="2749"/>
      <c r="K11" s="1366"/>
      <c r="L11" s="2718" t="s">
        <v>2858</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ca="1" si="0"/>
        <v>#DIV/0!</v>
      </c>
      <c r="U11" s="1597"/>
      <c r="V11" s="1596" t="e">
        <f t="shared" ca="1" si="1"/>
        <v>#DIV/0!</v>
      </c>
      <c r="W11" s="3302" t="s">
        <v>2859</v>
      </c>
      <c r="X11" s="1608" t="s">
        <v>2860</v>
      </c>
      <c r="Y11" s="1609">
        <f>$G$3</f>
        <v>1.41</v>
      </c>
      <c r="Z11" s="1609">
        <f t="shared" ref="Z11:AJ11" si="3">$G$3</f>
        <v>1.41</v>
      </c>
      <c r="AA11" s="1609">
        <f t="shared" si="3"/>
        <v>1.41</v>
      </c>
      <c r="AB11" s="1609">
        <f t="shared" si="3"/>
        <v>1.41</v>
      </c>
      <c r="AC11" s="1609">
        <f t="shared" si="3"/>
        <v>1.41</v>
      </c>
      <c r="AD11" s="1609">
        <f t="shared" si="3"/>
        <v>1.41</v>
      </c>
      <c r="AE11" s="1609">
        <f t="shared" si="3"/>
        <v>1.41</v>
      </c>
      <c r="AF11" s="1609">
        <f t="shared" si="3"/>
        <v>1.41</v>
      </c>
      <c r="AG11" s="1609">
        <f t="shared" si="3"/>
        <v>1.41</v>
      </c>
      <c r="AH11" s="1609">
        <f t="shared" si="3"/>
        <v>1.41</v>
      </c>
      <c r="AI11" s="1609">
        <f t="shared" si="3"/>
        <v>1.41</v>
      </c>
      <c r="AJ11" s="1609">
        <f t="shared" si="3"/>
        <v>1.41</v>
      </c>
    </row>
    <row r="12" spans="1:36" ht="25.5" thickBot="1">
      <c r="A12" s="3307" t="s">
        <v>2861</v>
      </c>
      <c r="B12" s="2750" t="s">
        <v>2862</v>
      </c>
      <c r="C12" s="912">
        <f>ROUND(C15*D15*E15*F15*G15*H15*I15*J15,4)</f>
        <v>1</v>
      </c>
      <c r="D12" s="2751" t="s">
        <v>2863</v>
      </c>
      <c r="E12" s="2752"/>
      <c r="F12" s="2752"/>
      <c r="G12" s="2753"/>
      <c r="H12" s="2753"/>
      <c r="I12" s="2753"/>
      <c r="J12" s="2754"/>
      <c r="K12" s="1366"/>
      <c r="L12" s="2755" t="s">
        <v>2864</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ca="1" si="0"/>
        <v>#DIV/0!</v>
      </c>
      <c r="U12" s="1597"/>
      <c r="V12" s="1596" t="e">
        <f t="shared" ca="1" si="1"/>
        <v>#DIV/0!</v>
      </c>
      <c r="W12" s="3302"/>
      <c r="X12" s="1610" t="s">
        <v>2865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9"/>
      <c r="B13" s="2756" t="s">
        <v>2866</v>
      </c>
      <c r="C13" s="2757" t="s">
        <v>2867</v>
      </c>
      <c r="D13" s="1802" t="s">
        <v>2868</v>
      </c>
      <c r="E13" s="1802" t="s">
        <v>2869</v>
      </c>
      <c r="F13" s="30" t="s">
        <v>2870</v>
      </c>
      <c r="G13" s="2758" t="s">
        <v>2871</v>
      </c>
      <c r="H13" s="2758" t="s">
        <v>2871</v>
      </c>
      <c r="I13" s="2758" t="s">
        <v>2871</v>
      </c>
      <c r="J13" s="2759" t="s">
        <v>2871</v>
      </c>
      <c r="K13" s="1366"/>
      <c r="L13" s="1366"/>
      <c r="M13" s="1366"/>
      <c r="N13" s="1366"/>
      <c r="O13" s="1366"/>
      <c r="P13" s="1366"/>
      <c r="Q13" s="1366"/>
      <c r="R13" s="1596">
        <v>12</v>
      </c>
      <c r="S13" s="1597"/>
      <c r="T13" s="1596" t="e">
        <f t="shared" ca="1" si="0"/>
        <v>#DIV/0!</v>
      </c>
      <c r="U13" s="1597"/>
      <c r="V13" s="1596" t="e">
        <f t="shared" ca="1" si="1"/>
        <v>#DIV/0!</v>
      </c>
      <c r="W13" s="3302"/>
      <c r="X13" s="1610"/>
      <c r="Y13" s="1607">
        <f>(-0.163*(Y12^2)-0.59*Y12+7617)*(10^(-4))/Y11</f>
        <v>0.54021276595744683</v>
      </c>
      <c r="Z13" s="1607">
        <f t="shared" ref="Z13:AJ13" si="5">(-0.163*(Z12^2)-0.59*Z12+7617)*(10^(-4))/Z11</f>
        <v>0.54021276595744683</v>
      </c>
      <c r="AA13" s="1607">
        <f t="shared" si="5"/>
        <v>0.54021276595744683</v>
      </c>
      <c r="AB13" s="1607">
        <f t="shared" si="5"/>
        <v>0.54021276595744683</v>
      </c>
      <c r="AC13" s="1607">
        <f t="shared" si="5"/>
        <v>0.54021276595744683</v>
      </c>
      <c r="AD13" s="1607">
        <f t="shared" si="5"/>
        <v>0.54021276595744683</v>
      </c>
      <c r="AE13" s="1607">
        <f t="shared" si="5"/>
        <v>0.54021276595744683</v>
      </c>
      <c r="AF13" s="1607">
        <f t="shared" si="5"/>
        <v>0.54021276595744683</v>
      </c>
      <c r="AG13" s="1607">
        <f t="shared" si="5"/>
        <v>0.54021276595744683</v>
      </c>
      <c r="AH13" s="1607">
        <f t="shared" si="5"/>
        <v>0.54021276595744683</v>
      </c>
      <c r="AI13" s="1607">
        <f t="shared" si="5"/>
        <v>0.54021276595744683</v>
      </c>
      <c r="AJ13" s="1607">
        <f t="shared" si="5"/>
        <v>0.54021276595744683</v>
      </c>
    </row>
    <row r="14" spans="1:36" ht="15">
      <c r="A14" s="3309"/>
      <c r="B14" s="2760"/>
      <c r="C14" s="2761"/>
      <c r="D14" s="2762"/>
      <c r="E14" s="2762"/>
      <c r="F14" s="2763"/>
      <c r="G14" s="2764" t="s">
        <v>2872</v>
      </c>
      <c r="H14" s="2765"/>
      <c r="I14" s="2766"/>
      <c r="J14" s="2767"/>
      <c r="K14" s="1366"/>
      <c r="L14" s="1366"/>
      <c r="M14" s="1366"/>
      <c r="N14" s="1366"/>
      <c r="O14" s="1366"/>
      <c r="P14" s="1366"/>
      <c r="Q14" s="1366"/>
      <c r="R14" s="1596">
        <v>13</v>
      </c>
      <c r="S14" s="1597"/>
      <c r="T14" s="1596" t="e">
        <f t="shared" ca="1" si="0"/>
        <v>#DIV/0!</v>
      </c>
      <c r="U14" s="1597"/>
      <c r="V14" s="1596" t="e">
        <f t="shared" ca="1" si="1"/>
        <v>#DIV/0!</v>
      </c>
      <c r="W14" s="1600"/>
      <c r="X14" s="1600"/>
      <c r="Y14" s="1600"/>
      <c r="Z14" s="1600"/>
      <c r="AA14" s="1600"/>
      <c r="AB14" s="1600"/>
      <c r="AC14" s="1601"/>
      <c r="AD14" s="1602"/>
      <c r="AE14" s="1602"/>
      <c r="AF14" s="1602"/>
      <c r="AG14" s="1602"/>
      <c r="AH14" s="1602"/>
      <c r="AI14" s="1602"/>
      <c r="AJ14" s="1603"/>
    </row>
    <row r="15" spans="1:36" ht="15.75" thickBot="1">
      <c r="A15" s="3310"/>
      <c r="B15" s="2768" t="s">
        <v>2873</v>
      </c>
      <c r="C15" s="228">
        <f>IF(C14="有",1.1,1)</f>
        <v>1</v>
      </c>
      <c r="D15" s="228">
        <f>IF(D14="有",1.1,1)</f>
        <v>1</v>
      </c>
      <c r="E15" s="228">
        <f>IF(E14="有",1.1,1)</f>
        <v>1</v>
      </c>
      <c r="F15" s="228">
        <f>IF(F14="500米范围内",1.2,IF(F14="500-1000米",1.1,1))</f>
        <v>1</v>
      </c>
      <c r="G15" s="942">
        <v>1</v>
      </c>
      <c r="H15" s="942">
        <v>1</v>
      </c>
      <c r="I15" s="942">
        <v>1</v>
      </c>
      <c r="J15" s="943">
        <v>1</v>
      </c>
      <c r="K15" s="1366"/>
      <c r="L15" s="2769" t="s">
        <v>2809</v>
      </c>
      <c r="M15" s="913" t="s">
        <v>2874</v>
      </c>
      <c r="N15" s="913" t="s">
        <v>2875</v>
      </c>
      <c r="O15" s="913" t="s">
        <v>2876</v>
      </c>
      <c r="P15" s="2770" t="s">
        <v>2877</v>
      </c>
      <c r="Q15" s="1366"/>
      <c r="R15" s="1596">
        <v>14</v>
      </c>
      <c r="S15" s="1597"/>
      <c r="T15" s="1596" t="e">
        <f t="shared" ca="1" si="0"/>
        <v>#DIV/0!</v>
      </c>
      <c r="U15" s="1597"/>
      <c r="V15" s="1596" t="e">
        <f t="shared" ca="1" si="1"/>
        <v>#DIV/0!</v>
      </c>
      <c r="W15" s="1600"/>
      <c r="X15" s="1600"/>
      <c r="Y15" s="1600"/>
      <c r="Z15" s="1600"/>
      <c r="AA15" s="1600"/>
      <c r="AB15" s="1600"/>
      <c r="AC15" s="1601"/>
      <c r="AD15" s="1602"/>
      <c r="AE15" s="1602"/>
      <c r="AF15" s="1602"/>
      <c r="AG15" s="1602"/>
      <c r="AH15" s="1602"/>
      <c r="AI15" s="1602"/>
      <c r="AJ15" s="1603"/>
    </row>
    <row r="16" spans="1:36" ht="24">
      <c r="A16" s="3307" t="s">
        <v>2878</v>
      </c>
      <c r="B16" s="2737" t="s">
        <v>2879</v>
      </c>
      <c r="C16" s="1795">
        <f>ROUND(SUM(G17:J17)/C17,0)</f>
        <v>20</v>
      </c>
      <c r="D16" s="2771" t="s">
        <v>2880</v>
      </c>
      <c r="E16" s="2772" t="s">
        <v>3044</v>
      </c>
      <c r="F16" s="2773" t="s">
        <v>3045</v>
      </c>
      <c r="G16" s="2774" t="s">
        <v>3046</v>
      </c>
      <c r="H16" s="2774"/>
      <c r="I16" s="2774"/>
      <c r="J16" s="2775"/>
      <c r="K16" s="1366"/>
      <c r="L16" s="2776" t="s">
        <v>2881</v>
      </c>
      <c r="M16" s="915">
        <v>0.25</v>
      </c>
      <c r="N16" s="915">
        <v>0.2</v>
      </c>
      <c r="O16" s="915">
        <v>0.15</v>
      </c>
      <c r="P16" s="1365">
        <v>0.1</v>
      </c>
      <c r="Q16" s="1366"/>
      <c r="R16" s="1596">
        <v>15</v>
      </c>
      <c r="S16" s="1597"/>
      <c r="T16" s="1596" t="e">
        <f t="shared" ca="1" si="0"/>
        <v>#DIV/0!</v>
      </c>
      <c r="U16" s="1597"/>
      <c r="V16" s="1596" t="e">
        <f t="shared" ca="1" si="1"/>
        <v>#DIV/0!</v>
      </c>
      <c r="W16" s="1600"/>
      <c r="X16" s="1600"/>
      <c r="Y16" s="1600"/>
      <c r="Z16" s="1600"/>
      <c r="AA16" s="1600"/>
      <c r="AB16" s="1600"/>
      <c r="AC16" s="1601"/>
      <c r="AD16" s="1602"/>
      <c r="AE16" s="1602"/>
      <c r="AF16" s="1602"/>
      <c r="AG16" s="1602"/>
      <c r="AH16" s="1602"/>
      <c r="AI16" s="1602"/>
      <c r="AJ16" s="1603"/>
    </row>
    <row r="17" spans="1:37" ht="13.5" thickBot="1">
      <c r="A17" s="3308"/>
      <c r="B17" s="2777" t="s">
        <v>2882</v>
      </c>
      <c r="C17" s="917">
        <f>SUMPRODUCT((修正!A2:A5=E2)*(修正!B1:M1=G2)*(修正!B2:M5))</f>
        <v>2</v>
      </c>
      <c r="D17" s="2778" t="s">
        <v>2883</v>
      </c>
      <c r="E17" s="916" t="str">
        <f>IF(OR(G2="八级",G2="九级",G2="十级",G2="十一级",G2="十二级"),"五通一平","七通一平")</f>
        <v>五通一平</v>
      </c>
      <c r="F17" s="917" t="s">
        <v>2884</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9" t="s">
        <v>2885</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0"/>
      <c r="AF17" s="2780"/>
      <c r="AG17" s="2712"/>
      <c r="AH17" s="2712"/>
      <c r="AI17" s="2712"/>
      <c r="AJ17" s="2712"/>
    </row>
    <row r="18" spans="1:37" s="2730" customFormat="1" ht="15.75" thickBot="1">
      <c r="A18" s="2781" t="s">
        <v>808</v>
      </c>
      <c r="B18" s="2782" t="s">
        <v>2886</v>
      </c>
      <c r="C18" s="919">
        <f>SUMIF(修正!C18:C39,E3,修正!E18:E39)</f>
        <v>1</v>
      </c>
      <c r="D18" s="2783"/>
      <c r="E18" s="2784"/>
      <c r="F18" s="2785"/>
      <c r="G18" s="2786"/>
      <c r="H18" s="2786"/>
      <c r="I18" s="2786"/>
      <c r="J18" s="2787"/>
      <c r="K18" s="1373"/>
      <c r="O18" s="1371"/>
      <c r="P18" s="1371"/>
      <c r="Q18" s="1372"/>
      <c r="R18" s="1372"/>
      <c r="S18" s="1372"/>
      <c r="T18" s="1367"/>
      <c r="U18" s="1367"/>
      <c r="V18" s="1367"/>
      <c r="W18" s="1366"/>
      <c r="X18" s="1366"/>
      <c r="Y18" s="1366"/>
      <c r="Z18" s="1373"/>
      <c r="AA18" s="1374"/>
      <c r="AB18" s="1374"/>
      <c r="AC18" s="1374"/>
      <c r="AD18" s="1374"/>
      <c r="AE18" s="1368"/>
      <c r="AF18" s="1368"/>
      <c r="AG18" s="2788"/>
      <c r="AH18" s="2788"/>
      <c r="AI18" s="2788"/>
    </row>
    <row r="19" spans="1:37" s="2730" customFormat="1" ht="27.75" thickBot="1">
      <c r="A19" s="2781" t="s">
        <v>809</v>
      </c>
      <c r="B19" s="2782" t="s">
        <v>2887</v>
      </c>
      <c r="C19" s="920">
        <f>ROUND(IF(H19="按公示增长率计算",SUMPRODUCT((地价!A3:A21=YEAR(G19)&amp;"-"&amp;ROUNDUP(MONTH(G19)/3,0))*(地价!X2:AB2=E2)*(地价!X3:AB21)),IF(H19="地价指数",M20/M19,(1+I19)^O19)),4)</f>
        <v>0</v>
      </c>
      <c r="D19" s="2789" t="s">
        <v>2888</v>
      </c>
      <c r="E19" s="921">
        <v>41640</v>
      </c>
      <c r="F19" s="2789" t="s">
        <v>2889</v>
      </c>
      <c r="G19" s="922">
        <f>'数据-取费表'!B2</f>
        <v>43633</v>
      </c>
      <c r="H19" s="2790" t="s">
        <v>2890</v>
      </c>
      <c r="I19" s="923" t="str">
        <f>IF(H19="季度增幅（自定义）",SUMIF(N21:N24,E2,O21:O24),"")</f>
        <v/>
      </c>
      <c r="J19" s="2787"/>
      <c r="K19" s="1373"/>
      <c r="L19" s="2791" t="s">
        <v>2891</v>
      </c>
      <c r="M19" s="1728">
        <f>ROUND(SUMIF(地价!B2:F2,E2,地价!B21:F21),0)</f>
        <v>258</v>
      </c>
      <c r="N19" s="2792" t="s">
        <v>2892</v>
      </c>
      <c r="O19" s="924">
        <f>ROUNDDOWN(DATEDIF(E19,G19,"M")/3,0)</f>
        <v>21</v>
      </c>
      <c r="P19" s="1370"/>
      <c r="Q19" s="1372"/>
      <c r="R19" s="1372"/>
      <c r="S19" s="1372"/>
      <c r="T19" s="1367"/>
      <c r="U19" s="1367"/>
      <c r="V19" s="1367"/>
      <c r="W19" s="1366"/>
      <c r="X19" s="1366"/>
      <c r="Y19" s="1366"/>
      <c r="Z19" s="1373"/>
      <c r="AA19" s="1374"/>
      <c r="AB19" s="1374"/>
      <c r="AC19" s="1374"/>
      <c r="AD19" s="1374"/>
      <c r="AE19" s="1374"/>
      <c r="AF19" s="2793"/>
      <c r="AG19" s="2794"/>
      <c r="AH19" s="2788"/>
      <c r="AI19" s="2795"/>
      <c r="AJ19" s="2795"/>
      <c r="AK19" s="2795"/>
    </row>
    <row r="20" spans="1:37" s="2730" customFormat="1" ht="27.75" thickBot="1">
      <c r="A20" s="2796" t="s">
        <v>810</v>
      </c>
      <c r="B20" s="2797" t="s">
        <v>2893</v>
      </c>
      <c r="C20" s="925" t="e">
        <f ca="1">ROUND(POWER(1+G20,J20-I20)*(POWER(1+G20,I20)-1)/(POWER(1+G20,J20)-1),4)</f>
        <v>#DIV/0!</v>
      </c>
      <c r="D20" s="2798" t="s">
        <v>2894</v>
      </c>
      <c r="E20" s="1762">
        <f ca="1">存贷款利率!D4/100</f>
        <v>4.3499999999999997E-2</v>
      </c>
      <c r="F20" s="2798" t="s">
        <v>2885</v>
      </c>
      <c r="G20" s="930">
        <f ca="1">SUMIF(M15:P15,E2,M17:P17)</f>
        <v>5.1999999999999998E-2</v>
      </c>
      <c r="H20" s="2798" t="s">
        <v>2895</v>
      </c>
      <c r="I20" s="931" t="e">
        <f>SUMIF('数据-取费表'!C6:C15,E2,'数据-取费表'!F6:F15)/COUNTIF('数据-取费表'!C6:C15,E2)</f>
        <v>#DIV/0!</v>
      </c>
      <c r="J20" s="932">
        <f>IF(E2="住宅",70,IF(E2="商业",40,50))</f>
        <v>50</v>
      </c>
      <c r="K20" s="1373"/>
      <c r="L20" s="2799" t="s">
        <v>2896</v>
      </c>
      <c r="M20" s="1729">
        <f>ROUND(SUMPRODUCT((地价!A4:A21=YEAR(G19)&amp;"-"&amp;ROUNDUP(MONTH(G19)/3,0))*(地价!B2:F2=E2)*(地价!B4:F21)),0)</f>
        <v>0</v>
      </c>
      <c r="N20" s="2800" t="s">
        <v>2897</v>
      </c>
      <c r="O20" s="2801" t="s">
        <v>2898</v>
      </c>
      <c r="P20" s="2802" t="s">
        <v>2899</v>
      </c>
      <c r="R20" s="1372"/>
      <c r="S20" s="1372"/>
      <c r="T20" s="1367"/>
      <c r="U20" s="1367"/>
      <c r="V20" s="1367"/>
      <c r="W20" s="1366"/>
      <c r="X20" s="1366"/>
      <c r="Y20" s="1366"/>
      <c r="Z20" s="1373"/>
      <c r="AA20" s="1374"/>
      <c r="AB20" s="1374"/>
      <c r="AC20" s="1374"/>
      <c r="AD20" s="1374"/>
      <c r="AE20" s="1374"/>
      <c r="AF20" s="1374"/>
    </row>
    <row r="21" spans="1:37" s="2730" customFormat="1" ht="15">
      <c r="A21" s="2803" t="s">
        <v>811</v>
      </c>
      <c r="B21" s="2804" t="s">
        <v>3047</v>
      </c>
      <c r="C21" s="933">
        <f>IF(B21="容积率修正",IF(G3&lt;=10,D22,J22),C23)</f>
        <v>1.1175999999999999</v>
      </c>
      <c r="D21" s="2805"/>
      <c r="E21" s="2805"/>
      <c r="F21" s="2805"/>
      <c r="G21" s="2805"/>
      <c r="H21" s="2805"/>
      <c r="I21" s="2805"/>
      <c r="J21" s="2806"/>
      <c r="K21" s="1373"/>
      <c r="N21" s="2807" t="s">
        <v>2900</v>
      </c>
      <c r="O21" s="1556"/>
      <c r="P21" s="1557">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30" customFormat="1" ht="14.25">
      <c r="A22" s="2656" t="s">
        <v>2901</v>
      </c>
      <c r="B22" s="2808" t="s">
        <v>2902</v>
      </c>
      <c r="C22" s="1804" t="s">
        <v>2903</v>
      </c>
      <c r="D22" s="1804">
        <f>IF(E22=G22,F22,IF(G3&lt;=10,ROUND(F22+(H22-F22)*(G3-E22)/(G22-E22),4),"——"))</f>
        <v>1.1175999999999999</v>
      </c>
      <c r="E22" s="909">
        <f>ROUNDDOWN(G3,1)</f>
        <v>1.4</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1.1200000000000001</v>
      </c>
      <c r="G22" s="909">
        <f>ROUNDUP(G3,1)</f>
        <v>1.5</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1.0961000000000001</v>
      </c>
      <c r="I22" s="1804" t="s">
        <v>155</v>
      </c>
      <c r="J22" s="934" t="str">
        <f>IF(G3&gt;10,D113,"——")</f>
        <v>——</v>
      </c>
      <c r="K22" s="1373"/>
      <c r="N22" s="2807" t="s">
        <v>2904</v>
      </c>
      <c r="O22" s="1556"/>
      <c r="P22" s="1557">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6" t="s">
        <v>2905</v>
      </c>
      <c r="B23" s="2809" t="s">
        <v>2906</v>
      </c>
      <c r="C23" s="1009">
        <f>ROUND(IF(G3&gt;1,IF(I3&lt;7,SUMPRODUCT((B93:B98=I3)*(C92:N92=G2)*(C93:N98)),SUMIF(C92:N92,G2,C100:N100)),IF(I3&lt;7,SUMPRODUCT((B102:B107=I3)*(C92:N92=G2)*(C102:N107)),SUMIF(C92:N92,G2,C109:N109))),4)</f>
        <v>0</v>
      </c>
      <c r="D23" s="2765"/>
      <c r="E23" s="2765"/>
      <c r="F23" s="2810"/>
      <c r="G23" s="2811"/>
      <c r="H23" s="2812"/>
      <c r="I23" s="2813"/>
      <c r="J23" s="2814"/>
      <c r="K23" s="1366"/>
      <c r="N23" s="2807" t="s">
        <v>2907</v>
      </c>
      <c r="O23" s="1556"/>
      <c r="P23" s="1557">
        <f>SUMPRODUCT((地价!A3:A21=YEAR(G19)&amp;"-"&amp;ROUNDUP(MONTH(G19)/3,0))*(地价!AD2:AH2=N23)*(地价!AD3:AH21))</f>
        <v>0</v>
      </c>
      <c r="R23" s="1372"/>
      <c r="S23" s="1372"/>
      <c r="T23" s="1367"/>
      <c r="U23" s="1367"/>
      <c r="V23" s="1367"/>
      <c r="W23" s="1366"/>
      <c r="X23" s="1366"/>
      <c r="Y23" s="1366"/>
      <c r="Z23" s="1373"/>
      <c r="AA23" s="1374"/>
      <c r="AB23" s="1374"/>
      <c r="AC23" s="1374"/>
      <c r="AD23" s="1374"/>
      <c r="AK23" s="2788"/>
    </row>
    <row r="24" spans="1:37" s="2730" customFormat="1" ht="15.75" thickBot="1">
      <c r="A24" s="2796" t="s">
        <v>812</v>
      </c>
      <c r="B24" s="2782" t="s">
        <v>2908</v>
      </c>
      <c r="C24" s="920">
        <f>SUMIF(A45:A88,E2,B45:B88)</f>
        <v>1.0377000000000001</v>
      </c>
      <c r="D24" s="2785"/>
      <c r="E24" s="2815"/>
      <c r="F24" s="2815"/>
      <c r="G24" s="2815"/>
      <c r="H24" s="2815"/>
      <c r="I24" s="2815"/>
      <c r="J24" s="2816"/>
      <c r="K24" s="1373"/>
      <c r="N24" s="2817" t="s">
        <v>2909</v>
      </c>
      <c r="O24" s="1558"/>
      <c r="P24" s="1559">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6" t="s">
        <v>813</v>
      </c>
      <c r="B25" s="2818" t="s">
        <v>2910</v>
      </c>
      <c r="C25" s="926"/>
      <c r="D25" s="2740"/>
      <c r="E25" s="2740"/>
      <c r="F25" s="2819"/>
      <c r="G25" s="2740"/>
      <c r="H25" s="2740"/>
      <c r="I25" s="2740"/>
      <c r="J25" s="2741"/>
      <c r="K25" s="1366"/>
      <c r="N25" s="2820" t="s">
        <v>2911</v>
      </c>
      <c r="O25" s="1560"/>
      <c r="P25" s="1559">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1"/>
      <c r="B26" s="2808" t="s">
        <v>2912</v>
      </c>
      <c r="C26" s="205" t="e">
        <f ca="1">E29+SUM(E33:E39)</f>
        <v>#DIV/0!</v>
      </c>
      <c r="D26" s="2822"/>
      <c r="E26" s="2765"/>
      <c r="F26" s="2823"/>
      <c r="G26" s="2765"/>
      <c r="H26" s="2765"/>
      <c r="I26" s="2765"/>
      <c r="J26" s="2824"/>
      <c r="K26" s="1366"/>
      <c r="R26" s="1372"/>
      <c r="S26" s="1372"/>
      <c r="T26" s="1367"/>
      <c r="U26" s="1367"/>
      <c r="V26" s="1367"/>
      <c r="W26" s="1366"/>
      <c r="X26" s="1366"/>
      <c r="Y26" s="1366"/>
      <c r="Z26" s="1373"/>
      <c r="AA26" s="1374"/>
      <c r="AB26" s="1374"/>
      <c r="AC26" s="1374"/>
      <c r="AD26" s="1374"/>
    </row>
    <row r="27" spans="1:37" ht="15.75" thickBot="1">
      <c r="A27" s="2821"/>
      <c r="B27" s="2825" t="s">
        <v>2913</v>
      </c>
      <c r="C27" s="927" t="e">
        <f ca="1">E30+SUM(I33:I39)</f>
        <v>#DIV/0!</v>
      </c>
      <c r="D27" s="2826"/>
      <c r="E27" s="2827"/>
      <c r="F27" s="2828"/>
      <c r="G27" s="2827"/>
      <c r="H27" s="2827"/>
      <c r="I27" s="2827"/>
      <c r="J27" s="2829"/>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0"/>
      <c r="B28" s="2831" t="s">
        <v>2914</v>
      </c>
      <c r="C28" s="2832" t="s">
        <v>2915</v>
      </c>
      <c r="D28" s="2832" t="s">
        <v>2916</v>
      </c>
      <c r="E28" s="2833" t="s">
        <v>2917</v>
      </c>
      <c r="F28" s="2834"/>
      <c r="G28" s="2753"/>
      <c r="H28" s="2753"/>
      <c r="I28" s="2753"/>
      <c r="J28" s="2754"/>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5"/>
      <c r="B29" s="2836" t="s">
        <v>2918</v>
      </c>
      <c r="C29" s="205" t="e">
        <f ca="1">ROUND(C5*C18*C19*C20*C21*C24,0)</f>
        <v>#DIV/0!</v>
      </c>
      <c r="D29" s="2837">
        <v>10000</v>
      </c>
      <c r="E29" s="938" t="e">
        <f ca="1">ROUND(C29*D29/10000,0)</f>
        <v>#DIV/0!</v>
      </c>
      <c r="F29" s="2838" t="s">
        <v>2919</v>
      </c>
      <c r="G29" s="2839"/>
      <c r="H29" s="2839"/>
      <c r="I29" s="2839"/>
      <c r="J29" s="2840"/>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2"/>
      <c r="AH29" s="2712"/>
      <c r="AI29" s="2712"/>
      <c r="AJ29" s="2712"/>
    </row>
    <row r="30" spans="1:37" ht="25.5" thickBot="1">
      <c r="A30" s="2841"/>
      <c r="B30" s="2842" t="s">
        <v>2920</v>
      </c>
      <c r="C30" s="228" t="e">
        <f ca="1">ROUND(IF(E2="工业",C29*M39,C29*M38),0)</f>
        <v>#DIV/0!</v>
      </c>
      <c r="D30" s="2843"/>
      <c r="E30" s="938" t="e">
        <f ca="1">ROUND(C30*D30/10000,0)</f>
        <v>#DIV/0!</v>
      </c>
      <c r="F30" s="2844" t="s">
        <v>2921</v>
      </c>
      <c r="G30" s="2845"/>
      <c r="H30" s="2845"/>
      <c r="I30" s="2845"/>
      <c r="J30" s="2846"/>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2"/>
      <c r="AH30" s="2712"/>
      <c r="AI30" s="2712"/>
      <c r="AJ30" s="2712"/>
    </row>
    <row r="31" spans="1:37" ht="14.25">
      <c r="A31" s="2847"/>
      <c r="B31" s="2848" t="s">
        <v>2922</v>
      </c>
      <c r="C31" s="2849" t="s">
        <v>2923</v>
      </c>
      <c r="D31" s="2753"/>
      <c r="E31" s="2849"/>
      <c r="F31" s="2849"/>
      <c r="G31" s="2751" t="s">
        <v>2924</v>
      </c>
      <c r="H31" s="2753"/>
      <c r="I31" s="2850"/>
      <c r="J31" s="2754"/>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2"/>
      <c r="AH31" s="2712"/>
      <c r="AI31" s="2712"/>
      <c r="AJ31" s="2712"/>
    </row>
    <row r="32" spans="1:37" ht="24">
      <c r="A32" s="2835"/>
      <c r="B32" s="2851"/>
      <c r="C32" s="500" t="s">
        <v>2915</v>
      </c>
      <c r="D32" s="497" t="s">
        <v>2916</v>
      </c>
      <c r="E32" s="497" t="s">
        <v>2917</v>
      </c>
      <c r="F32" s="387" t="s">
        <v>2925</v>
      </c>
      <c r="G32" s="2852" t="s">
        <v>2915</v>
      </c>
      <c r="H32" s="2852" t="s">
        <v>2916</v>
      </c>
      <c r="I32" s="2852" t="s">
        <v>2917</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2"/>
      <c r="AH32" s="2712"/>
      <c r="AI32" s="2712"/>
      <c r="AJ32" s="2712"/>
    </row>
    <row r="33" spans="1:37" ht="36" customHeight="1">
      <c r="A33" s="3317" t="s">
        <v>2926</v>
      </c>
      <c r="B33" s="2853" t="s">
        <v>2927</v>
      </c>
      <c r="C33" s="205" t="e">
        <f ca="1">ROUND(D5*C19*C20*C24*F33,0)</f>
        <v>#DIV/0!</v>
      </c>
      <c r="D33" s="2837"/>
      <c r="E33" s="199" t="e">
        <f ca="1">ROUND(C33*D33/10000,0)</f>
        <v>#DIV/0!</v>
      </c>
      <c r="F33" s="199">
        <f>SUMIF(修正!A45:A56,G2,修正!B45:B56)</f>
        <v>0.6</v>
      </c>
      <c r="G33" s="199" t="e">
        <f t="shared" ref="G33:G39" ca="1" si="6">ROUND(IF(E2="工业",C33*$M$39,C33*$M$38),0)</f>
        <v>#DIV/0!</v>
      </c>
      <c r="H33" s="199">
        <f>D33</f>
        <v>0</v>
      </c>
      <c r="I33" s="199" t="e">
        <f ca="1">ROUND(G33*H33/10000,0)</f>
        <v>#DIV/0!</v>
      </c>
      <c r="J33" s="2854"/>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18"/>
      <c r="B34" s="2757" t="s">
        <v>2928</v>
      </c>
      <c r="C34" s="205" t="e">
        <f ca="1">ROUND(D5*C19*C20*C24*F34,0)</f>
        <v>#DIV/0!</v>
      </c>
      <c r="D34" s="2837"/>
      <c r="E34" s="199" t="e">
        <f t="shared" ref="E34:E39" ca="1" si="7">ROUND(C34*D34/10000,0)</f>
        <v>#DIV/0!</v>
      </c>
      <c r="F34" s="199">
        <f>SUMIF(修正!A45:A56,G2,修正!C45:C56)</f>
        <v>0.3</v>
      </c>
      <c r="G34" s="199" t="e">
        <f t="shared" ca="1" si="6"/>
        <v>#DIV/0!</v>
      </c>
      <c r="H34" s="199">
        <f t="shared" ref="H34:H39" si="8">D34</f>
        <v>0</v>
      </c>
      <c r="I34" s="199" t="e">
        <f t="shared" ref="I34:I39" ca="1" si="9">ROUND(G34*H34/10000,0)</f>
        <v>#DIV/0!</v>
      </c>
      <c r="J34" s="2854"/>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18"/>
      <c r="B35" s="2757" t="s">
        <v>2929</v>
      </c>
      <c r="C35" s="205" t="e">
        <f ca="1">ROUND(D5*C19*C20*C24*F35,0)</f>
        <v>#DIV/0!</v>
      </c>
      <c r="D35" s="2837"/>
      <c r="E35" s="199" t="e">
        <f t="shared" ca="1" si="7"/>
        <v>#DIV/0!</v>
      </c>
      <c r="F35" s="199">
        <f>SUMIF(修正!A45:A56,G2,修正!D45:D56)</f>
        <v>0.2</v>
      </c>
      <c r="G35" s="199" t="e">
        <f t="shared" ca="1" si="6"/>
        <v>#DIV/0!</v>
      </c>
      <c r="H35" s="199">
        <f t="shared" si="8"/>
        <v>0</v>
      </c>
      <c r="I35" s="199" t="e">
        <f t="shared" ca="1" si="9"/>
        <v>#DIV/0!</v>
      </c>
      <c r="J35" s="2854"/>
      <c r="K35" s="1366"/>
      <c r="L35" s="1366"/>
      <c r="M35" s="1366"/>
      <c r="N35" s="1366"/>
      <c r="O35" s="1366"/>
      <c r="P35" s="1366"/>
      <c r="Q35" s="1366"/>
      <c r="R35" s="1366"/>
      <c r="S35" s="1366"/>
      <c r="T35" s="1366"/>
      <c r="U35" s="1366"/>
      <c r="V35" s="1366"/>
      <c r="W35" s="1366"/>
      <c r="X35" s="1366"/>
      <c r="Y35" s="1366"/>
      <c r="Z35" s="1367"/>
    </row>
    <row r="36" spans="1:37" ht="13.5" thickBot="1">
      <c r="A36" s="3319"/>
      <c r="B36" s="2757" t="s">
        <v>2930</v>
      </c>
      <c r="C36" s="205" t="e">
        <f ca="1">ROUND(D5*C19*C20*C24*F36,0)</f>
        <v>#DIV/0!</v>
      </c>
      <c r="D36" s="2837"/>
      <c r="E36" s="199" t="e">
        <f t="shared" ca="1" si="7"/>
        <v>#DIV/0!</v>
      </c>
      <c r="F36" s="199">
        <f>SUMIF(修正!A45:A56,G2,修正!E45:E56)</f>
        <v>0.2</v>
      </c>
      <c r="G36" s="199" t="e">
        <f t="shared" ca="1" si="6"/>
        <v>#DIV/0!</v>
      </c>
      <c r="H36" s="199">
        <f t="shared" si="8"/>
        <v>0</v>
      </c>
      <c r="I36" s="199" t="e">
        <f t="shared" ca="1" si="9"/>
        <v>#DIV/0!</v>
      </c>
      <c r="J36" s="2854"/>
      <c r="K36" s="1366"/>
      <c r="L36" s="2711"/>
      <c r="M36" s="2711"/>
      <c r="N36" s="1366"/>
      <c r="O36" s="1366"/>
      <c r="P36" s="1366"/>
      <c r="Q36" s="1366"/>
      <c r="R36" s="1366"/>
      <c r="S36" s="1366"/>
      <c r="T36" s="1366"/>
      <c r="U36" s="1366"/>
      <c r="V36" s="1366"/>
      <c r="W36" s="1366"/>
      <c r="X36" s="1366"/>
      <c r="Y36" s="1366"/>
      <c r="Z36" s="1367"/>
    </row>
    <row r="37" spans="1:37">
      <c r="A37" s="2855"/>
      <c r="B37" s="2757" t="s">
        <v>2931</v>
      </c>
      <c r="C37" s="199" t="e">
        <f ca="1">ROUND(C5*C19*C20*C24*F37,0)</f>
        <v>#DIV/0!</v>
      </c>
      <c r="D37" s="2837"/>
      <c r="E37" s="199" t="e">
        <f t="shared" ca="1" si="7"/>
        <v>#DIV/0!</v>
      </c>
      <c r="F37" s="205">
        <f>SUMIF(修正!A45:A56,G2,修正!F45:F56)</f>
        <v>0.2</v>
      </c>
      <c r="G37" s="199" t="e">
        <f t="shared" ca="1" si="6"/>
        <v>#DIV/0!</v>
      </c>
      <c r="H37" s="199">
        <f t="shared" si="8"/>
        <v>0</v>
      </c>
      <c r="I37" s="199" t="e">
        <f t="shared" ca="1" si="9"/>
        <v>#DIV/0!</v>
      </c>
      <c r="J37" s="2854"/>
      <c r="K37" s="1366"/>
      <c r="L37" s="2856" t="s">
        <v>2932</v>
      </c>
      <c r="M37" s="2857"/>
      <c r="N37" s="1366"/>
      <c r="O37" s="1366"/>
      <c r="P37" s="1366"/>
      <c r="Q37" s="1366"/>
      <c r="R37" s="1366"/>
      <c r="S37" s="1366"/>
      <c r="T37" s="1366"/>
      <c r="U37" s="1366"/>
      <c r="V37" s="1366"/>
      <c r="W37" s="1366"/>
      <c r="X37" s="1366"/>
      <c r="Y37" s="1366"/>
      <c r="Z37" s="1367"/>
    </row>
    <row r="38" spans="1:37">
      <c r="A38" s="2855"/>
      <c r="B38" s="2757" t="s">
        <v>2933</v>
      </c>
      <c r="C38" s="199" t="e">
        <f ca="1">ROUND(C5*C19*C20*C24*F38,0)</f>
        <v>#DIV/0!</v>
      </c>
      <c r="D38" s="2837"/>
      <c r="E38" s="199" t="e">
        <f t="shared" ca="1" si="7"/>
        <v>#DIV/0!</v>
      </c>
      <c r="F38" s="205">
        <f>SUMIF(修正!A45:A56,G2,修正!G45:G56)</f>
        <v>0.2</v>
      </c>
      <c r="G38" s="199" t="e">
        <f t="shared" ca="1" si="6"/>
        <v>#DIV/0!</v>
      </c>
      <c r="H38" s="199">
        <f t="shared" si="8"/>
        <v>0</v>
      </c>
      <c r="I38" s="199" t="e">
        <f t="shared" ca="1" si="9"/>
        <v>#DIV/0!</v>
      </c>
      <c r="J38" s="2854"/>
      <c r="K38" s="1366"/>
      <c r="L38" s="1881" t="s">
        <v>2934</v>
      </c>
      <c r="M38" s="2858">
        <v>0.25</v>
      </c>
      <c r="N38" s="1366"/>
      <c r="O38" s="1366"/>
      <c r="P38" s="1366"/>
      <c r="Q38" s="1366"/>
      <c r="R38" s="1366"/>
      <c r="S38" s="1366"/>
      <c r="T38" s="1366"/>
      <c r="U38" s="1366"/>
      <c r="V38" s="1366"/>
      <c r="W38" s="1366"/>
      <c r="X38" s="1366"/>
      <c r="Y38" s="1366"/>
      <c r="Z38" s="1367"/>
    </row>
    <row r="39" spans="1:37" ht="13.5" thickBot="1">
      <c r="A39" s="2841"/>
      <c r="B39" s="2859" t="s">
        <v>2935</v>
      </c>
      <c r="C39" s="228" t="e">
        <f ca="1">ROUND(C5*C19*C20*C24*F39,0)</f>
        <v>#DIV/0!</v>
      </c>
      <c r="D39" s="2843"/>
      <c r="E39" s="228" t="e">
        <f t="shared" ca="1" si="7"/>
        <v>#DIV/0!</v>
      </c>
      <c r="F39" s="928">
        <f>SUMIF(修正!A45:A56,G2,修正!H45:H56)</f>
        <v>0.15</v>
      </c>
      <c r="G39" s="228" t="e">
        <f t="shared" si="6"/>
        <v>#DIV/0!</v>
      </c>
      <c r="H39" s="228">
        <f t="shared" si="8"/>
        <v>0</v>
      </c>
      <c r="I39" s="228" t="e">
        <f t="shared" si="9"/>
        <v>#DIV/0!</v>
      </c>
      <c r="J39" s="2860"/>
      <c r="K39" s="1366"/>
      <c r="L39" s="2861" t="s">
        <v>2877</v>
      </c>
      <c r="M39" s="2862">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3"/>
      <c r="Z41" s="1367"/>
      <c r="AA41" s="1367"/>
      <c r="AB41" s="1367"/>
      <c r="AC41" s="1367"/>
      <c r="AD41" s="1367"/>
      <c r="AE41" s="1367"/>
      <c r="AF41" s="1367"/>
      <c r="AG41" s="1367"/>
      <c r="AH41" s="1367"/>
      <c r="AI41" s="1367"/>
      <c r="AJ41" s="1367"/>
    </row>
    <row r="42" spans="1:37" s="1366" customFormat="1">
      <c r="A42" s="1367"/>
      <c r="B42" s="2863"/>
      <c r="Z42" s="1367"/>
      <c r="AA42" s="1367"/>
      <c r="AB42" s="1367"/>
      <c r="AC42" s="1367"/>
      <c r="AD42" s="1367"/>
      <c r="AE42" s="1367"/>
      <c r="AF42" s="1367"/>
      <c r="AG42" s="1367"/>
      <c r="AH42" s="1367"/>
      <c r="AI42" s="1367"/>
      <c r="AJ42" s="1367"/>
    </row>
    <row r="43" spans="1:37" s="1366" customFormat="1">
      <c r="A43" s="1367"/>
      <c r="B43" s="2863"/>
      <c r="Z43" s="1367"/>
      <c r="AA43" s="1367"/>
      <c r="AB43" s="1367"/>
      <c r="AC43" s="1367"/>
      <c r="AD43" s="1367"/>
      <c r="AE43" s="1367"/>
      <c r="AF43" s="1367"/>
      <c r="AG43" s="1367"/>
      <c r="AH43" s="1367"/>
      <c r="AI43" s="1367"/>
      <c r="AJ43" s="1367"/>
    </row>
    <row r="44" spans="1:37" s="1366" customFormat="1">
      <c r="A44" s="1367"/>
      <c r="B44" s="2863"/>
      <c r="Z44" s="1367"/>
      <c r="AA44" s="1367"/>
      <c r="AB44" s="1367"/>
      <c r="AC44" s="1367"/>
      <c r="AD44" s="1367"/>
      <c r="AE44" s="1367"/>
      <c r="AF44" s="1367"/>
      <c r="AG44" s="1367"/>
      <c r="AH44" s="1367"/>
      <c r="AI44" s="1367"/>
      <c r="AJ44" s="1367"/>
    </row>
    <row r="45" spans="1:37" s="1366" customFormat="1" ht="15.75" thickBot="1">
      <c r="A45" s="2864" t="s">
        <v>2936</v>
      </c>
      <c r="B45" s="2865"/>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6" t="s">
        <v>2937</v>
      </c>
      <c r="B46" s="2867">
        <f>1+E48</f>
        <v>1</v>
      </c>
      <c r="C46" s="2868"/>
      <c r="D46" s="807"/>
      <c r="E46" s="808"/>
      <c r="F46" s="2869"/>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70" t="s">
        <v>2938</v>
      </c>
      <c r="B47" s="1803" t="s">
        <v>2939</v>
      </c>
      <c r="C47" s="1803" t="s">
        <v>2940</v>
      </c>
      <c r="D47" s="1803" t="s">
        <v>2941</v>
      </c>
      <c r="E47" s="812" t="s">
        <v>2942</v>
      </c>
      <c r="F47" s="2871" t="s">
        <v>2943</v>
      </c>
      <c r="G47" s="1803" t="s">
        <v>754</v>
      </c>
      <c r="H47" s="2872" t="s">
        <v>2944</v>
      </c>
      <c r="I47" s="1803" t="s">
        <v>2945</v>
      </c>
      <c r="J47" s="602" t="s">
        <v>2592</v>
      </c>
      <c r="K47" s="602" t="s">
        <v>2593</v>
      </c>
      <c r="L47" s="602" t="s">
        <v>2594</v>
      </c>
      <c r="M47" s="602" t="s">
        <v>2595</v>
      </c>
      <c r="N47" s="602" t="s">
        <v>2596</v>
      </c>
      <c r="AA47" s="1367"/>
      <c r="AB47" s="1367"/>
      <c r="AC47" s="1367"/>
      <c r="AD47" s="1367"/>
      <c r="AE47" s="1367"/>
      <c r="AF47" s="1367"/>
      <c r="AG47" s="1367"/>
      <c r="AH47" s="1367"/>
      <c r="AI47" s="1367"/>
      <c r="AJ47" s="1367"/>
      <c r="AK47" s="1367"/>
    </row>
    <row r="48" spans="1:37" s="1366" customFormat="1" ht="38.25">
      <c r="A48" s="2870" t="s">
        <v>2946</v>
      </c>
      <c r="B48" s="2873" t="str">
        <f>估价对象房地状况!C4</f>
        <v>估价对象位于XX商圈，周边商业氛围成熟，人流量大，商业繁华度好</v>
      </c>
      <c r="C48" s="2762"/>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0" t="s">
        <v>2947</v>
      </c>
      <c r="B49" s="2874" t="str">
        <f>估价对象房地状况!C18</f>
        <v>估价对象周边道路状况、公共交通通达情况、停车便捷程度，综合评价交通便捷度较好</v>
      </c>
      <c r="C49" s="2762"/>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0" t="s">
        <v>2948</v>
      </c>
      <c r="B50" s="2874">
        <f>估价对象房地状况!C19</f>
        <v>0</v>
      </c>
      <c r="C50" s="2762"/>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0" t="s">
        <v>2949</v>
      </c>
      <c r="B51" s="2875" t="s">
        <v>2950</v>
      </c>
      <c r="C51" s="2762"/>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0" t="s">
        <v>2951</v>
      </c>
      <c r="B52" s="2874">
        <f>估价对象房地状况!C24</f>
        <v>0</v>
      </c>
      <c r="C52" s="2762"/>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0" t="s">
        <v>2952</v>
      </c>
      <c r="B53" s="2876" t="s">
        <v>2953</v>
      </c>
      <c r="C53" s="2762"/>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7" t="s">
        <v>2954</v>
      </c>
      <c r="B54" s="1719" t="str">
        <f>估价对象房地状况!C21</f>
        <v>估价对象所在区域公共配套设施齐备情况</v>
      </c>
      <c r="C54" s="2762"/>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7" t="s">
        <v>2955</v>
      </c>
      <c r="B55" s="2874" t="str">
        <f>估价对象房地状况!C22</f>
        <v>估价对象所在区域基础设施水平</v>
      </c>
      <c r="C55" s="2762"/>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8" t="s">
        <v>2956</v>
      </c>
      <c r="B56" s="2879" t="str">
        <f>估价对象房地状况!C20</f>
        <v>区域自然环境：；人文环境；综合评价环境状况一般</v>
      </c>
      <c r="C56" s="2762"/>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6" t="s">
        <v>2957</v>
      </c>
      <c r="B57" s="2867">
        <f>1+E59</f>
        <v>1.0377000000000001</v>
      </c>
      <c r="C57" s="807"/>
      <c r="D57" s="807"/>
      <c r="E57" s="808"/>
      <c r="F57" s="2869"/>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0" t="s">
        <v>2938</v>
      </c>
      <c r="B58" s="1803"/>
      <c r="C58" s="1803" t="s">
        <v>2940</v>
      </c>
      <c r="D58" s="1803" t="s">
        <v>2941</v>
      </c>
      <c r="E58" s="812" t="s">
        <v>2942</v>
      </c>
      <c r="F58" s="2871" t="s">
        <v>2958</v>
      </c>
      <c r="G58" s="1803" t="s">
        <v>754</v>
      </c>
      <c r="H58" s="2872" t="s">
        <v>2944</v>
      </c>
      <c r="I58" s="1803" t="s">
        <v>2945</v>
      </c>
      <c r="J58" s="602" t="s">
        <v>2592</v>
      </c>
      <c r="K58" s="602" t="s">
        <v>2593</v>
      </c>
      <c r="L58" s="602" t="s">
        <v>2594</v>
      </c>
      <c r="M58" s="602" t="s">
        <v>2595</v>
      </c>
      <c r="N58" s="602" t="s">
        <v>2596</v>
      </c>
      <c r="AA58" s="1367"/>
      <c r="AB58" s="1367"/>
      <c r="AC58" s="1367"/>
      <c r="AD58" s="1367"/>
      <c r="AE58" s="1367"/>
      <c r="AF58" s="1367"/>
      <c r="AG58" s="1367"/>
      <c r="AH58" s="1367"/>
      <c r="AI58" s="1367"/>
      <c r="AJ58" s="1367"/>
      <c r="AK58" s="1367"/>
    </row>
    <row r="59" spans="1:37" s="1366" customFormat="1" ht="38.25">
      <c r="A59" s="2870" t="s">
        <v>2959</v>
      </c>
      <c r="B59" s="2873" t="str">
        <f>估价对象房地状况!C17</f>
        <v>估价对象位于XX商圈，周边办公楼项目较多，入驻率高，办公集聚程度较好</v>
      </c>
      <c r="C59" s="2762" t="s">
        <v>3048</v>
      </c>
      <c r="D59" s="1282">
        <f t="shared" ref="D59:D67" si="15">SUMIF($J$58:$N$58,C59,J59:N59)</f>
        <v>9.1000000000000004E-3</v>
      </c>
      <c r="E59" s="814">
        <f>ROUND(SUM(D59:D67),4)</f>
        <v>3.7699999999999997E-2</v>
      </c>
      <c r="F59" s="2494">
        <f>IF(E2="办公",SUMIF(L1:L12,G2,N1:N12),"——")</f>
        <v>0.15</v>
      </c>
      <c r="G59" s="2931">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51">
      <c r="A60" s="2870" t="s">
        <v>2947</v>
      </c>
      <c r="B60" s="2874" t="str">
        <f>估价对象房地状况!C18</f>
        <v>估价对象周边道路状况、公共交通通达情况、停车便捷程度，综合评价交通便捷度较好</v>
      </c>
      <c r="C60" s="2762" t="s">
        <v>3048</v>
      </c>
      <c r="D60" s="1282">
        <f t="shared" si="15"/>
        <v>1.14E-2</v>
      </c>
      <c r="E60" s="815"/>
      <c r="F60" s="2494"/>
      <c r="G60" s="2931">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0" t="s">
        <v>2948</v>
      </c>
      <c r="B61" s="2874">
        <f>估价对象房地状况!C19</f>
        <v>0</v>
      </c>
      <c r="C61" s="2762" t="s">
        <v>3048</v>
      </c>
      <c r="D61" s="1282">
        <f t="shared" si="15"/>
        <v>3.0000000000000001E-3</v>
      </c>
      <c r="E61" s="815"/>
      <c r="F61" s="2494"/>
      <c r="G61" s="2931">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0" t="s">
        <v>2949</v>
      </c>
      <c r="B62" s="2875" t="s">
        <v>2950</v>
      </c>
      <c r="C62" s="2762" t="s">
        <v>3048</v>
      </c>
      <c r="D62" s="1282">
        <f t="shared" si="15"/>
        <v>1.5E-3</v>
      </c>
      <c r="E62" s="815"/>
      <c r="F62" s="2494"/>
      <c r="G62" s="2931">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0" t="s">
        <v>2951</v>
      </c>
      <c r="B63" s="2874">
        <f>估价对象房地状况!C24</f>
        <v>0</v>
      </c>
      <c r="C63" s="2762" t="s">
        <v>3048</v>
      </c>
      <c r="D63" s="1282">
        <f t="shared" si="15"/>
        <v>1.9E-3</v>
      </c>
      <c r="E63" s="815"/>
      <c r="F63" s="2494"/>
      <c r="G63" s="2931">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0" t="s">
        <v>2952</v>
      </c>
      <c r="B64" s="2876" t="s">
        <v>2953</v>
      </c>
      <c r="C64" s="2762" t="s">
        <v>3048</v>
      </c>
      <c r="D64" s="1282">
        <f t="shared" si="15"/>
        <v>1.9E-3</v>
      </c>
      <c r="E64" s="815"/>
      <c r="F64" s="2494"/>
      <c r="G64" s="2931">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0" t="s">
        <v>2954</v>
      </c>
      <c r="B65" s="1719" t="str">
        <f>估价对象房地状况!C21</f>
        <v>估价对象所在区域公共配套设施齐备情况</v>
      </c>
      <c r="C65" s="2762" t="s">
        <v>3048</v>
      </c>
      <c r="D65" s="1282">
        <f t="shared" si="15"/>
        <v>2.2000000000000001E-3</v>
      </c>
      <c r="E65" s="815"/>
      <c r="F65" s="2494"/>
      <c r="G65" s="2931">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0" t="s">
        <v>2955</v>
      </c>
      <c r="B66" s="1719" t="str">
        <f>估价对象房地状况!C22</f>
        <v>估价对象所在区域基础设施水平</v>
      </c>
      <c r="C66" s="2762" t="s">
        <v>3048</v>
      </c>
      <c r="D66" s="1282">
        <f t="shared" si="15"/>
        <v>4.4999999999999997E-3</v>
      </c>
      <c r="E66" s="815"/>
      <c r="F66" s="2494"/>
      <c r="G66" s="2931">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39" thickBot="1">
      <c r="A67" s="2878" t="s">
        <v>2956</v>
      </c>
      <c r="B67" s="2880" t="str">
        <f>估价对象房地状况!C20</f>
        <v>区域自然环境：；人文环境；综合评价环境状况一般</v>
      </c>
      <c r="C67" s="2762" t="s">
        <v>3048</v>
      </c>
      <c r="D67" s="1282">
        <f t="shared" si="15"/>
        <v>2.2000000000000001E-3</v>
      </c>
      <c r="E67" s="818"/>
      <c r="F67" s="2494"/>
      <c r="G67" s="2931">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6" t="s">
        <v>2960</v>
      </c>
      <c r="B68" s="2867">
        <f>1+E70</f>
        <v>1</v>
      </c>
      <c r="C68" s="807"/>
      <c r="D68" s="807"/>
      <c r="E68" s="808"/>
      <c r="F68" s="2869"/>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0" t="s">
        <v>2938</v>
      </c>
      <c r="B69" s="1803"/>
      <c r="C69" s="1803" t="s">
        <v>2940</v>
      </c>
      <c r="D69" s="1803" t="s">
        <v>2941</v>
      </c>
      <c r="E69" s="812" t="s">
        <v>2942</v>
      </c>
      <c r="F69" s="2871" t="s">
        <v>2958</v>
      </c>
      <c r="G69" s="1803" t="s">
        <v>754</v>
      </c>
      <c r="H69" s="2872" t="s">
        <v>2944</v>
      </c>
      <c r="I69" s="1803" t="s">
        <v>2945</v>
      </c>
      <c r="J69" s="602" t="s">
        <v>2592</v>
      </c>
      <c r="K69" s="602" t="s">
        <v>2593</v>
      </c>
      <c r="L69" s="602" t="s">
        <v>2594</v>
      </c>
      <c r="M69" s="602" t="s">
        <v>2595</v>
      </c>
      <c r="N69" s="602" t="s">
        <v>2596</v>
      </c>
      <c r="AA69" s="1367"/>
      <c r="AB69" s="1367"/>
      <c r="AC69" s="1367"/>
      <c r="AD69" s="1367"/>
      <c r="AE69" s="1367"/>
      <c r="AF69" s="1367"/>
      <c r="AG69" s="1367"/>
      <c r="AH69" s="1367"/>
      <c r="AI69" s="1367"/>
      <c r="AJ69" s="1367"/>
      <c r="AK69" s="1367"/>
    </row>
    <row r="70" spans="1:37" s="1366" customFormat="1" ht="51">
      <c r="A70" s="2870" t="s">
        <v>2961</v>
      </c>
      <c r="B70" s="2873" t="str">
        <f>估价对象房地状况!C15</f>
        <v>估价对象周边居住用地比例、居住小区规模和社区发展完善程度，综合评价居住社区成熟度一般</v>
      </c>
      <c r="C70" s="2762"/>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0" t="s">
        <v>2947</v>
      </c>
      <c r="B71" s="2874" t="str">
        <f>估价对象房地状况!C18</f>
        <v>估价对象周边道路状况、公共交通通达情况、停车便捷程度，综合评价交通便捷度较好</v>
      </c>
      <c r="C71" s="2762"/>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0" t="s">
        <v>2948</v>
      </c>
      <c r="B72" s="2874">
        <f>估价对象房地状况!C19</f>
        <v>0</v>
      </c>
      <c r="C72" s="2762"/>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0" t="s">
        <v>2962</v>
      </c>
      <c r="B73" s="2874">
        <f>估价对象房地状况!C24</f>
        <v>0</v>
      </c>
      <c r="C73" s="2762"/>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0" t="s">
        <v>2954</v>
      </c>
      <c r="B74" s="1719" t="str">
        <f>估价对象房地状况!C21</f>
        <v>估价对象所在区域公共配套设施齐备情况</v>
      </c>
      <c r="C74" s="2762"/>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0" t="s">
        <v>2955</v>
      </c>
      <c r="B75" s="1719" t="str">
        <f>估价对象房地状况!C22</f>
        <v>估价对象所在区域基础设施水平</v>
      </c>
      <c r="C75" s="2762"/>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1" customFormat="1" ht="24">
      <c r="A76" s="2870" t="s">
        <v>2952</v>
      </c>
      <c r="B76" s="2876" t="s">
        <v>2953</v>
      </c>
      <c r="C76" s="2762"/>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1"/>
      <c r="AB76" s="1367"/>
      <c r="AC76" s="1367"/>
      <c r="AD76" s="1367"/>
      <c r="AE76" s="1367"/>
      <c r="AF76" s="1367"/>
      <c r="AG76" s="1367"/>
      <c r="AH76" s="2881"/>
      <c r="AI76" s="2881"/>
      <c r="AJ76" s="2881"/>
      <c r="AK76" s="2881"/>
    </row>
    <row r="77" spans="1:37" ht="38.25">
      <c r="A77" s="2870" t="s">
        <v>2956</v>
      </c>
      <c r="B77" s="2873" t="str">
        <f>估价对象房地状况!C20</f>
        <v>区域自然环境：；人文环境；综合评价环境状况一般</v>
      </c>
      <c r="C77" s="2762"/>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2"/>
      <c r="AA77" s="2788"/>
      <c r="AG77" s="1368"/>
      <c r="AK77" s="2788"/>
    </row>
    <row r="78" spans="1:37" ht="24.75" thickBot="1">
      <c r="A78" s="2878" t="s">
        <v>2963</v>
      </c>
      <c r="B78" s="2882"/>
      <c r="C78" s="2762"/>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2"/>
      <c r="AA78" s="2788"/>
      <c r="AG78" s="1368"/>
      <c r="AK78" s="2788"/>
    </row>
    <row r="79" spans="1:37" ht="15">
      <c r="A79" s="2866" t="s">
        <v>2964</v>
      </c>
      <c r="B79" s="2867">
        <f>1+E81</f>
        <v>1</v>
      </c>
      <c r="C79" s="807"/>
      <c r="D79" s="807"/>
      <c r="E79" s="808"/>
      <c r="F79" s="2869"/>
      <c r="G79" s="6"/>
      <c r="H79" s="6"/>
      <c r="I79" s="6"/>
      <c r="J79" s="7"/>
      <c r="K79" s="7"/>
      <c r="L79" s="7"/>
      <c r="M79" s="7"/>
      <c r="N79" s="7"/>
      <c r="Z79" s="2712"/>
      <c r="AA79" s="2788"/>
      <c r="AG79" s="1368"/>
      <c r="AK79" s="2788"/>
    </row>
    <row r="80" spans="1:37" ht="24.75">
      <c r="A80" s="2870" t="s">
        <v>2938</v>
      </c>
      <c r="B80" s="1803"/>
      <c r="C80" s="1803" t="s">
        <v>2940</v>
      </c>
      <c r="D80" s="1803" t="s">
        <v>2941</v>
      </c>
      <c r="E80" s="812" t="s">
        <v>2942</v>
      </c>
      <c r="F80" s="2871" t="s">
        <v>2958</v>
      </c>
      <c r="G80" s="1803" t="s">
        <v>754</v>
      </c>
      <c r="H80" s="2872" t="s">
        <v>2944</v>
      </c>
      <c r="I80" s="1803" t="s">
        <v>2945</v>
      </c>
      <c r="J80" s="602" t="s">
        <v>2592</v>
      </c>
      <c r="K80" s="602" t="s">
        <v>2593</v>
      </c>
      <c r="L80" s="602" t="s">
        <v>2594</v>
      </c>
      <c r="M80" s="602" t="s">
        <v>2595</v>
      </c>
      <c r="N80" s="602" t="s">
        <v>2596</v>
      </c>
      <c r="Z80" s="2712"/>
      <c r="AA80" s="2788"/>
      <c r="AG80" s="1368"/>
      <c r="AK80" s="2788"/>
    </row>
    <row r="81" spans="1:37" ht="38.25">
      <c r="A81" s="2870" t="s">
        <v>2965</v>
      </c>
      <c r="B81" s="2874" t="str">
        <f>估价对象房地状况!G15</f>
        <v>估价对象位于XX开发区，园区建设成熟度XX，产业集聚程度XX</v>
      </c>
      <c r="C81" s="2762"/>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2"/>
      <c r="AA81" s="2788"/>
      <c r="AG81" s="1368"/>
      <c r="AK81" s="2788"/>
    </row>
    <row r="82" spans="1:37" ht="51">
      <c r="A82" s="2870" t="s">
        <v>2947</v>
      </c>
      <c r="B82" s="2874" t="str">
        <f>估价对象房地状况!G16</f>
        <v>估价对象周边道路状况、公共交通通达情况、停车便捷程度，综合评价交通便捷度较好</v>
      </c>
      <c r="C82" s="2762"/>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2"/>
      <c r="AA82" s="2788"/>
      <c r="AG82" s="1368"/>
      <c r="AK82" s="2788"/>
    </row>
    <row r="83" spans="1:37" ht="24">
      <c r="A83" s="2870" t="s">
        <v>2948</v>
      </c>
      <c r="B83" s="2874">
        <f>估价对象房地状况!G17</f>
        <v>0</v>
      </c>
      <c r="C83" s="2762"/>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2"/>
      <c r="AA83" s="2788"/>
      <c r="AG83" s="1368"/>
      <c r="AK83" s="2788"/>
    </row>
    <row r="84" spans="1:37" ht="14.25">
      <c r="A84" s="2870" t="s">
        <v>2962</v>
      </c>
      <c r="B84" s="2874">
        <f>估价对象房地状况!G22</f>
        <v>0</v>
      </c>
      <c r="C84" s="2762"/>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2"/>
      <c r="AA84" s="2788"/>
      <c r="AG84" s="1368"/>
      <c r="AK84" s="2788"/>
    </row>
    <row r="85" spans="1:37" ht="25.5">
      <c r="A85" s="2870" t="s">
        <v>2954</v>
      </c>
      <c r="B85" s="1719" t="str">
        <f>估价对象房地状况!G19</f>
        <v>估价对象所在区域公共配套设施齐备情况</v>
      </c>
      <c r="C85" s="2762"/>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2"/>
      <c r="AA85" s="2788"/>
      <c r="AG85" s="1368"/>
      <c r="AK85" s="2788"/>
    </row>
    <row r="86" spans="1:37" ht="25.5">
      <c r="A86" s="2870" t="s">
        <v>2955</v>
      </c>
      <c r="B86" s="1719" t="str">
        <f>估价对象房地状况!G20</f>
        <v>估价对象所在区域基础设施水平</v>
      </c>
      <c r="C86" s="2762"/>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2"/>
      <c r="AA86" s="2788"/>
      <c r="AG86" s="1368"/>
      <c r="AK86" s="2788"/>
    </row>
    <row r="87" spans="1:37" ht="24">
      <c r="A87" s="2870" t="s">
        <v>2952</v>
      </c>
      <c r="B87" s="2876" t="s">
        <v>2966</v>
      </c>
      <c r="C87" s="2762"/>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2"/>
      <c r="AA87" s="2788"/>
      <c r="AG87" s="1368"/>
      <c r="AK87" s="2788"/>
    </row>
    <row r="88" spans="1:37" ht="39" thickBot="1">
      <c r="A88" s="2878" t="s">
        <v>2967</v>
      </c>
      <c r="B88" s="2883" t="str">
        <f>估价对象房地状况!G18</f>
        <v>该园区内是否有污染型企业，绿化情况，卫生条件，整体环境状况判断</v>
      </c>
      <c r="C88" s="2762"/>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2"/>
      <c r="AA88" s="2788"/>
      <c r="AG88" s="1368"/>
      <c r="AK88" s="2788"/>
    </row>
    <row r="90" spans="1:37">
      <c r="A90" s="3311" t="s">
        <v>2968</v>
      </c>
      <c r="B90" s="3311"/>
      <c r="C90" s="3311"/>
      <c r="D90" s="3311"/>
      <c r="E90" s="3311"/>
      <c r="F90" s="3311"/>
      <c r="G90" s="3311"/>
      <c r="H90" s="3311"/>
      <c r="I90" s="3311"/>
      <c r="J90" s="3311"/>
      <c r="K90" s="2884"/>
      <c r="L90" s="2884"/>
      <c r="M90" s="2884"/>
      <c r="N90" s="2884"/>
    </row>
    <row r="91" spans="1:37">
      <c r="A91" s="3313" t="s">
        <v>2969</v>
      </c>
      <c r="B91" s="3313" t="s">
        <v>2970</v>
      </c>
      <c r="C91" s="2838" t="s">
        <v>2971</v>
      </c>
      <c r="D91" s="2839"/>
      <c r="E91" s="2839"/>
      <c r="F91" s="2839"/>
      <c r="G91" s="2839"/>
      <c r="H91" s="2839"/>
      <c r="I91" s="2839"/>
      <c r="J91" s="2885"/>
      <c r="K91" s="2886"/>
      <c r="L91" s="2886"/>
      <c r="M91" s="2886"/>
      <c r="N91" s="2886"/>
    </row>
    <row r="92" spans="1:37">
      <c r="A92" s="3313"/>
      <c r="B92" s="3313"/>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14"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5"/>
      <c r="B99" s="2887" t="s">
        <v>2852</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4" t="s">
        <v>2973</v>
      </c>
      <c r="B101" s="2891" t="s">
        <v>2974</v>
      </c>
      <c r="C101" s="2892">
        <f>$G$3</f>
        <v>1.41</v>
      </c>
      <c r="D101" s="2892">
        <f t="shared" ref="D101:N101" si="31">$G$3</f>
        <v>1.41</v>
      </c>
      <c r="E101" s="2892">
        <f t="shared" si="31"/>
        <v>1.41</v>
      </c>
      <c r="F101" s="2892">
        <f t="shared" si="31"/>
        <v>1.41</v>
      </c>
      <c r="G101" s="2892">
        <f t="shared" si="31"/>
        <v>1.41</v>
      </c>
      <c r="H101" s="2892">
        <f t="shared" si="31"/>
        <v>1.41</v>
      </c>
      <c r="I101" s="2892">
        <f t="shared" si="31"/>
        <v>1.41</v>
      </c>
      <c r="J101" s="2892">
        <f t="shared" si="31"/>
        <v>1.41</v>
      </c>
      <c r="K101" s="2892">
        <f t="shared" si="31"/>
        <v>1.41</v>
      </c>
      <c r="L101" s="2892">
        <f t="shared" si="31"/>
        <v>1.41</v>
      </c>
      <c r="M101" s="2892">
        <f t="shared" si="31"/>
        <v>1.41</v>
      </c>
      <c r="N101" s="2892">
        <f t="shared" si="31"/>
        <v>1.41</v>
      </c>
    </row>
    <row r="102" spans="1:14">
      <c r="A102" s="3315"/>
      <c r="B102" s="2887">
        <v>1</v>
      </c>
      <c r="C102" s="2888">
        <f>1.9362/C101</f>
        <v>1.3731914893617021</v>
      </c>
      <c r="D102" s="2888">
        <f>1.9362/D101</f>
        <v>1.3731914893617021</v>
      </c>
      <c r="E102" s="2888">
        <f>1.8629/E101</f>
        <v>1.3212056737588653</v>
      </c>
      <c r="F102" s="2888">
        <f>1.8629/F101</f>
        <v>1.3212056737588653</v>
      </c>
      <c r="G102" s="2888">
        <f>1.8629/G101</f>
        <v>1.3212056737588653</v>
      </c>
      <c r="H102" s="2888">
        <f>1.8629/H101</f>
        <v>1.3212056737588653</v>
      </c>
      <c r="I102" s="2888">
        <f>1.8629/I101</f>
        <v>1.3212056737588653</v>
      </c>
      <c r="J102" s="2888">
        <f>1.942/J101</f>
        <v>1.3773049645390072</v>
      </c>
      <c r="K102" s="2888">
        <f>1.942/K101</f>
        <v>1.3773049645390072</v>
      </c>
      <c r="L102" s="2888">
        <f>1.942/L101</f>
        <v>1.3773049645390072</v>
      </c>
      <c r="M102" s="2888">
        <f>1.942/M101</f>
        <v>1.3773049645390072</v>
      </c>
      <c r="N102" s="2888">
        <f>1.942/N101</f>
        <v>1.3773049645390072</v>
      </c>
    </row>
    <row r="103" spans="1:14">
      <c r="A103" s="3315"/>
      <c r="B103" s="2887">
        <v>2</v>
      </c>
      <c r="C103" s="2888">
        <f>1.4198/C101</f>
        <v>1.0069503546099292</v>
      </c>
      <c r="D103" s="2888">
        <f>1.4198/D101</f>
        <v>1.0069503546099292</v>
      </c>
      <c r="E103" s="2888">
        <f>1.3372/E101</f>
        <v>0.9483687943262411</v>
      </c>
      <c r="F103" s="2888">
        <f>1.3372/F101</f>
        <v>0.9483687943262411</v>
      </c>
      <c r="G103" s="2888">
        <f>1.3372/G101</f>
        <v>0.9483687943262411</v>
      </c>
      <c r="H103" s="2888">
        <f>1.3372/H101</f>
        <v>0.9483687943262411</v>
      </c>
      <c r="I103" s="2888">
        <f>1.3372/I101</f>
        <v>0.9483687943262411</v>
      </c>
      <c r="J103" s="2888">
        <f>1.2799/J101</f>
        <v>0.9077304964539008</v>
      </c>
      <c r="K103" s="2888">
        <f>1.2799/K101</f>
        <v>0.9077304964539008</v>
      </c>
      <c r="L103" s="2888">
        <f>1.2799/L101</f>
        <v>0.9077304964539008</v>
      </c>
      <c r="M103" s="2888">
        <f>1.2799/M101</f>
        <v>0.9077304964539008</v>
      </c>
      <c r="N103" s="2888">
        <f>1.2799/N101</f>
        <v>0.9077304964539008</v>
      </c>
    </row>
    <row r="104" spans="1:14">
      <c r="A104" s="3315"/>
      <c r="B104" s="2887">
        <v>3</v>
      </c>
      <c r="C104" s="2888">
        <f>1.1594/C101</f>
        <v>0.82226950354609929</v>
      </c>
      <c r="D104" s="2888">
        <f>1.1594/D101</f>
        <v>0.82226950354609929</v>
      </c>
      <c r="E104" s="2888">
        <f>1.0788/E101</f>
        <v>0.76510638297872346</v>
      </c>
      <c r="F104" s="2888">
        <f>1.0788/F101</f>
        <v>0.76510638297872346</v>
      </c>
      <c r="G104" s="2888">
        <f>1.0788/G101</f>
        <v>0.76510638297872346</v>
      </c>
      <c r="H104" s="2888">
        <f>1.0788/H101</f>
        <v>0.76510638297872346</v>
      </c>
      <c r="I104" s="2888">
        <f>1.0788/I101</f>
        <v>0.76510638297872346</v>
      </c>
      <c r="J104" s="2888">
        <f>1.0072/J101</f>
        <v>0.71432624113475185</v>
      </c>
      <c r="K104" s="2888">
        <f>1.0072/K101</f>
        <v>0.71432624113475185</v>
      </c>
      <c r="L104" s="2888">
        <f>1.0072/L101</f>
        <v>0.71432624113475185</v>
      </c>
      <c r="M104" s="2888">
        <f>1.0072/M101</f>
        <v>0.71432624113475185</v>
      </c>
      <c r="N104" s="2888">
        <f>1.0072/N101</f>
        <v>0.71432624113475185</v>
      </c>
    </row>
    <row r="105" spans="1:14">
      <c r="A105" s="3315"/>
      <c r="B105" s="2887">
        <v>4</v>
      </c>
      <c r="C105" s="2888">
        <f>0.9622/C101</f>
        <v>0.68241134751773058</v>
      </c>
      <c r="D105" s="2888">
        <f>0.9622/D101</f>
        <v>0.68241134751773058</v>
      </c>
      <c r="E105" s="2888">
        <f>0.8656/E101</f>
        <v>0.61390070921985818</v>
      </c>
      <c r="F105" s="2888">
        <f>0.8656/F101</f>
        <v>0.61390070921985818</v>
      </c>
      <c r="G105" s="2888">
        <f>0.8656/G101</f>
        <v>0.61390070921985818</v>
      </c>
      <c r="H105" s="2888">
        <f>0.8656/H101</f>
        <v>0.61390070921985818</v>
      </c>
      <c r="I105" s="2888">
        <f>0.8656/I101</f>
        <v>0.61390070921985818</v>
      </c>
      <c r="J105" s="2888">
        <f>0.7525/J101</f>
        <v>0.53368794326241131</v>
      </c>
      <c r="K105" s="2888">
        <f>0.7525/K101</f>
        <v>0.53368794326241131</v>
      </c>
      <c r="L105" s="2888">
        <f>0.7525/L101</f>
        <v>0.53368794326241131</v>
      </c>
      <c r="M105" s="2888">
        <f>0.7525/M101</f>
        <v>0.53368794326241131</v>
      </c>
      <c r="N105" s="2888">
        <f>0.7525/N101</f>
        <v>0.53368794326241131</v>
      </c>
    </row>
    <row r="106" spans="1:14">
      <c r="A106" s="3315"/>
      <c r="B106" s="2887">
        <v>5</v>
      </c>
      <c r="C106" s="2888">
        <f>0.8417/C101</f>
        <v>0.59695035460992907</v>
      </c>
      <c r="D106" s="2888">
        <f>0.8417/D101</f>
        <v>0.59695035460992907</v>
      </c>
      <c r="E106" s="2888">
        <f>0.7371/E101</f>
        <v>0.52276595744680854</v>
      </c>
      <c r="F106" s="2888">
        <f>0.7371/F101</f>
        <v>0.52276595744680854</v>
      </c>
      <c r="G106" s="2888">
        <f>0.7371/G101</f>
        <v>0.52276595744680854</v>
      </c>
      <c r="H106" s="2888">
        <f>0.7371/H101</f>
        <v>0.52276595744680854</v>
      </c>
      <c r="I106" s="2888">
        <f>0.7371/I101</f>
        <v>0.52276595744680854</v>
      </c>
      <c r="J106" s="2888">
        <f>0.5659/J101</f>
        <v>0.40134751773049643</v>
      </c>
      <c r="K106" s="2888">
        <f>0.5659/K101</f>
        <v>0.40134751773049643</v>
      </c>
      <c r="L106" s="2888">
        <f>0.5659/L101</f>
        <v>0.40134751773049643</v>
      </c>
      <c r="M106" s="2888">
        <f>0.5659/M101</f>
        <v>0.40134751773049643</v>
      </c>
      <c r="N106" s="2888">
        <f>0.5659/N101</f>
        <v>0.40134751773049643</v>
      </c>
    </row>
    <row r="107" spans="1:14">
      <c r="A107" s="3315"/>
      <c r="B107" s="2887">
        <v>6</v>
      </c>
      <c r="C107" s="2888">
        <f>0.7608/C101</f>
        <v>0.53957446808510645</v>
      </c>
      <c r="D107" s="2888">
        <f>0.7608/D101</f>
        <v>0.53957446808510645</v>
      </c>
      <c r="E107" s="2888">
        <f>0.6482/E101</f>
        <v>0.45971631205673763</v>
      </c>
      <c r="F107" s="2888">
        <f>0.6482/F101</f>
        <v>0.45971631205673763</v>
      </c>
      <c r="G107" s="2888">
        <f>0.6482/G101</f>
        <v>0.45971631205673763</v>
      </c>
      <c r="H107" s="2888">
        <f>0.6482/H101</f>
        <v>0.45971631205673763</v>
      </c>
      <c r="I107" s="2888">
        <f>0.6482/I101</f>
        <v>0.45971631205673763</v>
      </c>
      <c r="J107" s="2888">
        <f>0.4525/J101</f>
        <v>0.32092198581560288</v>
      </c>
      <c r="K107" s="2888">
        <f>0.4525/K101</f>
        <v>0.32092198581560288</v>
      </c>
      <c r="L107" s="2888">
        <f>0.4525/L101</f>
        <v>0.32092198581560288</v>
      </c>
      <c r="M107" s="2888">
        <f>0.4525/M101</f>
        <v>0.32092198581560288</v>
      </c>
      <c r="N107" s="2888">
        <f>0.4525/N101</f>
        <v>0.32092198581560288</v>
      </c>
    </row>
    <row r="108" spans="1:14">
      <c r="A108" s="3315"/>
      <c r="B108" s="3167"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6"/>
      <c r="B109" s="3168"/>
      <c r="C109" s="2890">
        <f>(-0.163*(C108^2)-0.59*C108+7617)*(10^(-4))/C101</f>
        <v>0.54021276595744683</v>
      </c>
      <c r="D109" s="2890">
        <f>(-0.163*(D108^2)-0.59*D108+7617)*(10^(-4))/D101</f>
        <v>0.54021276595744683</v>
      </c>
      <c r="E109" s="2890">
        <f>(-0.161*(E108^2)-7.509*E108+6533)*(10^(-4))/E101</f>
        <v>0.46333333333333337</v>
      </c>
      <c r="F109" s="2890">
        <f>(-0.161*(F108^2)-7.509*F108+6533)*(10^(-4))/F101</f>
        <v>0.46333333333333337</v>
      </c>
      <c r="G109" s="2890">
        <f>(-0.161*(G108^2)-7.509*G108+6533)*(10^(-4))/G101</f>
        <v>0.46333333333333337</v>
      </c>
      <c r="H109" s="2890">
        <f>(-0.161*(H108^2)-7.509*H108+6533)*(10^(-4))/H101</f>
        <v>0.46333333333333337</v>
      </c>
      <c r="I109" s="2890">
        <f>(-0.161*(I108^2)-7.509*I108+6533)*(10^(-4))/I101</f>
        <v>0.46333333333333337</v>
      </c>
      <c r="J109" s="2890">
        <f>(-0.214*(J108^2)-21.991*J108+4665)*(10^(-4))/J101</f>
        <v>0.3308510638297873</v>
      </c>
      <c r="K109" s="2890">
        <f>(-0.214*(K108^2)-21.991*K108+4665)*(10^(-4))/K101</f>
        <v>0.3308510638297873</v>
      </c>
      <c r="L109" s="2890">
        <f>(-0.214*(L108^2)-21.991*L108+4665)*(10^(-4))/L101</f>
        <v>0.3308510638297873</v>
      </c>
      <c r="M109" s="2890">
        <f>(-0.214*(M108^2)-21.991*M108+4665)*(10^(-4))/M101</f>
        <v>0.3308510638297873</v>
      </c>
      <c r="N109" s="2890">
        <f>(-0.214*(N108^2)-21.991*N108+4665)*(10^(-4))/N101</f>
        <v>0.3308510638297873</v>
      </c>
    </row>
    <row r="110" spans="1:14">
      <c r="A110" s="3312" t="s">
        <v>2976</v>
      </c>
      <c r="B110" s="3312"/>
      <c r="C110" s="3312"/>
      <c r="D110" s="3312"/>
      <c r="E110" s="3312"/>
      <c r="F110" s="3312"/>
      <c r="G110" s="3312"/>
      <c r="H110" s="3312"/>
      <c r="I110" s="3312"/>
      <c r="J110" s="3312"/>
      <c r="K110" s="2893"/>
      <c r="L110" s="2893"/>
      <c r="M110" s="2893"/>
      <c r="N110" s="2893"/>
    </row>
    <row r="112" spans="1:14" ht="13.5" thickBot="1"/>
    <row r="113" spans="1:13" ht="25.5" thickBot="1">
      <c r="A113" s="896" t="s">
        <v>2977</v>
      </c>
      <c r="B113" s="1283">
        <f>G3</f>
        <v>1.41</v>
      </c>
      <c r="C113" s="897" t="s">
        <v>2978</v>
      </c>
      <c r="D113" s="898">
        <f>SUMPRODUCT((A115:A118=F113)*(B114:M114=H113)*B115:M118)</f>
        <v>0.74970000000000003</v>
      </c>
      <c r="E113" s="2716" t="s">
        <v>2809</v>
      </c>
      <c r="F113" s="2895" t="str">
        <f>E2</f>
        <v>办公</v>
      </c>
      <c r="G113" s="2716" t="s">
        <v>2810</v>
      </c>
      <c r="H113" s="2895" t="str">
        <f>G2</f>
        <v>八级</v>
      </c>
      <c r="I113" s="2716"/>
      <c r="J113" s="2896"/>
      <c r="K113" s="2896"/>
      <c r="L113" s="2896"/>
      <c r="M113" s="2896"/>
    </row>
    <row r="114" spans="1:13">
      <c r="A114" s="901"/>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2" t="s">
        <v>2874</v>
      </c>
      <c r="B115" s="903">
        <f>ROUND(0.9335-0.0094*B113,4)</f>
        <v>0.92020000000000002</v>
      </c>
      <c r="C115" s="903">
        <f>B115</f>
        <v>0.92020000000000002</v>
      </c>
      <c r="D115" s="903">
        <f>ROUND(0.8331-0.0109*B113,4)</f>
        <v>0.81769999999999998</v>
      </c>
      <c r="E115" s="903">
        <f>D115</f>
        <v>0.81769999999999998</v>
      </c>
      <c r="F115" s="903">
        <f>E115</f>
        <v>0.81769999999999998</v>
      </c>
      <c r="G115" s="903">
        <f>F115</f>
        <v>0.81769999999999998</v>
      </c>
      <c r="H115" s="903">
        <f>G115</f>
        <v>0.81769999999999998</v>
      </c>
      <c r="I115" s="903">
        <f>ROUND(0.689-0.0155*B113,4)</f>
        <v>0.66710000000000003</v>
      </c>
      <c r="J115" s="903">
        <f t="shared" ref="J115:M118" si="33">I115</f>
        <v>0.66710000000000003</v>
      </c>
      <c r="K115" s="903">
        <f t="shared" si="33"/>
        <v>0.66710000000000003</v>
      </c>
      <c r="L115" s="903">
        <f t="shared" si="33"/>
        <v>0.66710000000000003</v>
      </c>
      <c r="M115" s="904">
        <f t="shared" si="33"/>
        <v>0.66710000000000003</v>
      </c>
    </row>
    <row r="116" spans="1:13">
      <c r="A116" s="902" t="s">
        <v>2875</v>
      </c>
      <c r="B116" s="903">
        <f>ROUND(0.949-0.012*B113,4)</f>
        <v>0.93210000000000004</v>
      </c>
      <c r="C116" s="903">
        <f>B116</f>
        <v>0.93210000000000004</v>
      </c>
      <c r="D116" s="903">
        <f>ROUND(0.8567-0.013*B113,4)</f>
        <v>0.83840000000000003</v>
      </c>
      <c r="E116" s="903">
        <f t="shared" ref="E116:H117" si="34">D116</f>
        <v>0.83840000000000003</v>
      </c>
      <c r="F116" s="903">
        <f t="shared" si="34"/>
        <v>0.83840000000000003</v>
      </c>
      <c r="G116" s="903">
        <f t="shared" si="34"/>
        <v>0.83840000000000003</v>
      </c>
      <c r="H116" s="903">
        <f t="shared" si="34"/>
        <v>0.83840000000000003</v>
      </c>
      <c r="I116" s="903">
        <f>ROUND(0.7694-0.014*B113,4)</f>
        <v>0.74970000000000003</v>
      </c>
      <c r="J116" s="903">
        <f t="shared" si="33"/>
        <v>0.74970000000000003</v>
      </c>
      <c r="K116" s="903">
        <f t="shared" si="33"/>
        <v>0.74970000000000003</v>
      </c>
      <c r="L116" s="903">
        <f t="shared" si="33"/>
        <v>0.74970000000000003</v>
      </c>
      <c r="M116" s="904">
        <f t="shared" si="33"/>
        <v>0.74970000000000003</v>
      </c>
    </row>
    <row r="117" spans="1:13">
      <c r="A117" s="902" t="s">
        <v>2876</v>
      </c>
      <c r="B117" s="903">
        <f>ROUND(0.8808-0.006*B113,4)</f>
        <v>0.87229999999999996</v>
      </c>
      <c r="C117" s="903">
        <f>B117</f>
        <v>0.87229999999999996</v>
      </c>
      <c r="D117" s="903">
        <f>ROUND(0.8748-0.008*B113,4)</f>
        <v>0.86350000000000005</v>
      </c>
      <c r="E117" s="903">
        <f t="shared" si="34"/>
        <v>0.86350000000000005</v>
      </c>
      <c r="F117" s="903">
        <f t="shared" si="34"/>
        <v>0.86350000000000005</v>
      </c>
      <c r="G117" s="903">
        <f t="shared" si="34"/>
        <v>0.86350000000000005</v>
      </c>
      <c r="H117" s="903">
        <f t="shared" si="34"/>
        <v>0.86350000000000005</v>
      </c>
      <c r="I117" s="903">
        <f>ROUND(0.7412-0.0095*B113,4)</f>
        <v>0.7278</v>
      </c>
      <c r="J117" s="903">
        <f t="shared" si="33"/>
        <v>0.7278</v>
      </c>
      <c r="K117" s="903">
        <f t="shared" si="33"/>
        <v>0.7278</v>
      </c>
      <c r="L117" s="903">
        <f t="shared" si="33"/>
        <v>0.7278</v>
      </c>
      <c r="M117" s="904">
        <f t="shared" si="33"/>
        <v>0.7278</v>
      </c>
    </row>
    <row r="118" spans="1:13" ht="13.5" thickBot="1">
      <c r="A118" s="713" t="s">
        <v>2877</v>
      </c>
      <c r="B118" s="905">
        <f>ROUND(0.7275-0.01*B113,4)</f>
        <v>0.71340000000000003</v>
      </c>
      <c r="C118" s="905">
        <f>B118</f>
        <v>0.71340000000000003</v>
      </c>
      <c r="D118" s="905">
        <f>ROUND(0.7043-0.012*B113,4)</f>
        <v>0.68740000000000001</v>
      </c>
      <c r="E118" s="905">
        <f>D118</f>
        <v>0.68740000000000001</v>
      </c>
      <c r="F118" s="905">
        <f>E118</f>
        <v>0.68740000000000001</v>
      </c>
      <c r="G118" s="905">
        <f>ROUND(0.6299-0.0122*B113,4)</f>
        <v>0.61270000000000002</v>
      </c>
      <c r="H118" s="905">
        <f>G118</f>
        <v>0.61270000000000002</v>
      </c>
      <c r="I118" s="905">
        <f>ROUND(0.5667-0.0136*B113,4)</f>
        <v>0.54749999999999999</v>
      </c>
      <c r="J118" s="905">
        <f t="shared" si="33"/>
        <v>0.54749999999999999</v>
      </c>
      <c r="K118" s="905">
        <f t="shared" si="33"/>
        <v>0.54749999999999999</v>
      </c>
      <c r="L118" s="905">
        <f t="shared" si="33"/>
        <v>0.54749999999999999</v>
      </c>
      <c r="M118" s="906">
        <f t="shared" si="33"/>
        <v>0.54749999999999999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20" t="s">
        <v>183</v>
      </c>
      <c r="B18" s="875" t="s">
        <v>560</v>
      </c>
      <c r="C18" s="876" t="s">
        <v>561</v>
      </c>
      <c r="D18" s="877"/>
      <c r="E18" s="875">
        <v>1</v>
      </c>
      <c r="F18" s="878" t="s">
        <v>562</v>
      </c>
      <c r="G18" s="879"/>
      <c r="H18" s="871"/>
      <c r="I18" s="871"/>
    </row>
    <row r="19" spans="1:9" s="880" customFormat="1" ht="19.5" customHeight="1">
      <c r="A19" s="3320"/>
      <c r="B19" s="3320" t="s">
        <v>563</v>
      </c>
      <c r="C19" s="876" t="s">
        <v>564</v>
      </c>
      <c r="D19" s="877"/>
      <c r="E19" s="875">
        <v>0.9</v>
      </c>
      <c r="F19" s="878" t="s">
        <v>565</v>
      </c>
      <c r="G19" s="879"/>
      <c r="H19" s="871"/>
      <c r="I19" s="871"/>
    </row>
    <row r="20" spans="1:9" s="880" customFormat="1" ht="19.5" customHeight="1">
      <c r="A20" s="3320"/>
      <c r="B20" s="3320"/>
      <c r="C20" s="876" t="s">
        <v>566</v>
      </c>
      <c r="D20" s="877"/>
      <c r="E20" s="875">
        <v>1.1000000000000001</v>
      </c>
      <c r="F20" s="878" t="s">
        <v>567</v>
      </c>
      <c r="G20" s="879"/>
      <c r="H20" s="871"/>
      <c r="I20" s="871"/>
    </row>
    <row r="21" spans="1:9" s="880" customFormat="1" ht="19.5" customHeight="1">
      <c r="A21" s="3320"/>
      <c r="B21" s="3320"/>
      <c r="C21" s="876" t="s">
        <v>568</v>
      </c>
      <c r="D21" s="877"/>
      <c r="E21" s="875">
        <v>0.8</v>
      </c>
      <c r="F21" s="878" t="s">
        <v>569</v>
      </c>
      <c r="G21" s="879"/>
      <c r="H21" s="871"/>
      <c r="I21" s="871"/>
    </row>
    <row r="22" spans="1:9" s="880" customFormat="1" ht="19.5" customHeight="1">
      <c r="A22" s="3320"/>
      <c r="B22" s="3320"/>
      <c r="C22" s="876" t="s">
        <v>570</v>
      </c>
      <c r="D22" s="877"/>
      <c r="E22" s="875">
        <v>0.5</v>
      </c>
      <c r="F22" s="878"/>
      <c r="G22" s="879"/>
      <c r="H22" s="871"/>
      <c r="I22" s="871"/>
    </row>
    <row r="23" spans="1:9" s="880" customFormat="1" ht="19.5" customHeight="1">
      <c r="A23" s="3320" t="s">
        <v>184</v>
      </c>
      <c r="B23" s="875" t="s">
        <v>560</v>
      </c>
      <c r="C23" s="876" t="s">
        <v>571</v>
      </c>
      <c r="D23" s="877"/>
      <c r="E23" s="875">
        <v>1</v>
      </c>
      <c r="F23" s="878" t="s">
        <v>572</v>
      </c>
      <c r="G23" s="879"/>
      <c r="H23" s="871"/>
      <c r="I23" s="871"/>
    </row>
    <row r="24" spans="1:9" s="880" customFormat="1" ht="19.5" customHeight="1">
      <c r="A24" s="3320"/>
      <c r="B24" s="3320" t="s">
        <v>563</v>
      </c>
      <c r="C24" s="876" t="s">
        <v>573</v>
      </c>
      <c r="D24" s="877"/>
      <c r="E24" s="875">
        <v>0.5</v>
      </c>
      <c r="F24" s="878"/>
      <c r="G24" s="879"/>
      <c r="H24" s="871"/>
      <c r="I24" s="871"/>
    </row>
    <row r="25" spans="1:9" s="880" customFormat="1" ht="19.5" customHeight="1">
      <c r="A25" s="3320"/>
      <c r="B25" s="3320"/>
      <c r="C25" s="876" t="s">
        <v>574</v>
      </c>
      <c r="D25" s="877"/>
      <c r="E25" s="875">
        <v>1.1000000000000001</v>
      </c>
      <c r="F25" s="878"/>
      <c r="G25" s="879"/>
      <c r="H25" s="871"/>
      <c r="I25" s="871"/>
    </row>
    <row r="26" spans="1:9" s="880" customFormat="1" ht="19.5" customHeight="1">
      <c r="A26" s="3320"/>
      <c r="B26" s="3320"/>
      <c r="C26" s="876" t="s">
        <v>575</v>
      </c>
      <c r="D26" s="877"/>
      <c r="E26" s="875">
        <v>1.1000000000000001</v>
      </c>
      <c r="F26" s="878"/>
      <c r="G26" s="879"/>
      <c r="H26" s="871"/>
      <c r="I26" s="871"/>
    </row>
    <row r="27" spans="1:9" s="880" customFormat="1" ht="19.5" customHeight="1">
      <c r="A27" s="3320"/>
      <c r="B27" s="3320"/>
      <c r="C27" s="876" t="s">
        <v>576</v>
      </c>
      <c r="D27" s="877"/>
      <c r="E27" s="875">
        <v>0.9</v>
      </c>
      <c r="F27" s="878" t="s">
        <v>577</v>
      </c>
      <c r="G27" s="879"/>
      <c r="H27" s="871"/>
      <c r="I27" s="871"/>
    </row>
    <row r="28" spans="1:9" s="880" customFormat="1" ht="19.5" customHeight="1">
      <c r="A28" s="3320"/>
      <c r="B28" s="3320"/>
      <c r="C28" s="876" t="s">
        <v>578</v>
      </c>
      <c r="D28" s="877"/>
      <c r="E28" s="875">
        <v>0.9</v>
      </c>
      <c r="F28" s="878" t="s">
        <v>579</v>
      </c>
      <c r="G28" s="879"/>
      <c r="H28" s="871"/>
      <c r="I28" s="871"/>
    </row>
    <row r="29" spans="1:9" s="880" customFormat="1" ht="19.5" customHeight="1">
      <c r="A29" s="3320"/>
      <c r="B29" s="3320"/>
      <c r="C29" s="876" t="s">
        <v>580</v>
      </c>
      <c r="D29" s="877"/>
      <c r="E29" s="875">
        <v>0.9</v>
      </c>
      <c r="F29" s="878" t="s">
        <v>581</v>
      </c>
      <c r="G29" s="879"/>
      <c r="H29" s="871"/>
      <c r="I29" s="871"/>
    </row>
    <row r="30" spans="1:9" s="880" customFormat="1" ht="19.5" customHeight="1">
      <c r="A30" s="3320"/>
      <c r="B30" s="3320"/>
      <c r="C30" s="876" t="s">
        <v>582</v>
      </c>
      <c r="D30" s="877"/>
      <c r="E30" s="875">
        <v>0.9</v>
      </c>
      <c r="F30" s="878" t="s">
        <v>583</v>
      </c>
      <c r="G30" s="879"/>
      <c r="H30" s="871"/>
      <c r="I30" s="871"/>
    </row>
    <row r="31" spans="1:9" s="880" customFormat="1" ht="19.5" customHeight="1">
      <c r="A31" s="3320"/>
      <c r="B31" s="3320"/>
      <c r="C31" s="876" t="s">
        <v>584</v>
      </c>
      <c r="D31" s="877"/>
      <c r="E31" s="875">
        <v>0.8</v>
      </c>
      <c r="F31" s="878" t="s">
        <v>585</v>
      </c>
      <c r="G31" s="879"/>
      <c r="H31" s="871"/>
      <c r="I31" s="871"/>
    </row>
    <row r="32" spans="1:9" s="880" customFormat="1" ht="19.5" customHeight="1">
      <c r="A32" s="3320"/>
      <c r="B32" s="3320"/>
      <c r="C32" s="876" t="s">
        <v>586</v>
      </c>
      <c r="D32" s="877"/>
      <c r="E32" s="875">
        <v>0.8</v>
      </c>
      <c r="F32" s="878" t="s">
        <v>587</v>
      </c>
      <c r="G32" s="879"/>
      <c r="H32" s="871"/>
      <c r="I32" s="871"/>
    </row>
    <row r="33" spans="1:9" s="880" customFormat="1" ht="19.5" customHeight="1">
      <c r="A33" s="3320" t="s">
        <v>185</v>
      </c>
      <c r="B33" s="875" t="s">
        <v>560</v>
      </c>
      <c r="C33" s="876" t="s">
        <v>588</v>
      </c>
      <c r="D33" s="877"/>
      <c r="E33" s="875">
        <v>1</v>
      </c>
      <c r="F33" s="878" t="s">
        <v>589</v>
      </c>
      <c r="G33" s="879"/>
      <c r="H33" s="871"/>
      <c r="I33" s="871"/>
    </row>
    <row r="34" spans="1:9" s="880" customFormat="1" ht="19.5" customHeight="1">
      <c r="A34" s="3320"/>
      <c r="B34" s="875" t="s">
        <v>563</v>
      </c>
      <c r="C34" s="876" t="s">
        <v>590</v>
      </c>
      <c r="D34" s="877"/>
      <c r="E34" s="875">
        <v>1.5</v>
      </c>
      <c r="F34" s="878" t="s">
        <v>591</v>
      </c>
      <c r="G34" s="879"/>
      <c r="H34" s="871"/>
      <c r="I34" s="871"/>
    </row>
    <row r="35" spans="1:9" s="880" customFormat="1" ht="19.5" customHeight="1">
      <c r="A35" s="3320" t="s">
        <v>186</v>
      </c>
      <c r="B35" s="875" t="s">
        <v>560</v>
      </c>
      <c r="C35" s="876" t="s">
        <v>592</v>
      </c>
      <c r="D35" s="877"/>
      <c r="E35" s="875">
        <v>1</v>
      </c>
      <c r="F35" s="878" t="s">
        <v>593</v>
      </c>
      <c r="G35" s="879"/>
      <c r="H35" s="871"/>
      <c r="I35" s="871"/>
    </row>
    <row r="36" spans="1:9" s="880" customFormat="1" ht="19.5" customHeight="1">
      <c r="A36" s="3320"/>
      <c r="B36" s="3320" t="s">
        <v>563</v>
      </c>
      <c r="C36" s="876" t="s">
        <v>594</v>
      </c>
      <c r="D36" s="877"/>
      <c r="E36" s="875">
        <v>1</v>
      </c>
      <c r="F36" s="878" t="s">
        <v>595</v>
      </c>
      <c r="G36" s="879"/>
      <c r="H36" s="871"/>
      <c r="I36" s="871"/>
    </row>
    <row r="37" spans="1:9" s="880" customFormat="1" ht="19.5" customHeight="1">
      <c r="A37" s="3320"/>
      <c r="B37" s="3320"/>
      <c r="C37" s="876" t="s">
        <v>596</v>
      </c>
      <c r="D37" s="877"/>
      <c r="E37" s="875">
        <v>1.5</v>
      </c>
      <c r="F37" s="878" t="s">
        <v>597</v>
      </c>
      <c r="G37" s="879"/>
      <c r="H37" s="871"/>
      <c r="I37" s="871"/>
    </row>
    <row r="38" spans="1:9" s="880" customFormat="1" ht="19.5" customHeight="1">
      <c r="A38" s="3320"/>
      <c r="B38" s="3320"/>
      <c r="C38" s="876" t="s">
        <v>598</v>
      </c>
      <c r="D38" s="877"/>
      <c r="E38" s="875">
        <v>1</v>
      </c>
      <c r="F38" s="878" t="s">
        <v>599</v>
      </c>
      <c r="G38" s="879"/>
      <c r="H38" s="871"/>
      <c r="I38" s="871"/>
    </row>
    <row r="39" spans="1:9" s="880" customFormat="1" ht="19.5" customHeight="1">
      <c r="A39" s="3320"/>
      <c r="B39" s="332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0" t="s">
        <v>614</v>
      </c>
      <c r="C61" s="811" t="s">
        <v>615</v>
      </c>
      <c r="D61" s="811" t="s">
        <v>616</v>
      </c>
      <c r="E61" s="888">
        <v>0.5</v>
      </c>
      <c r="F61" s="875">
        <v>80</v>
      </c>
    </row>
    <row r="62" spans="1:8" s="871" customFormat="1" ht="24">
      <c r="A62" s="875">
        <v>2</v>
      </c>
      <c r="B62" s="3320"/>
      <c r="C62" s="811" t="s">
        <v>617</v>
      </c>
      <c r="D62" s="811" t="s">
        <v>618</v>
      </c>
      <c r="E62" s="888">
        <v>0.5</v>
      </c>
      <c r="F62" s="875">
        <v>80</v>
      </c>
    </row>
    <row r="63" spans="1:8" s="871" customFormat="1" ht="36">
      <c r="A63" s="875">
        <v>3</v>
      </c>
      <c r="B63" s="3320"/>
      <c r="C63" s="811" t="s">
        <v>619</v>
      </c>
      <c r="D63" s="811" t="s">
        <v>620</v>
      </c>
      <c r="E63" s="888">
        <v>0.5</v>
      </c>
      <c r="F63" s="875">
        <v>80</v>
      </c>
    </row>
    <row r="64" spans="1:8" s="871" customFormat="1" ht="36">
      <c r="A64" s="875">
        <v>4</v>
      </c>
      <c r="B64" s="3320"/>
      <c r="C64" s="811" t="s">
        <v>621</v>
      </c>
      <c r="D64" s="811" t="s">
        <v>622</v>
      </c>
      <c r="E64" s="888">
        <v>0.4</v>
      </c>
      <c r="F64" s="875">
        <v>60</v>
      </c>
    </row>
    <row r="65" spans="1:6" s="871" customFormat="1" ht="36">
      <c r="A65" s="875">
        <v>5</v>
      </c>
      <c r="B65" s="3320"/>
      <c r="C65" s="811" t="s">
        <v>623</v>
      </c>
      <c r="D65" s="811" t="s">
        <v>624</v>
      </c>
      <c r="E65" s="888">
        <v>0.2</v>
      </c>
      <c r="F65" s="875">
        <v>30</v>
      </c>
    </row>
    <row r="66" spans="1:6" s="871" customFormat="1" ht="36">
      <c r="A66" s="875">
        <v>6</v>
      </c>
      <c r="B66" s="3320"/>
      <c r="C66" s="811" t="s">
        <v>625</v>
      </c>
      <c r="D66" s="811" t="s">
        <v>626</v>
      </c>
      <c r="E66" s="888">
        <v>0.3</v>
      </c>
      <c r="F66" s="875">
        <v>50</v>
      </c>
    </row>
    <row r="67" spans="1:6" s="871" customFormat="1" ht="36">
      <c r="A67" s="875">
        <v>7</v>
      </c>
      <c r="B67" s="3320"/>
      <c r="C67" s="811" t="s">
        <v>627</v>
      </c>
      <c r="D67" s="811" t="s">
        <v>628</v>
      </c>
      <c r="E67" s="888">
        <v>0.2</v>
      </c>
      <c r="F67" s="875">
        <v>30</v>
      </c>
    </row>
    <row r="68" spans="1:6" s="871" customFormat="1" ht="36">
      <c r="A68" s="875">
        <v>8</v>
      </c>
      <c r="B68" s="3320"/>
      <c r="C68" s="811" t="s">
        <v>629</v>
      </c>
      <c r="D68" s="811" t="s">
        <v>630</v>
      </c>
      <c r="E68" s="888">
        <v>0.2</v>
      </c>
      <c r="F68" s="875">
        <v>30</v>
      </c>
    </row>
    <row r="69" spans="1:6" s="871" customFormat="1" ht="36">
      <c r="A69" s="875">
        <v>9</v>
      </c>
      <c r="B69" s="3320"/>
      <c r="C69" s="811" t="s">
        <v>631</v>
      </c>
      <c r="D69" s="811" t="s">
        <v>632</v>
      </c>
      <c r="E69" s="888">
        <v>0.2</v>
      </c>
      <c r="F69" s="875">
        <v>30</v>
      </c>
    </row>
    <row r="70" spans="1:6" s="871" customFormat="1" ht="48">
      <c r="A70" s="875">
        <v>10</v>
      </c>
      <c r="B70" s="3320"/>
      <c r="C70" s="811" t="s">
        <v>633</v>
      </c>
      <c r="D70" s="811" t="s">
        <v>634</v>
      </c>
      <c r="E70" s="888">
        <v>0.2</v>
      </c>
      <c r="F70" s="875">
        <v>30</v>
      </c>
    </row>
    <row r="71" spans="1:6" s="871" customFormat="1" ht="48">
      <c r="A71" s="875">
        <v>11</v>
      </c>
      <c r="B71" s="3320"/>
      <c r="C71" s="811" t="s">
        <v>635</v>
      </c>
      <c r="D71" s="811" t="s">
        <v>636</v>
      </c>
      <c r="E71" s="888">
        <v>0.2</v>
      </c>
      <c r="F71" s="875">
        <v>30</v>
      </c>
    </row>
    <row r="72" spans="1:6" s="871" customFormat="1" ht="36">
      <c r="A72" s="875">
        <v>12</v>
      </c>
      <c r="B72" s="3320"/>
      <c r="C72" s="811" t="s">
        <v>637</v>
      </c>
      <c r="D72" s="811" t="s">
        <v>638</v>
      </c>
      <c r="E72" s="888">
        <v>0.5</v>
      </c>
      <c r="F72" s="875">
        <v>80</v>
      </c>
    </row>
    <row r="73" spans="1:6" s="871" customFormat="1" ht="24">
      <c r="A73" s="875">
        <v>13</v>
      </c>
      <c r="B73" s="3320"/>
      <c r="C73" s="811" t="s">
        <v>639</v>
      </c>
      <c r="D73" s="811" t="s">
        <v>640</v>
      </c>
      <c r="E73" s="888">
        <v>0.4</v>
      </c>
      <c r="F73" s="875">
        <v>60</v>
      </c>
    </row>
    <row r="74" spans="1:6" s="871" customFormat="1" ht="24">
      <c r="A74" s="875">
        <v>14</v>
      </c>
      <c r="B74" s="3320"/>
      <c r="C74" s="811" t="s">
        <v>641</v>
      </c>
      <c r="D74" s="811" t="s">
        <v>642</v>
      </c>
      <c r="E74" s="888">
        <v>0.2</v>
      </c>
      <c r="F74" s="875">
        <v>30</v>
      </c>
    </row>
    <row r="75" spans="1:6" s="871" customFormat="1" ht="24">
      <c r="A75" s="875">
        <v>15</v>
      </c>
      <c r="B75" s="3320"/>
      <c r="C75" s="811" t="s">
        <v>643</v>
      </c>
      <c r="D75" s="811" t="s">
        <v>644</v>
      </c>
      <c r="E75" s="888">
        <v>0.2</v>
      </c>
      <c r="F75" s="875">
        <v>30</v>
      </c>
    </row>
    <row r="76" spans="1:6" s="871" customFormat="1" ht="24">
      <c r="A76" s="875">
        <v>16</v>
      </c>
      <c r="B76" s="3320" t="s">
        <v>645</v>
      </c>
      <c r="C76" s="811" t="s">
        <v>646</v>
      </c>
      <c r="D76" s="811" t="s">
        <v>647</v>
      </c>
      <c r="E76" s="888">
        <v>0.5</v>
      </c>
      <c r="F76" s="875">
        <v>80</v>
      </c>
    </row>
    <row r="77" spans="1:6" s="871" customFormat="1" ht="24">
      <c r="A77" s="875">
        <v>17</v>
      </c>
      <c r="B77" s="3320"/>
      <c r="C77" s="811" t="s">
        <v>648</v>
      </c>
      <c r="D77" s="811" t="s">
        <v>649</v>
      </c>
      <c r="E77" s="888">
        <v>0.5</v>
      </c>
      <c r="F77" s="875">
        <v>80</v>
      </c>
    </row>
    <row r="78" spans="1:6" s="871" customFormat="1" ht="24">
      <c r="A78" s="875">
        <v>18</v>
      </c>
      <c r="B78" s="3320"/>
      <c r="C78" s="811" t="s">
        <v>650</v>
      </c>
      <c r="D78" s="811" t="s">
        <v>651</v>
      </c>
      <c r="E78" s="888">
        <v>0.2</v>
      </c>
      <c r="F78" s="875">
        <v>30</v>
      </c>
    </row>
    <row r="79" spans="1:6" s="871" customFormat="1" ht="24">
      <c r="A79" s="875">
        <v>19</v>
      </c>
      <c r="B79" s="3320"/>
      <c r="C79" s="811" t="s">
        <v>652</v>
      </c>
      <c r="D79" s="811" t="s">
        <v>653</v>
      </c>
      <c r="E79" s="888">
        <v>0.5</v>
      </c>
      <c r="F79" s="875">
        <v>80</v>
      </c>
    </row>
    <row r="80" spans="1:6" s="871" customFormat="1" ht="36">
      <c r="A80" s="875">
        <v>20</v>
      </c>
      <c r="B80" s="3320"/>
      <c r="C80" s="811" t="s">
        <v>654</v>
      </c>
      <c r="D80" s="811" t="s">
        <v>655</v>
      </c>
      <c r="E80" s="888">
        <v>0.2</v>
      </c>
      <c r="F80" s="875">
        <v>30</v>
      </c>
    </row>
    <row r="81" spans="1:6" s="871" customFormat="1" ht="36">
      <c r="A81" s="875">
        <v>21</v>
      </c>
      <c r="B81" s="3320"/>
      <c r="C81" s="811" t="s">
        <v>656</v>
      </c>
      <c r="D81" s="811" t="s">
        <v>657</v>
      </c>
      <c r="E81" s="888">
        <v>0.2</v>
      </c>
      <c r="F81" s="875">
        <v>30</v>
      </c>
    </row>
    <row r="82" spans="1:6" s="871" customFormat="1" ht="48">
      <c r="A82" s="875">
        <v>22</v>
      </c>
      <c r="B82" s="3320"/>
      <c r="C82" s="811" t="s">
        <v>658</v>
      </c>
      <c r="D82" s="811" t="s">
        <v>659</v>
      </c>
      <c r="E82" s="888">
        <v>0.2</v>
      </c>
      <c r="F82" s="875">
        <v>30</v>
      </c>
    </row>
    <row r="83" spans="1:6" s="871" customFormat="1" ht="48">
      <c r="A83" s="875">
        <v>23</v>
      </c>
      <c r="B83" s="3320"/>
      <c r="C83" s="811" t="s">
        <v>660</v>
      </c>
      <c r="D83" s="811" t="s">
        <v>661</v>
      </c>
      <c r="E83" s="888">
        <v>0.2</v>
      </c>
      <c r="F83" s="875">
        <v>30</v>
      </c>
    </row>
    <row r="84" spans="1:6" s="871" customFormat="1" ht="36">
      <c r="A84" s="875">
        <v>24</v>
      </c>
      <c r="B84" s="3320"/>
      <c r="C84" s="811" t="s">
        <v>662</v>
      </c>
      <c r="D84" s="811" t="s">
        <v>663</v>
      </c>
      <c r="E84" s="888">
        <v>0.2</v>
      </c>
      <c r="F84" s="875">
        <v>30</v>
      </c>
    </row>
    <row r="85" spans="1:6" s="871" customFormat="1" ht="36">
      <c r="A85" s="875">
        <v>25</v>
      </c>
      <c r="B85" s="3320"/>
      <c r="C85" s="811" t="s">
        <v>664</v>
      </c>
      <c r="D85" s="811" t="s">
        <v>665</v>
      </c>
      <c r="E85" s="888">
        <v>0.5</v>
      </c>
      <c r="F85" s="875">
        <v>80</v>
      </c>
    </row>
    <row r="86" spans="1:6" s="871" customFormat="1" ht="36">
      <c r="A86" s="875">
        <v>26</v>
      </c>
      <c r="B86" s="3320"/>
      <c r="C86" s="811" t="s">
        <v>666</v>
      </c>
      <c r="D86" s="811" t="s">
        <v>667</v>
      </c>
      <c r="E86" s="888">
        <v>0.2</v>
      </c>
      <c r="F86" s="875">
        <v>30</v>
      </c>
    </row>
    <row r="87" spans="1:6" s="871" customFormat="1" ht="36">
      <c r="A87" s="875">
        <v>27</v>
      </c>
      <c r="B87" s="3320"/>
      <c r="C87" s="811" t="s">
        <v>668</v>
      </c>
      <c r="D87" s="811" t="s">
        <v>669</v>
      </c>
      <c r="E87" s="888">
        <v>0.2</v>
      </c>
      <c r="F87" s="875">
        <v>30</v>
      </c>
    </row>
    <row r="88" spans="1:6" s="871" customFormat="1" ht="36">
      <c r="A88" s="875">
        <v>28</v>
      </c>
      <c r="B88" s="3320"/>
      <c r="C88" s="811" t="s">
        <v>670</v>
      </c>
      <c r="D88" s="811" t="s">
        <v>671</v>
      </c>
      <c r="E88" s="888">
        <v>0.2</v>
      </c>
      <c r="F88" s="875">
        <v>30</v>
      </c>
    </row>
    <row r="89" spans="1:6" s="871" customFormat="1" ht="24">
      <c r="A89" s="875">
        <v>29</v>
      </c>
      <c r="B89" s="3320"/>
      <c r="C89" s="811" t="s">
        <v>672</v>
      </c>
      <c r="D89" s="811" t="s">
        <v>673</v>
      </c>
      <c r="E89" s="888">
        <v>0.2</v>
      </c>
      <c r="F89" s="875">
        <v>30</v>
      </c>
    </row>
    <row r="90" spans="1:6" s="871" customFormat="1" ht="24">
      <c r="A90" s="875">
        <v>30</v>
      </c>
      <c r="B90" s="3320"/>
      <c r="C90" s="811" t="s">
        <v>674</v>
      </c>
      <c r="D90" s="811" t="s">
        <v>675</v>
      </c>
      <c r="E90" s="888">
        <v>0.2</v>
      </c>
      <c r="F90" s="875">
        <v>30</v>
      </c>
    </row>
    <row r="91" spans="1:6" s="871" customFormat="1" ht="36">
      <c r="A91" s="875">
        <v>31</v>
      </c>
      <c r="B91" s="3320"/>
      <c r="C91" s="811" t="s">
        <v>676</v>
      </c>
      <c r="D91" s="811" t="s">
        <v>677</v>
      </c>
      <c r="E91" s="888">
        <v>0.2</v>
      </c>
      <c r="F91" s="875">
        <v>30</v>
      </c>
    </row>
    <row r="92" spans="1:6" s="871" customFormat="1" ht="24">
      <c r="A92" s="875">
        <v>32</v>
      </c>
      <c r="B92" s="3320" t="s">
        <v>678</v>
      </c>
      <c r="C92" s="875" t="s">
        <v>679</v>
      </c>
      <c r="D92" s="811" t="s">
        <v>680</v>
      </c>
      <c r="E92" s="888">
        <v>0.2</v>
      </c>
      <c r="F92" s="875">
        <v>30</v>
      </c>
    </row>
    <row r="93" spans="1:6" s="871" customFormat="1" ht="36">
      <c r="A93" s="875">
        <v>33</v>
      </c>
      <c r="B93" s="3320"/>
      <c r="C93" s="875" t="s">
        <v>681</v>
      </c>
      <c r="D93" s="811" t="s">
        <v>682</v>
      </c>
      <c r="E93" s="888">
        <v>0.2</v>
      </c>
      <c r="F93" s="875">
        <v>30</v>
      </c>
    </row>
    <row r="94" spans="1:6" s="871" customFormat="1" ht="48">
      <c r="A94" s="875">
        <v>34</v>
      </c>
      <c r="B94" s="3320"/>
      <c r="C94" s="875" t="s">
        <v>683</v>
      </c>
      <c r="D94" s="811" t="s">
        <v>684</v>
      </c>
      <c r="E94" s="888">
        <v>0.2</v>
      </c>
      <c r="F94" s="875">
        <v>30</v>
      </c>
    </row>
    <row r="95" spans="1:6" s="871" customFormat="1" ht="36">
      <c r="A95" s="875">
        <v>35</v>
      </c>
      <c r="B95" s="3320"/>
      <c r="C95" s="875" t="s">
        <v>685</v>
      </c>
      <c r="D95" s="811" t="s">
        <v>686</v>
      </c>
      <c r="E95" s="888">
        <v>0.2</v>
      </c>
      <c r="F95" s="875">
        <v>30</v>
      </c>
    </row>
    <row r="96" spans="1:6" s="871" customFormat="1" ht="48">
      <c r="A96" s="875">
        <v>36</v>
      </c>
      <c r="B96" s="3320"/>
      <c r="C96" s="811" t="s">
        <v>687</v>
      </c>
      <c r="D96" s="811" t="s">
        <v>688</v>
      </c>
      <c r="E96" s="888">
        <v>0.2</v>
      </c>
      <c r="F96" s="875">
        <v>30</v>
      </c>
    </row>
    <row r="97" spans="1:6" s="871" customFormat="1" ht="36">
      <c r="A97" s="875">
        <v>37</v>
      </c>
      <c r="B97" s="3320"/>
      <c r="C97" s="875" t="s">
        <v>689</v>
      </c>
      <c r="D97" s="811" t="s">
        <v>690</v>
      </c>
      <c r="E97" s="888">
        <v>0.2</v>
      </c>
      <c r="F97" s="875">
        <v>30</v>
      </c>
    </row>
    <row r="98" spans="1:6" s="871" customFormat="1" ht="36">
      <c r="A98" s="875">
        <v>38</v>
      </c>
      <c r="B98" s="3320"/>
      <c r="C98" s="875" t="s">
        <v>691</v>
      </c>
      <c r="D98" s="811" t="s">
        <v>692</v>
      </c>
      <c r="E98" s="888">
        <v>0.2</v>
      </c>
      <c r="F98" s="875">
        <v>30</v>
      </c>
    </row>
    <row r="99" spans="1:6" s="871" customFormat="1" ht="36">
      <c r="A99" s="875">
        <v>39</v>
      </c>
      <c r="B99" s="3320" t="s">
        <v>693</v>
      </c>
      <c r="C99" s="875" t="s">
        <v>694</v>
      </c>
      <c r="D99" s="811" t="s">
        <v>695</v>
      </c>
      <c r="E99" s="888">
        <v>0.3</v>
      </c>
      <c r="F99" s="875">
        <v>50</v>
      </c>
    </row>
    <row r="100" spans="1:6" s="871" customFormat="1" ht="24">
      <c r="A100" s="875">
        <v>40</v>
      </c>
      <c r="B100" s="3320"/>
      <c r="C100" s="875" t="s">
        <v>696</v>
      </c>
      <c r="D100" s="811" t="s">
        <v>697</v>
      </c>
      <c r="E100" s="888">
        <v>0.2</v>
      </c>
      <c r="F100" s="875">
        <v>30</v>
      </c>
    </row>
    <row r="101" spans="1:6" s="871" customFormat="1" ht="36">
      <c r="A101" s="875">
        <v>41</v>
      </c>
      <c r="B101" s="332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0" t="s">
        <v>708</v>
      </c>
      <c r="C105" s="875" t="s">
        <v>709</v>
      </c>
      <c r="D105" s="811" t="s">
        <v>710</v>
      </c>
      <c r="E105" s="888">
        <v>0.2</v>
      </c>
      <c r="F105" s="875">
        <v>30</v>
      </c>
    </row>
    <row r="106" spans="1:6" s="871" customFormat="1" ht="36">
      <c r="A106" s="875">
        <v>46</v>
      </c>
      <c r="B106" s="3320"/>
      <c r="C106" s="875" t="s">
        <v>711</v>
      </c>
      <c r="D106" s="811" t="s">
        <v>712</v>
      </c>
      <c r="E106" s="888">
        <v>0.2</v>
      </c>
      <c r="F106" s="875">
        <v>30</v>
      </c>
    </row>
    <row r="107" spans="1:6" s="871" customFormat="1" ht="36">
      <c r="A107" s="875">
        <v>47</v>
      </c>
      <c r="B107" s="3320" t="s">
        <v>713</v>
      </c>
      <c r="C107" s="875" t="s">
        <v>714</v>
      </c>
      <c r="D107" s="811" t="s">
        <v>715</v>
      </c>
      <c r="E107" s="888">
        <v>0.3</v>
      </c>
      <c r="F107" s="875">
        <v>50</v>
      </c>
    </row>
    <row r="108" spans="1:6" s="871" customFormat="1" ht="36">
      <c r="A108" s="875">
        <v>48</v>
      </c>
      <c r="B108" s="332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0" t="s">
        <v>724</v>
      </c>
      <c r="C111" s="875" t="s">
        <v>725</v>
      </c>
      <c r="D111" s="811" t="s">
        <v>726</v>
      </c>
      <c r="E111" s="888">
        <v>0.2</v>
      </c>
      <c r="F111" s="875">
        <v>30</v>
      </c>
    </row>
    <row r="112" spans="1:6" s="871" customFormat="1" ht="24">
      <c r="A112" s="875">
        <v>52</v>
      </c>
      <c r="B112" s="3320"/>
      <c r="C112" s="875" t="s">
        <v>727</v>
      </c>
      <c r="D112" s="811" t="s">
        <v>728</v>
      </c>
      <c r="E112" s="888">
        <v>0.2</v>
      </c>
      <c r="F112" s="875">
        <v>30</v>
      </c>
    </row>
    <row r="113" spans="1:6" s="871" customFormat="1" ht="24">
      <c r="A113" s="875">
        <v>53</v>
      </c>
      <c r="B113" s="332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0" t="s">
        <v>737</v>
      </c>
      <c r="C116" s="875" t="s">
        <v>738</v>
      </c>
      <c r="D116" s="811" t="s">
        <v>739</v>
      </c>
      <c r="E116" s="888">
        <v>0.2</v>
      </c>
      <c r="F116" s="875">
        <v>30</v>
      </c>
    </row>
    <row r="117" spans="1:6" ht="36">
      <c r="A117" s="875">
        <v>57</v>
      </c>
      <c r="B117" s="332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1.1200000000000001</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1622</v>
      </c>
      <c r="B1" s="1953"/>
      <c r="C1" s="1953"/>
      <c r="D1" s="1953"/>
      <c r="E1" s="1953"/>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5"/>
      <c r="B4" s="2999" t="s">
        <v>1631</v>
      </c>
      <c r="C4" s="2999"/>
      <c r="D4" s="2999"/>
      <c r="E4" s="1955"/>
    </row>
    <row r="5" spans="1:5" ht="16.5" thickTop="1">
      <c r="A5" s="1953"/>
      <c r="B5" s="2997" t="s">
        <v>1623</v>
      </c>
      <c r="C5" s="1956" t="s">
        <v>1624</v>
      </c>
      <c r="D5" s="1036">
        <f ca="1">结果表!H101</f>
        <v>150264</v>
      </c>
      <c r="E5" s="1953"/>
    </row>
    <row r="6" spans="1:5" ht="15.75">
      <c r="A6" s="1953"/>
      <c r="B6" s="2997"/>
      <c r="C6" s="1956" t="s">
        <v>1625</v>
      </c>
      <c r="D6" s="1036" t="str">
        <f ca="1">NUMBERSTRING(INT(D5*10000),2)&amp;"元整"</f>
        <v>壹拾伍亿零贰佰陆拾肆万元整</v>
      </c>
      <c r="E6" s="1953"/>
    </row>
    <row r="7" spans="1:5" ht="15.75">
      <c r="A7" s="1953"/>
      <c r="B7" s="3002"/>
      <c r="C7" s="1957" t="s">
        <v>1626</v>
      </c>
      <c r="D7" s="1037">
        <f ca="1">结果表!H102</f>
        <v>23589</v>
      </c>
      <c r="E7" s="1953"/>
    </row>
    <row r="8" spans="1:5" ht="15.75">
      <c r="A8" s="1953"/>
      <c r="B8" s="3003" t="str">
        <f>结果表!E103</f>
        <v>2.估价师知悉的法定优先受偿款</v>
      </c>
      <c r="C8" s="1958" t="s">
        <v>1627</v>
      </c>
      <c r="D8" s="1037">
        <f>结果表!H103</f>
        <v>0</v>
      </c>
      <c r="E8" s="1953"/>
    </row>
    <row r="9" spans="1:5" ht="15.75">
      <c r="A9" s="1953"/>
      <c r="B9" s="3005"/>
      <c r="C9" s="1956" t="s">
        <v>1625</v>
      </c>
      <c r="D9" s="1036" t="str">
        <f>NUMBERSTRING(INT(D8*10000),2)&amp;"元整"</f>
        <v>零元整</v>
      </c>
      <c r="E9" s="1953"/>
    </row>
    <row r="10" spans="1:5" ht="15">
      <c r="A10" s="1953"/>
      <c r="B10" s="1959" t="s">
        <v>1630</v>
      </c>
      <c r="C10" s="1960" t="s">
        <v>1628</v>
      </c>
      <c r="D10" s="1038">
        <f>结果表!H104</f>
        <v>0</v>
      </c>
      <c r="E10" s="1953"/>
    </row>
    <row r="11" spans="1:5" ht="15">
      <c r="A11" s="1953"/>
      <c r="B11" s="1959" t="s">
        <v>1632</v>
      </c>
      <c r="C11" s="1960" t="s">
        <v>1633</v>
      </c>
      <c r="D11" s="1038">
        <f>结果表!H105</f>
        <v>0</v>
      </c>
      <c r="E11" s="1953"/>
    </row>
    <row r="12" spans="1:5" ht="15">
      <c r="A12" s="1953"/>
      <c r="B12" s="1959" t="s">
        <v>1634</v>
      </c>
      <c r="C12" s="1960" t="s">
        <v>1633</v>
      </c>
      <c r="D12" s="1038">
        <f>结果表!H106</f>
        <v>0</v>
      </c>
      <c r="E12" s="1953"/>
    </row>
    <row r="13" spans="1:5" ht="15.75">
      <c r="A13" s="1953"/>
      <c r="B13" s="2996" t="str">
        <f>结果表!E107</f>
        <v>——</v>
      </c>
      <c r="C13" s="1961" t="s">
        <v>1624</v>
      </c>
      <c r="D13" s="1039" t="str">
        <f>结果表!H107</f>
        <v>——</v>
      </c>
      <c r="E13" s="1953"/>
    </row>
    <row r="14" spans="1:5" ht="15.75">
      <c r="A14" s="1953"/>
      <c r="B14" s="2997"/>
      <c r="C14" s="1956" t="s">
        <v>1625</v>
      </c>
      <c r="D14" s="1036" t="e">
        <f>NUMBERSTRING(INT(D13*10000),2)&amp;"元整"</f>
        <v>#VALUE!</v>
      </c>
      <c r="E14" s="1953"/>
    </row>
    <row r="15" spans="1:5" ht="15">
      <c r="A15" s="1953"/>
      <c r="B15" s="3002"/>
      <c r="C15" s="1957" t="s">
        <v>1635</v>
      </c>
      <c r="D15" s="1048" t="e">
        <f>结果表!H108</f>
        <v>#VALUE!</v>
      </c>
      <c r="E15" s="1953"/>
    </row>
    <row r="16" spans="1:5" ht="15">
      <c r="A16" s="1953"/>
      <c r="B16" s="3003" t="str">
        <f>结果表!E109</f>
        <v>3.抵押担保权已注销时的房地产抵押价值</v>
      </c>
      <c r="C16" s="1961" t="s">
        <v>1636</v>
      </c>
      <c r="D16" s="1962">
        <f ca="1">结果表!H109</f>
        <v>150264</v>
      </c>
      <c r="E16" s="1953"/>
    </row>
    <row r="17" spans="1:5" ht="15.75">
      <c r="A17" s="1953"/>
      <c r="B17" s="3004"/>
      <c r="C17" s="1956" t="s">
        <v>1637</v>
      </c>
      <c r="D17" s="1036" t="str">
        <f ca="1">NUMBERSTRING(INT(D16*10000),2)&amp;"元整"</f>
        <v>壹拾伍亿零贰佰陆拾肆万元整</v>
      </c>
      <c r="E17" s="1953"/>
    </row>
    <row r="18" spans="1:5" ht="15">
      <c r="A18" s="1953"/>
      <c r="B18" s="3005"/>
      <c r="C18" s="1957" t="s">
        <v>1626</v>
      </c>
      <c r="D18" s="1048">
        <f ca="1">结果表!H110</f>
        <v>23589</v>
      </c>
      <c r="E18" s="1953"/>
    </row>
    <row r="19" spans="1:5" ht="15.75">
      <c r="A19" s="1953"/>
      <c r="B19" s="2996" t="str">
        <f>结果表!E111</f>
        <v>——</v>
      </c>
      <c r="C19" s="1961" t="s">
        <v>1624</v>
      </c>
      <c r="D19" s="1037" t="str">
        <f>结果表!H111</f>
        <v>——</v>
      </c>
      <c r="E19" s="1953"/>
    </row>
    <row r="20" spans="1:5" ht="15.75">
      <c r="A20" s="1953"/>
      <c r="B20" s="2997"/>
      <c r="C20" s="1956" t="s">
        <v>1637</v>
      </c>
      <c r="D20" s="1036" t="e">
        <f>NUMBERSTRING(INT(D19*10000),2)&amp;"元整"</f>
        <v>#VALUE!</v>
      </c>
      <c r="E20" s="1953"/>
    </row>
    <row r="21" spans="1:5" ht="15.75" thickBot="1">
      <c r="A21" s="1953"/>
      <c r="B21" s="2998"/>
      <c r="C21" s="1963" t="s">
        <v>1635</v>
      </c>
      <c r="D21" s="1049" t="str">
        <f>结果表!H112</f>
        <v>——</v>
      </c>
      <c r="E21" s="1953"/>
    </row>
    <row r="22" spans="1:5" ht="15" thickTop="1">
      <c r="A22" s="1953"/>
      <c r="B22" s="1964" t="s">
        <v>1638</v>
      </c>
      <c r="C22" s="1953"/>
      <c r="D22" s="1953"/>
      <c r="E22" s="1953"/>
    </row>
    <row r="23" spans="1:5">
      <c r="A23" s="1953"/>
      <c r="B23" s="1953"/>
      <c r="C23" s="1953"/>
      <c r="D23" s="1953"/>
      <c r="E23" s="1953"/>
    </row>
    <row r="24" spans="1:5" ht="18.75">
      <c r="A24" s="1965"/>
      <c r="B24" s="1966" t="s">
        <v>1629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4" t="s">
        <v>2999</v>
      </c>
    </row>
    <row r="2" spans="1:5" ht="15.75">
      <c r="A2" s="2902" t="s">
        <v>2991</v>
      </c>
      <c r="B2" s="2903" t="e">
        <f ca="1">SUMIF(B6:B13,"&lt;&gt;#ref!",B6:B13)</f>
        <v>#DIV/0!</v>
      </c>
      <c r="C2" s="2902" t="s">
        <v>2992</v>
      </c>
      <c r="D2" s="2902" t="s">
        <v>2993</v>
      </c>
      <c r="E2" s="2903" t="e">
        <f ca="1">SUM(E6:E13)</f>
        <v>#REF!</v>
      </c>
    </row>
    <row r="3" spans="1:5" ht="15.75">
      <c r="A3" s="2902" t="s">
        <v>2994</v>
      </c>
      <c r="B3" s="2903" t="e">
        <f ca="1">ROUND(B2*10000/E2,0)</f>
        <v>#DIV/0!</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t="e">
        <f ca="1">SUMIF(INDIRECT("'"&amp;A6&amp;"'"&amp;"!A:A"),"总价",INDIRECT("'"&amp;A6&amp;"'"&amp;"!B:B"))</f>
        <v>#DIV/0!</v>
      </c>
      <c r="C6" s="2902" t="s">
        <v>2992</v>
      </c>
      <c r="D6" s="2904"/>
      <c r="E6" s="2568">
        <f ca="1">SUMIF(INDIRECT("'"&amp;A6&amp;"'"&amp;"!C:C"),"建筑面积",INDIRECT("'"&amp;A6&amp;"'"&amp;"!D:D"))</f>
        <v>10000</v>
      </c>
    </row>
    <row r="7" spans="1:5" ht="15.75">
      <c r="A7" s="2907"/>
      <c r="B7" s="2903" t="e">
        <f ca="1">SUMIF(INDIRECT("'"&amp;A7&amp;"'"&amp;"!A:A"),"总价",INDIRECT("'"&amp;A7&amp;"'"&amp;"!B:B"))</f>
        <v>#REF!</v>
      </c>
      <c r="C7" s="2902" t="s">
        <v>2992</v>
      </c>
      <c r="D7" s="2904"/>
      <c r="E7" s="2568"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68" t="e">
        <f t="shared" ca="1" si="0"/>
        <v>#REF!</v>
      </c>
    </row>
    <row r="9" spans="1:5" ht="15.75">
      <c r="A9" s="2907"/>
      <c r="B9" s="2903" t="e">
        <f t="shared" ca="1" si="1"/>
        <v>#REF!</v>
      </c>
      <c r="C9" s="2902" t="s">
        <v>2992</v>
      </c>
      <c r="D9" s="2904"/>
      <c r="E9" s="2568" t="e">
        <f t="shared" ca="1" si="0"/>
        <v>#REF!</v>
      </c>
    </row>
    <row r="10" spans="1:5" ht="15.75">
      <c r="A10" s="2907"/>
      <c r="B10" s="2903" t="e">
        <f t="shared" ca="1" si="1"/>
        <v>#REF!</v>
      </c>
      <c r="C10" s="2902" t="s">
        <v>2992</v>
      </c>
      <c r="D10" s="2904"/>
      <c r="E10" s="2568" t="e">
        <f t="shared" ca="1" si="0"/>
        <v>#REF!</v>
      </c>
    </row>
    <row r="11" spans="1:5" ht="15.75">
      <c r="A11" s="2907"/>
      <c r="B11" s="2903" t="e">
        <f t="shared" ca="1" si="1"/>
        <v>#REF!</v>
      </c>
      <c r="C11" s="2902" t="s">
        <v>2992</v>
      </c>
      <c r="D11" s="2904"/>
      <c r="E11" s="2568" t="e">
        <f t="shared" ca="1" si="0"/>
        <v>#REF!</v>
      </c>
    </row>
    <row r="12" spans="1:5" ht="15.75">
      <c r="A12" s="2907"/>
      <c r="B12" s="2903" t="e">
        <f t="shared" ca="1" si="1"/>
        <v>#REF!</v>
      </c>
      <c r="C12" s="2902" t="s">
        <v>2992</v>
      </c>
      <c r="D12" s="2904"/>
      <c r="E12" s="2568" t="e">
        <f t="shared" ca="1" si="0"/>
        <v>#REF!</v>
      </c>
    </row>
    <row r="13" spans="1:5" ht="15.75">
      <c r="A13" s="2907"/>
      <c r="B13" s="2903" t="e">
        <f t="shared" ca="1" si="1"/>
        <v>#REF!</v>
      </c>
      <c r="C13" s="2902" t="s">
        <v>2992</v>
      </c>
      <c r="D13" s="2904"/>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W3" sqref="W3"/>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26" t="s">
        <v>1150</v>
      </c>
      <c r="C1" s="3326"/>
      <c r="D1" s="3326"/>
      <c r="E1" s="3326"/>
      <c r="F1" s="3326"/>
      <c r="G1" s="3325" t="s">
        <v>1151</v>
      </c>
      <c r="H1" s="3325"/>
      <c r="I1" s="3325"/>
      <c r="J1" s="3325"/>
      <c r="K1" s="3325"/>
      <c r="L1" s="3325"/>
      <c r="N1" s="3325" t="s">
        <v>1152</v>
      </c>
      <c r="O1" s="3325"/>
      <c r="P1" s="3325"/>
      <c r="Q1" s="3325"/>
      <c r="R1" s="1441"/>
      <c r="S1" s="3325" t="s">
        <v>1153</v>
      </c>
      <c r="T1" s="3325"/>
      <c r="U1" s="3325"/>
      <c r="V1" s="3325"/>
      <c r="X1" s="3324" t="s">
        <v>1154</v>
      </c>
      <c r="Y1" s="3325"/>
      <c r="Z1" s="3325"/>
      <c r="AA1" s="3325"/>
      <c r="AB1" s="3325"/>
      <c r="AD1" s="3324" t="s">
        <v>1155</v>
      </c>
      <c r="AE1" s="3325"/>
      <c r="AF1" s="3325"/>
      <c r="AG1" s="3325"/>
      <c r="AH1" s="3325"/>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1" customFormat="1" ht="14.25">
      <c r="A3" s="2930" t="s">
        <v>3038</v>
      </c>
      <c r="B3" s="2922"/>
      <c r="C3" s="2922"/>
      <c r="D3" s="2923"/>
      <c r="E3" s="2923"/>
      <c r="F3" s="2922"/>
      <c r="G3" s="2924"/>
      <c r="H3" s="2925"/>
      <c r="I3" s="2926">
        <f>ROUND(AVERAGE($I6:$I21),2)</f>
        <v>2.4500000000000002</v>
      </c>
      <c r="J3" s="2926">
        <f>ROUND(AVERAGE($J6:$J21),2)</f>
        <v>1.65</v>
      </c>
      <c r="K3" s="2926">
        <f>ROUND(AVERAGE($K6:$K21),2)</f>
        <v>2.71</v>
      </c>
      <c r="L3" s="2926">
        <f>ROUND(AVERAGE($L6:$L21),2)</f>
        <v>1.39</v>
      </c>
      <c r="N3" s="2924"/>
      <c r="O3" s="2927"/>
      <c r="P3" s="2927"/>
      <c r="Q3" s="2927"/>
      <c r="R3" s="2927"/>
      <c r="S3" s="2924"/>
      <c r="T3" s="2927"/>
      <c r="U3" s="2927"/>
      <c r="V3" s="2927"/>
      <c r="W3" s="2919"/>
      <c r="X3" s="2928">
        <f>ROUND(SUMPRODUCT(PRODUCT(1+N3:N$20)),4)</f>
        <v>1.4274</v>
      </c>
      <c r="Y3" s="2928">
        <f>ROUND(SUMPRODUCT(PRODUCT(1+O3:O$20)),4)</f>
        <v>1.2685</v>
      </c>
      <c r="Z3" s="2928">
        <f t="shared" ref="Z3:Z18" si="0">Y3</f>
        <v>1.2685</v>
      </c>
      <c r="AA3" s="2928">
        <f>ROUND(SUMPRODUCT(PRODUCT(1+P3:P$20)),4)</f>
        <v>1.4825999999999999</v>
      </c>
      <c r="AB3" s="2928">
        <f>ROUND(SUMPRODUCT(PRODUCT(1+Q3:Q$20)),4)</f>
        <v>1.2309000000000001</v>
      </c>
      <c r="AD3" s="2929">
        <f>ROUND(AVERAGE(I3:I$21)/100,4)</f>
        <v>2.3099999999999999E-2</v>
      </c>
      <c r="AE3" s="2929">
        <f>ROUND(AVERAGE(J3:J$21)/100,4)</f>
        <v>1.5599999999999999E-2</v>
      </c>
      <c r="AF3" s="2929">
        <f t="shared" ref="AF3:AF19" si="1">AE3</f>
        <v>1.5599999999999999E-2</v>
      </c>
      <c r="AG3" s="2929">
        <f>ROUND(AVERAGE(K3:K$21)/100,4)</f>
        <v>2.5600000000000001E-2</v>
      </c>
      <c r="AH3" s="2929">
        <f>ROUND(AVERAGE(L3:L$21)/100,4)</f>
        <v>1.32E-2</v>
      </c>
    </row>
    <row r="4" spans="1:34" s="1448" customFormat="1" ht="14.25">
      <c r="B4" s="1449"/>
      <c r="C4" s="1449"/>
      <c r="D4" s="1450"/>
      <c r="E4" s="1450"/>
      <c r="F4" s="1449"/>
      <c r="G4" s="1451"/>
      <c r="H4" s="1452"/>
      <c r="I4" s="2915"/>
      <c r="J4" s="2915"/>
      <c r="K4" s="2915"/>
      <c r="L4" s="2915"/>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3037</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8">
        <v>2018</v>
      </c>
      <c r="H5" s="1724">
        <v>1</v>
      </c>
      <c r="I5" s="2916">
        <v>0</v>
      </c>
      <c r="J5" s="2916">
        <v>0</v>
      </c>
      <c r="K5" s="2916">
        <v>0</v>
      </c>
      <c r="L5" s="2916">
        <v>0</v>
      </c>
      <c r="N5" s="1462">
        <f t="shared" ref="N5:N10" si="7">I5/100</f>
        <v>0</v>
      </c>
      <c r="O5" s="1462">
        <f t="shared" ref="O5" si="8">J5/100</f>
        <v>0</v>
      </c>
      <c r="P5" s="1462">
        <f t="shared" ref="P5" si="9">K5/100</f>
        <v>0</v>
      </c>
      <c r="Q5" s="1462">
        <f t="shared" ref="Q5" si="10">L5/100</f>
        <v>0</v>
      </c>
      <c r="R5" s="1726"/>
      <c r="S5" s="1727"/>
      <c r="T5" s="1726"/>
      <c r="U5" s="1726"/>
      <c r="V5" s="1726"/>
      <c r="W5" s="2920" t="s">
        <v>3039</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3034</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8">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3035</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14"/>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13"/>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14"/>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27">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22"/>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22"/>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23"/>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21">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22"/>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22"/>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23"/>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21">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22"/>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22"/>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23"/>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6" t="s">
        <v>1163</v>
      </c>
      <c r="B22" s="1464">
        <v>299</v>
      </c>
      <c r="C22" s="1464">
        <v>252</v>
      </c>
      <c r="D22" s="1464">
        <f t="shared" si="35"/>
        <v>252</v>
      </c>
      <c r="E22" s="1464">
        <v>409</v>
      </c>
      <c r="F22" s="1465">
        <v>227</v>
      </c>
      <c r="G22" s="3328">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29"/>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29"/>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30"/>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21">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22"/>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22"/>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23"/>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21">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22">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22">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23">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21">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22">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22">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23">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21">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22">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22">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23">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21">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22">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22">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23">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21">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22">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22">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23">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21">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22">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22">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23">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21">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22">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22">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23">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21">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22">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22">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23">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21">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22">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22">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23">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21">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22">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22">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23">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0" t="s">
        <v>3001</v>
      </c>
      <c r="C1" s="3332" t="s">
        <v>3002</v>
      </c>
      <c r="D1" s="3333"/>
      <c r="E1" s="3333"/>
      <c r="F1" s="3333"/>
      <c r="G1" s="3333"/>
      <c r="H1" s="3333"/>
      <c r="I1" s="3333"/>
      <c r="J1" s="3333"/>
      <c r="K1" s="3333"/>
      <c r="L1" s="3333"/>
      <c r="M1" s="3333"/>
      <c r="N1" s="3333"/>
      <c r="O1" s="3333"/>
      <c r="P1" s="3333"/>
      <c r="Q1" s="3333"/>
      <c r="R1" s="3333"/>
      <c r="S1" s="3334"/>
      <c r="T1" s="1200" t="s">
        <v>3003</v>
      </c>
    </row>
    <row r="2" spans="1:45" s="706" customFormat="1">
      <c r="A2" s="1201"/>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3" t="s">
        <v>3005</v>
      </c>
      <c r="C5" s="1212"/>
      <c r="D5" s="1213"/>
      <c r="E5" s="1213"/>
      <c r="F5" s="1705"/>
      <c r="G5" s="1705"/>
      <c r="H5" s="1705"/>
      <c r="I5" s="1705"/>
      <c r="J5" s="1705"/>
      <c r="K5" s="1705"/>
      <c r="L5" s="1706"/>
      <c r="M5" s="1707"/>
      <c r="N5" s="1707"/>
      <c r="O5" s="1705"/>
      <c r="P5" s="1705"/>
      <c r="Q5" s="1705"/>
      <c r="R5" s="1705"/>
      <c r="S5" s="1708"/>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4" t="s">
        <v>3006</v>
      </c>
      <c r="C7" s="1117"/>
      <c r="D7" s="1111"/>
      <c r="E7" s="1111"/>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4" t="s">
        <v>3007</v>
      </c>
      <c r="C9" s="1117"/>
      <c r="D9" s="1111"/>
      <c r="E9" s="1111"/>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3" t="s">
        <v>3008</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3" t="s">
        <v>3009</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3" t="s">
        <v>3010</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3011</v>
      </c>
      <c r="B17" s="2909" t="s">
        <v>3012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0" t="s">
        <v>3013</v>
      </c>
      <c r="E19" s="1786"/>
      <c r="F19" s="1786"/>
      <c r="G19" s="1786"/>
      <c r="H19" s="1276"/>
      <c r="I19" s="167"/>
      <c r="J19" s="167"/>
      <c r="K19" s="167"/>
      <c r="L19" s="167"/>
      <c r="M19" s="167"/>
      <c r="N19" s="167"/>
      <c r="O19" s="167"/>
      <c r="P19" s="167"/>
      <c r="Q19" s="167"/>
      <c r="R19" s="787"/>
      <c r="S19" s="137"/>
    </row>
    <row r="20" spans="1:45" ht="16.5" thickBot="1">
      <c r="A20" s="714" t="s">
        <v>3014</v>
      </c>
      <c r="B20" s="337" t="e">
        <f ca="1">IF(D20="——",S22,S22-F20)</f>
        <v>#REF!</v>
      </c>
      <c r="C20" s="167"/>
      <c r="D20" s="2911" t="s">
        <v>3015</v>
      </c>
      <c r="E20" s="1787"/>
      <c r="F20" s="1200" t="e">
        <f ca="1">SUMIF(INDIRECT("'"&amp;H20&amp;"'"&amp;"!A:A"),"承租人权益价值",INDIRECT("'"&amp;H20&amp;"'"&amp;"!c:c"))</f>
        <v>#REF!</v>
      </c>
      <c r="G20" s="1200" t="s">
        <v>3016</v>
      </c>
      <c r="H20" s="2912"/>
      <c r="I20" s="167"/>
      <c r="J20" s="167"/>
      <c r="K20" s="167"/>
      <c r="L20" s="167"/>
      <c r="M20" s="167"/>
      <c r="N20" s="167"/>
      <c r="O20" s="167"/>
      <c r="P20" s="167"/>
      <c r="Q20" s="167"/>
      <c r="R20" s="787"/>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189" t="s">
        <v>33</v>
      </c>
      <c r="D22" s="3190"/>
      <c r="E22" s="3190"/>
      <c r="F22" s="3190"/>
      <c r="G22" s="3190"/>
      <c r="H22" s="3190"/>
      <c r="I22" s="3190"/>
      <c r="J22" s="3190"/>
      <c r="K22" s="3190"/>
      <c r="L22" s="3190"/>
      <c r="M22" s="3190"/>
      <c r="N22" s="3190"/>
      <c r="O22" s="3190"/>
      <c r="P22" s="3190"/>
      <c r="Q22" s="3331"/>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53351</v>
      </c>
      <c r="C2" s="2" t="s">
        <v>133</v>
      </c>
      <c r="D2" s="242"/>
      <c r="E2" s="242"/>
      <c r="F2" s="242"/>
      <c r="G2" s="242"/>
    </row>
    <row r="3" spans="1:7" s="243" customFormat="1" ht="18" customHeight="1" thickBot="1">
      <c r="A3" s="246" t="s">
        <v>85</v>
      </c>
      <c r="B3" s="247">
        <f ca="1">ROUND(B2*10000/'数据-汇总表'!E3,0)</f>
        <v>8375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300</v>
      </c>
      <c r="D9" s="1028">
        <f>'数据-汇总表'!E5</f>
        <v>19990.119999999995</v>
      </c>
      <c r="E9" s="268">
        <f>'数据-取费表'!B27</f>
        <v>150</v>
      </c>
      <c r="F9" s="264"/>
      <c r="G9" s="269"/>
    </row>
    <row r="10" spans="1:7" s="257" customFormat="1" ht="13.5" customHeight="1">
      <c r="A10" s="946" t="s">
        <v>801</v>
      </c>
      <c r="B10" s="267" t="s">
        <v>94</v>
      </c>
      <c r="C10" s="268">
        <f>ROUND(D10*E10/10000,0)</f>
        <v>831</v>
      </c>
      <c r="D10" s="1028">
        <f>'数据-汇总表'!E6</f>
        <v>43712.009999999995</v>
      </c>
      <c r="E10" s="268">
        <f>'数据-取费表'!B28</f>
        <v>190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1274</v>
      </c>
      <c r="D19" s="1032">
        <f>'数据-汇总表'!E3</f>
        <v>63702.12999999999</v>
      </c>
      <c r="E19" s="254">
        <f>'数据-取费表'!B31</f>
        <v>200</v>
      </c>
      <c r="F19" s="274"/>
      <c r="G19" s="1" t="s">
        <v>1074</v>
      </c>
    </row>
    <row r="20" spans="1:7" s="257" customFormat="1" ht="13.5" customHeight="1">
      <c r="A20" s="944" t="s">
        <v>1057</v>
      </c>
      <c r="B20" s="253" t="s">
        <v>104</v>
      </c>
      <c r="C20" s="275">
        <f>ROUND((C5+C19)*F20,0)</f>
        <v>328</v>
      </c>
      <c r="D20" s="275"/>
      <c r="E20" s="275"/>
      <c r="F20" s="276">
        <f>'数据-取费表'!B37</f>
        <v>1.4999999999999999E-2</v>
      </c>
      <c r="G20" s="1285" t="s">
        <v>1068</v>
      </c>
    </row>
    <row r="21" spans="1:7" s="257" customFormat="1" ht="13.5" customHeight="1">
      <c r="A21" s="944" t="s">
        <v>1059</v>
      </c>
      <c r="B21" s="253" t="s">
        <v>105</v>
      </c>
      <c r="C21" s="278">
        <f>F21</f>
        <v>1.4999999999999999E-2</v>
      </c>
      <c r="D21" s="279" t="s">
        <v>126</v>
      </c>
      <c r="E21" s="275"/>
      <c r="F21" s="276">
        <f>'数据-取费表'!B38</f>
        <v>1.4999999999999999E-2</v>
      </c>
      <c r="G21" s="277" t="s">
        <v>106</v>
      </c>
    </row>
    <row r="22" spans="1:7" s="257" customFormat="1" ht="13.5" customHeight="1">
      <c r="A22" s="944" t="s">
        <v>786</v>
      </c>
      <c r="B22" s="253" t="s">
        <v>107</v>
      </c>
      <c r="C22" s="1350">
        <f ca="1">ROUND(SUM(C23:C25),0)</f>
        <v>2426</v>
      </c>
      <c r="D22" s="278">
        <f ca="1">C26</f>
        <v>8.0000000000000004E-4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2268</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140</v>
      </c>
      <c r="D24" s="281"/>
      <c r="E24" s="281"/>
      <c r="F24" s="282"/>
      <c r="G24" s="283" t="s">
        <v>109</v>
      </c>
    </row>
    <row r="25" spans="1:7" s="257" customFormat="1" ht="24">
      <c r="A25" s="947" t="s">
        <v>793</v>
      </c>
      <c r="B25" s="258" t="s">
        <v>1058</v>
      </c>
      <c r="C25" s="1351">
        <f ca="1">ROUND(IF('数据-取费表'!B22&lt;=1,C20*F22*'数据-取费表'!B23/2,C20*(POWER((1+F22),'数据-取费表'!B23/2)-1)),0)</f>
        <v>18</v>
      </c>
      <c r="D25" s="281"/>
      <c r="E25" s="284"/>
      <c r="F25" s="282"/>
      <c r="G25" s="285" t="s">
        <v>110</v>
      </c>
    </row>
    <row r="26" spans="1:7" s="257" customFormat="1">
      <c r="A26" s="947" t="s">
        <v>795</v>
      </c>
      <c r="B26" s="258" t="s">
        <v>1060</v>
      </c>
      <c r="C26" s="281">
        <f ca="1">ROUND(IF('数据-取费表'!B22&lt;=1,F21*F22*'数据-取费表'!B23/2,F21*(POWER((1+F22),'数据-取费表'!B23/2)-1)),4)</f>
        <v>8.0000000000000004E-4</v>
      </c>
      <c r="D26" s="281"/>
      <c r="E26" s="284"/>
      <c r="F26" s="282"/>
      <c r="G26" s="286"/>
    </row>
    <row r="27" spans="1:7" s="257" customFormat="1" ht="24.75">
      <c r="A27" s="944" t="s">
        <v>787</v>
      </c>
      <c r="B27" s="287" t="s">
        <v>112</v>
      </c>
      <c r="C27" s="288">
        <f>C28</f>
        <v>2332</v>
      </c>
      <c r="D27" s="278">
        <f>C29</f>
        <v>1.6000000000000001E-3</v>
      </c>
      <c r="E27" s="279" t="s">
        <v>126</v>
      </c>
      <c r="F27" s="289">
        <f>'数据-取费表'!Q16</f>
        <v>0.14000000000000001</v>
      </c>
      <c r="G27" s="290" t="s">
        <v>1069</v>
      </c>
    </row>
    <row r="28" spans="1:7" s="257" customFormat="1" ht="13.5" customHeight="1">
      <c r="A28" s="947" t="s">
        <v>794</v>
      </c>
      <c r="B28" s="291" t="s">
        <v>1062</v>
      </c>
      <c r="C28" s="292">
        <f>ROUND((C5+C19+C20)*F27*'数据-取费表'!B21/'数据-取费表'!B20,0)</f>
        <v>2332</v>
      </c>
      <c r="D28" s="278"/>
      <c r="E28" s="279"/>
      <c r="F28" s="289"/>
      <c r="G28" s="290"/>
    </row>
    <row r="29" spans="1:7" s="257" customFormat="1" ht="13.5" customHeight="1">
      <c r="A29" s="947" t="s">
        <v>792</v>
      </c>
      <c r="B29" s="291" t="s">
        <v>1063</v>
      </c>
      <c r="C29" s="281">
        <f>ROUND(C21*F27*'数据-取费表'!B21/'数据-取费表'!B20,4)</f>
        <v>1.6000000000000001E-3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28993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18693</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16722</v>
      </c>
      <c r="D34" s="260"/>
      <c r="E34" s="263"/>
      <c r="F34" s="300">
        <f>IF('数据-取费表'!B24=0,1,'数据-取费表'!N16)</f>
        <v>0.75</v>
      </c>
      <c r="G34" s="262" t="s">
        <v>116</v>
      </c>
    </row>
    <row r="35" spans="1:7" ht="13.5" customHeight="1">
      <c r="A35" s="947" t="s">
        <v>796</v>
      </c>
      <c r="B35" s="258" t="s">
        <v>60</v>
      </c>
      <c r="C35" s="263">
        <f>ROUND(C34*F35,0)</f>
        <v>502</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262</v>
      </c>
      <c r="D36" s="263"/>
      <c r="E36" s="263"/>
      <c r="F36" s="302">
        <f>'数据-取费表'!B34</f>
        <v>0.05</v>
      </c>
      <c r="G36" s="303" t="s">
        <v>62</v>
      </c>
    </row>
    <row r="37" spans="1:7" s="301" customFormat="1" ht="13.5" customHeight="1">
      <c r="A37" s="947" t="s">
        <v>798</v>
      </c>
      <c r="B37" s="258" t="s">
        <v>118</v>
      </c>
      <c r="C37" s="292">
        <f>ROUND(E37*D37*F34/10000,0)</f>
        <v>956</v>
      </c>
      <c r="D37" s="260">
        <f>'数据-汇总表'!E3</f>
        <v>63702.12999999999</v>
      </c>
      <c r="E37" s="292">
        <f>'数据-取费表'!B35</f>
        <v>200</v>
      </c>
      <c r="F37" s="302"/>
      <c r="G37" s="304" t="s">
        <v>119</v>
      </c>
    </row>
    <row r="38" spans="1:7" ht="13.5" customHeight="1">
      <c r="A38" s="947" t="s">
        <v>799</v>
      </c>
      <c r="B38" s="258" t="s">
        <v>63</v>
      </c>
      <c r="C38" s="263">
        <f>ROUND(C34*F38,0)</f>
        <v>251</v>
      </c>
      <c r="D38" s="263"/>
      <c r="E38" s="263"/>
      <c r="F38" s="302">
        <f>'数据-取费表'!B36</f>
        <v>1.4999999999999999E-2</v>
      </c>
      <c r="G38" s="262" t="s">
        <v>117</v>
      </c>
    </row>
    <row r="39" spans="1:7" s="257" customFormat="1" ht="13.5" customHeight="1">
      <c r="A39" s="944" t="s">
        <v>783</v>
      </c>
      <c r="B39" s="253" t="s">
        <v>104</v>
      </c>
      <c r="C39" s="275">
        <f>ROUND(C33*F20,0)</f>
        <v>280</v>
      </c>
      <c r="D39" s="275"/>
      <c r="E39" s="275"/>
      <c r="F39" s="276"/>
      <c r="G39" s="1285" t="s">
        <v>1071</v>
      </c>
    </row>
    <row r="40" spans="1:7" s="257" customFormat="1" ht="13.5" customHeight="1">
      <c r="A40" s="944" t="s">
        <v>784</v>
      </c>
      <c r="B40" s="253" t="s">
        <v>105</v>
      </c>
      <c r="C40" s="305">
        <f>F21</f>
        <v>1.4999999999999999E-2</v>
      </c>
      <c r="D40" s="279" t="s">
        <v>129</v>
      </c>
      <c r="E40" s="275"/>
      <c r="F40" s="276"/>
      <c r="G40" s="277" t="s">
        <v>120</v>
      </c>
    </row>
    <row r="41" spans="1:7" s="257" customFormat="1" ht="13.5" customHeight="1">
      <c r="A41" s="944" t="s">
        <v>785</v>
      </c>
      <c r="B41" s="253" t="s">
        <v>107</v>
      </c>
      <c r="C41" s="275">
        <f ca="1">ROUND(SUM(C42:C43),0)</f>
        <v>1017</v>
      </c>
      <c r="D41" s="278">
        <f ca="1">C44</f>
        <v>8.0000000000000004E-4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1002</v>
      </c>
      <c r="D42" s="281"/>
      <c r="E42" s="281"/>
      <c r="F42" s="282"/>
      <c r="G42" s="3194" t="s">
        <v>121</v>
      </c>
    </row>
    <row r="43" spans="1:7" ht="13.5" customHeight="1">
      <c r="A43" s="947" t="s">
        <v>792</v>
      </c>
      <c r="B43" s="258" t="s">
        <v>1064</v>
      </c>
      <c r="C43" s="281">
        <f ca="1">ROUND(IF('数据-取费表'!B22&lt;=1,C39*F22*'数据-取费表'!B21/2,C39*(POWER((1+F22),'数据-取费表'!B21/2)-1)),0)</f>
        <v>15</v>
      </c>
      <c r="D43" s="281"/>
      <c r="E43" s="281"/>
      <c r="F43" s="282"/>
      <c r="G43" s="3195"/>
    </row>
    <row r="44" spans="1:7" ht="13.5" customHeight="1">
      <c r="A44" s="947" t="s">
        <v>793</v>
      </c>
      <c r="B44" s="258" t="s">
        <v>1066</v>
      </c>
      <c r="C44" s="281">
        <f ca="1">ROUND(IF('数据-取费表'!B22&lt;=1,C40*F22*'数据-取费表'!B21/2,C40*(POWER((1+F22),'数据-取费表'!B21/2)-1)),4)</f>
        <v>8.0000000000000004E-4</v>
      </c>
      <c r="D44" s="281"/>
      <c r="E44" s="281"/>
      <c r="F44" s="282"/>
      <c r="G44" s="3196"/>
    </row>
    <row r="45" spans="1:7" s="257" customFormat="1" ht="13.5" customHeight="1">
      <c r="A45" s="944" t="s">
        <v>786</v>
      </c>
      <c r="B45" s="287" t="s">
        <v>112</v>
      </c>
      <c r="C45" s="288">
        <f>C46</f>
        <v>2656</v>
      </c>
      <c r="D45" s="278">
        <f>C47</f>
        <v>2.0999999999999999E-3</v>
      </c>
      <c r="E45" s="279" t="s">
        <v>129</v>
      </c>
      <c r="F45" s="289"/>
      <c r="G45" s="290" t="s">
        <v>1072</v>
      </c>
    </row>
    <row r="46" spans="1:7" s="257" customFormat="1" ht="13.5" customHeight="1">
      <c r="A46" s="947" t="s">
        <v>794</v>
      </c>
      <c r="B46" s="291" t="s">
        <v>1065</v>
      </c>
      <c r="C46" s="292">
        <f>ROUND((C33+C39)*F27,0)</f>
        <v>2656</v>
      </c>
      <c r="D46" s="306"/>
      <c r="E46" s="279"/>
      <c r="F46" s="289"/>
      <c r="G46" s="290"/>
    </row>
    <row r="47" spans="1:7" s="257" customFormat="1" ht="13.5" customHeight="1">
      <c r="A47" s="947" t="s">
        <v>792</v>
      </c>
      <c r="B47" s="291" t="s">
        <v>1067</v>
      </c>
      <c r="C47" s="281">
        <f>ROUND(C40*F27,4)</f>
        <v>2.0999999999999999E-3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24358</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24358</v>
      </c>
      <c r="D51" s="275"/>
      <c r="E51" s="275"/>
      <c r="F51" s="307"/>
      <c r="G51" s="277" t="s">
        <v>64</v>
      </c>
    </row>
    <row r="52" spans="1:7" s="251" customFormat="1" ht="16.5" thickBot="1">
      <c r="A52" s="308" t="s">
        <v>65</v>
      </c>
      <c r="B52" s="309"/>
      <c r="C52" s="310">
        <f ca="1">C31+C51</f>
        <v>53351</v>
      </c>
      <c r="D52" s="309"/>
      <c r="E52" s="309"/>
      <c r="F52" s="309"/>
      <c r="G52" s="311"/>
    </row>
    <row r="55" spans="1:7" ht="15">
      <c r="B55" s="313" t="s">
        <v>66</v>
      </c>
      <c r="C55" s="314"/>
    </row>
    <row r="56" spans="1:7">
      <c r="B56" s="316" t="s">
        <v>67</v>
      </c>
      <c r="C56" s="317">
        <f ca="1">ROUND(C51/C52,3)</f>
        <v>0.45700000000000002</v>
      </c>
    </row>
    <row r="57" spans="1:7">
      <c r="B57" s="316" t="s">
        <v>68</v>
      </c>
      <c r="C57" s="318">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35" t="s">
        <v>156</v>
      </c>
      <c r="B1" s="3335"/>
      <c r="C1" s="3335"/>
      <c r="D1" s="3335"/>
      <c r="E1" s="3335"/>
      <c r="F1" s="333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6" t="s">
        <v>169</v>
      </c>
      <c r="B2" s="3336"/>
      <c r="C2" s="3336"/>
      <c r="D2" s="3336"/>
      <c r="E2" s="3336"/>
      <c r="F2" s="333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5" t="s">
        <v>871</v>
      </c>
      <c r="B1" s="333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43633</v>
      </c>
      <c r="D1" s="1694" t="s">
        <v>1301</v>
      </c>
      <c r="E1" s="1689">
        <f>'数据-取费表'!B22</f>
        <v>3</v>
      </c>
      <c r="F1" s="1694" t="s">
        <v>1302</v>
      </c>
      <c r="G1" s="1690">
        <f ca="1">INDIRECT("d"&amp;$K$1)/100</f>
        <v>4.7500000000000001E-2</v>
      </c>
      <c r="H1" s="1694" t="s">
        <v>1332</v>
      </c>
      <c r="I1" s="1690">
        <f ca="1">F4/100</f>
        <v>1.4999999999999999E-2</v>
      </c>
      <c r="J1" s="1695">
        <f>IF(C1&gt;C13,0,MATCH(C1,C$13:C$100,-1))+IF(SUMIF(C13:C100,C1,D13:D100)=0,13,12)</f>
        <v>13</v>
      </c>
      <c r="K1" s="1695">
        <f ca="1">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1642</v>
      </c>
      <c r="B2" s="3016" t="s">
        <v>1643</v>
      </c>
      <c r="C2" s="3016" t="s">
        <v>1644</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0" t="s">
        <v>1639</v>
      </c>
      <c r="E3" s="1040" t="s">
        <v>1645</v>
      </c>
      <c r="F3" s="1040" t="s">
        <v>1639</v>
      </c>
      <c r="G3" s="1040" t="s">
        <v>1640</v>
      </c>
      <c r="H3" s="1040" t="s">
        <v>1639</v>
      </c>
      <c r="I3" s="1040" t="s">
        <v>1640</v>
      </c>
    </row>
    <row r="4" spans="1:9" ht="60">
      <c r="A4" s="1967" t="str">
        <f>项目基本情况!S2</f>
        <v>北京市昌平区南邵镇（中关村科技园昌平园东区二期）0303-54地块出让国有建设用地使用权及在建建筑物房地产</v>
      </c>
      <c r="B4" s="1040">
        <f>项目基本情况!C17</f>
        <v>63702.12999999999</v>
      </c>
      <c r="C4" s="1040">
        <f>项目基本情况!C18</f>
        <v>14226.66</v>
      </c>
      <c r="D4" s="1040">
        <f ca="1">结果表!D118</f>
        <v>120211</v>
      </c>
      <c r="E4" s="1040">
        <f ca="1">结果表!E118</f>
        <v>18871</v>
      </c>
      <c r="F4" s="1040">
        <f ca="1">结果表!F118</f>
        <v>30053</v>
      </c>
      <c r="G4" s="1040">
        <f ca="1">结果表!G118</f>
        <v>4718</v>
      </c>
      <c r="H4" s="1040">
        <f ca="1">结果表!H118</f>
        <v>150264</v>
      </c>
      <c r="I4" s="1040">
        <f ca="1">结果表!I118</f>
        <v>23589</v>
      </c>
    </row>
    <row r="5" spans="1:9" ht="30" customHeight="1">
      <c r="A5" s="3010" t="s">
        <v>1641</v>
      </c>
      <c r="B5" s="3010"/>
      <c r="C5" s="3010"/>
      <c r="D5" s="3011" t="str">
        <f ca="1">结果表!D119</f>
        <v>壹拾贰亿零贰佰壹拾壹万元整</v>
      </c>
      <c r="E5" s="3011"/>
      <c r="F5" s="3011" t="str">
        <f ca="1">结果表!F119</f>
        <v>叁亿零伍拾叁万元整</v>
      </c>
      <c r="G5" s="3011"/>
      <c r="H5" s="3011" t="str">
        <f ca="1">结果表!H119</f>
        <v>壹拾伍亿零贰佰陆拾肆万元整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1641</v>
      </c>
      <c r="B7" s="3010"/>
      <c r="C7" s="3010"/>
      <c r="D7" s="3012" t="str">
        <f>结果表!D121</f>
        <v>零元整</v>
      </c>
      <c r="E7" s="3013"/>
      <c r="F7" s="3013"/>
      <c r="G7" s="3013"/>
      <c r="H7" s="3013"/>
      <c r="I7" s="3014"/>
    </row>
    <row r="8" spans="1:9" ht="15.75">
      <c r="A8" s="3009" t="str">
        <f>结果表!A122</f>
        <v/>
      </c>
      <c r="B8" s="3009"/>
      <c r="C8" s="3009"/>
      <c r="D8" s="3009" t="str">
        <f>结果表!D122</f>
        <v>——</v>
      </c>
      <c r="E8" s="3009"/>
      <c r="F8" s="3009"/>
      <c r="G8" s="3009"/>
      <c r="H8" s="3009"/>
      <c r="I8" s="3009"/>
    </row>
    <row r="9" spans="1:9" ht="15">
      <c r="A9" s="3010" t="s">
        <v>1641</v>
      </c>
      <c r="B9" s="3010"/>
      <c r="C9" s="3010"/>
      <c r="D9" s="3011" t="e">
        <f>结果表!D123</f>
        <v>#VALUE!</v>
      </c>
      <c r="E9" s="3011"/>
      <c r="F9" s="3011"/>
      <c r="G9" s="3011"/>
      <c r="H9" s="3011"/>
      <c r="I9" s="3011"/>
    </row>
    <row r="10" spans="1:9" ht="15.75">
      <c r="A10" s="3009" t="str">
        <f>结果表!A124</f>
        <v>抵押担保权已注销时的房地产抵押价值</v>
      </c>
      <c r="B10" s="3009"/>
      <c r="C10" s="3009"/>
      <c r="D10" s="3009">
        <f ca="1">结果表!D124</f>
        <v>150264</v>
      </c>
      <c r="E10" s="3009"/>
      <c r="F10" s="3009"/>
      <c r="G10" s="3009"/>
      <c r="H10" s="3009"/>
      <c r="I10" s="3009"/>
    </row>
    <row r="11" spans="1:9" ht="15">
      <c r="A11" s="3010" t="s">
        <v>1641</v>
      </c>
      <c r="B11" s="3010"/>
      <c r="C11" s="3010"/>
      <c r="D11" s="3011" t="str">
        <f ca="1">结果表!D125</f>
        <v>壹拾伍亿零贰佰陆拾肆万元整</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1641</v>
      </c>
      <c r="B13" s="3006"/>
      <c r="C13" s="3006"/>
      <c r="D13" s="3007" t="e">
        <f>结果表!D127</f>
        <v>#VALUE!</v>
      </c>
      <c r="E13" s="3007"/>
      <c r="F13" s="3007"/>
      <c r="G13" s="3007"/>
      <c r="H13" s="3007"/>
      <c r="I13" s="3007"/>
    </row>
    <row r="14" spans="1:9" ht="15" thickTop="1">
      <c r="A14" s="3008" t="s">
        <v>1646</v>
      </c>
      <c r="B14" s="3008"/>
      <c r="C14" s="3008"/>
      <c r="D14" s="3008"/>
      <c r="E14" s="3008"/>
      <c r="F14" s="3008"/>
      <c r="G14" s="3008"/>
      <c r="H14" s="3008"/>
      <c r="I14" s="3008"/>
    </row>
    <row r="16" spans="1:9" ht="18.75">
      <c r="A16" s="1968" t="s">
        <v>1629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23" t="s">
        <v>1663</v>
      </c>
      <c r="B1" s="3023"/>
      <c r="C1" s="3023"/>
      <c r="D1" s="3023"/>
    </row>
    <row r="2" spans="1:4" ht="18">
      <c r="A2" s="3024" t="s">
        <v>1647</v>
      </c>
      <c r="B2" s="3024"/>
      <c r="C2" s="3024"/>
      <c r="D2" s="3024"/>
    </row>
    <row r="3" spans="1:4" ht="18.75">
      <c r="A3" s="1971" t="s">
        <v>1648</v>
      </c>
      <c r="B3" s="1971" t="s">
        <v>1649</v>
      </c>
      <c r="C3" s="1971" t="s">
        <v>1650</v>
      </c>
      <c r="D3" s="1971" t="s">
        <v>1651</v>
      </c>
    </row>
    <row r="4" spans="1:4" ht="56.25" customHeight="1">
      <c r="A4" s="1972" t="str">
        <f>项目基本情况!B4</f>
        <v>欧红伟</v>
      </c>
      <c r="B4" s="1973">
        <f ca="1">项目基本情况!C4</f>
        <v>1120000080</v>
      </c>
      <c r="C4" s="1974"/>
      <c r="D4" s="1975" t="s">
        <v>1652</v>
      </c>
    </row>
    <row r="5" spans="1:4" ht="56.25" customHeight="1">
      <c r="A5" s="1972" t="str">
        <f>项目基本情况!D4</f>
        <v>郑燚</v>
      </c>
      <c r="B5" s="1973">
        <f ca="1">项目基本情况!E4</f>
        <v>1120070131</v>
      </c>
      <c r="C5" s="1976"/>
      <c r="D5" s="1975" t="s">
        <v>1652</v>
      </c>
    </row>
    <row r="6" spans="1:4" ht="18">
      <c r="A6" s="3024" t="s">
        <v>1653</v>
      </c>
      <c r="B6" s="3024"/>
      <c r="C6" s="3024"/>
      <c r="D6" s="3024"/>
    </row>
    <row r="7" spans="1:4" ht="18.75">
      <c r="A7" s="1971" t="s">
        <v>1648</v>
      </c>
      <c r="B7" s="1973" t="s">
        <v>1654</v>
      </c>
      <c r="C7" s="1971" t="s">
        <v>1650</v>
      </c>
      <c r="D7" s="1971" t="s">
        <v>1651</v>
      </c>
    </row>
    <row r="8" spans="1:4" ht="56.25" customHeight="1">
      <c r="A8" s="1977" t="s">
        <v>869</v>
      </c>
      <c r="B8" s="1977" t="s">
        <v>1</v>
      </c>
      <c r="C8" s="1974"/>
      <c r="D8" s="1975" t="s">
        <v>1652</v>
      </c>
    </row>
    <row r="9" spans="1:4">
      <c r="A9" s="727"/>
      <c r="B9" s="727"/>
      <c r="C9" s="727"/>
      <c r="D9" s="727"/>
    </row>
    <row r="10" spans="1:4" ht="18.75">
      <c r="A10" s="1978" t="s">
        <v>1655</v>
      </c>
      <c r="B10" s="727"/>
      <c r="C10" s="727"/>
      <c r="D10" s="727"/>
    </row>
    <row r="11" spans="1:4" ht="30" customHeight="1">
      <c r="A11" s="3025" t="s">
        <v>1656</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1657</v>
      </c>
      <c r="B16" s="3019"/>
      <c r="C16" s="3019"/>
      <c r="D16" s="3019"/>
    </row>
    <row r="17" spans="1:4" ht="144" customHeight="1">
      <c r="A17" s="3019" t="s">
        <v>1658</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1659</v>
      </c>
      <c r="B22" s="3021"/>
      <c r="C22" s="3021"/>
      <c r="D22" s="3021"/>
    </row>
    <row r="23" spans="1:4">
      <c r="A23" s="1979"/>
      <c r="B23" s="1951"/>
      <c r="C23" s="1951"/>
      <c r="D23" s="1951"/>
    </row>
    <row r="24" spans="1:4">
      <c r="A24" s="1979"/>
      <c r="B24" s="1951"/>
      <c r="C24" s="1951"/>
      <c r="D24" s="1951"/>
    </row>
    <row r="25" spans="1:4" ht="18.75">
      <c r="A25" s="1980" t="s">
        <v>1660</v>
      </c>
    </row>
    <row r="26" spans="1:4" ht="18">
      <c r="A26" s="1949"/>
    </row>
    <row r="27" spans="1:4" ht="18.75">
      <c r="A27" s="1949" t="s">
        <v>1661</v>
      </c>
    </row>
    <row r="30" spans="1:4" ht="18.75">
      <c r="D30" s="1980" t="s">
        <v>1662</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1664</v>
      </c>
    </row>
    <row r="3" spans="1:7">
      <c r="A3" s="1985" t="s">
        <v>82</v>
      </c>
      <c r="B3" s="1969" t="s">
        <v>1665</v>
      </c>
      <c r="G3" s="1986"/>
    </row>
    <row r="4" spans="1:7">
      <c r="G4" s="1986"/>
    </row>
    <row r="5" spans="1:7">
      <c r="A5" s="1988" t="s">
        <v>73</v>
      </c>
      <c r="B5" s="1969" t="s">
        <v>1666</v>
      </c>
      <c r="G5" s="1986"/>
    </row>
    <row r="6" spans="1:7">
      <c r="G6" s="1986"/>
    </row>
    <row r="7" spans="1:7">
      <c r="A7" s="1989" t="s">
        <v>135</v>
      </c>
      <c r="B7" s="1969" t="s">
        <v>1667</v>
      </c>
      <c r="G7" s="1986"/>
    </row>
    <row r="8" spans="1:7">
      <c r="G8" s="1986"/>
    </row>
    <row r="9" spans="1:7">
      <c r="A9" s="1990" t="s">
        <v>74</v>
      </c>
      <c r="B9" s="1969" t="s">
        <v>1668</v>
      </c>
    </row>
    <row r="11" spans="1:7">
      <c r="A11" s="1991" t="s">
        <v>75</v>
      </c>
      <c r="B11" s="1992" t="s">
        <v>72</v>
      </c>
    </row>
    <row r="13" spans="1:7">
      <c r="A13" s="1993" t="s">
        <v>1669</v>
      </c>
    </row>
    <row r="15" spans="1:7" ht="13.5">
      <c r="A15" s="3031" t="s">
        <v>1670</v>
      </c>
      <c r="B15" s="3026" t="s">
        <v>136</v>
      </c>
      <c r="C15" s="3027"/>
    </row>
    <row r="16" spans="1:7" ht="13.5">
      <c r="A16" s="3032"/>
      <c r="B16" s="3026" t="s">
        <v>69</v>
      </c>
      <c r="C16" s="3027"/>
    </row>
    <row r="17" spans="1:3" ht="13.5">
      <c r="A17" s="3032"/>
      <c r="B17" s="3029" t="s">
        <v>1671</v>
      </c>
      <c r="C17" s="1994" t="s">
        <v>1670</v>
      </c>
    </row>
    <row r="18" spans="1:3" ht="13.5">
      <c r="A18" s="3032"/>
      <c r="B18" s="3029"/>
      <c r="C18" s="1994" t="s">
        <v>1672</v>
      </c>
    </row>
    <row r="19" spans="1:3" ht="13.5">
      <c r="A19" s="3032"/>
      <c r="B19" s="3029"/>
      <c r="C19" s="1994" t="s">
        <v>1673</v>
      </c>
    </row>
    <row r="20" spans="1:3" ht="13.5">
      <c r="A20" s="3033"/>
      <c r="B20" s="3028" t="s">
        <v>1674</v>
      </c>
      <c r="C20" s="3027"/>
    </row>
    <row r="21" spans="1:3" ht="13.5">
      <c r="A21" s="1995" t="s">
        <v>1675</v>
      </c>
      <c r="B21" s="1996"/>
      <c r="C21" s="1997"/>
    </row>
    <row r="22" spans="1:3" ht="13.5">
      <c r="A22" s="3030" t="s">
        <v>1676</v>
      </c>
      <c r="B22" s="3028" t="s">
        <v>1677</v>
      </c>
      <c r="C22" s="3027"/>
    </row>
    <row r="23" spans="1:3" ht="13.5">
      <c r="A23" s="3030"/>
      <c r="B23" s="3028" t="s">
        <v>1678</v>
      </c>
      <c r="C23" s="3027"/>
    </row>
    <row r="24" spans="1:3" ht="13.5">
      <c r="A24" s="3030"/>
      <c r="B24" s="3028" t="s">
        <v>1679</v>
      </c>
      <c r="C24" s="3027"/>
    </row>
    <row r="25" spans="1:3" ht="13.5">
      <c r="A25" s="3030"/>
      <c r="B25" s="3029" t="s">
        <v>1680</v>
      </c>
      <c r="C25" s="1994" t="s">
        <v>1681</v>
      </c>
    </row>
    <row r="26" spans="1:3" ht="13.5">
      <c r="A26" s="3030"/>
      <c r="B26" s="3029"/>
      <c r="C26" s="1994" t="s">
        <v>1682</v>
      </c>
    </row>
    <row r="27" spans="1:3" ht="13.5">
      <c r="A27" s="3030"/>
      <c r="B27" s="3029"/>
      <c r="C27" s="1994" t="s">
        <v>1683</v>
      </c>
    </row>
    <row r="28" spans="1:3" ht="13.5">
      <c r="A28" s="3030"/>
      <c r="B28" s="3029"/>
      <c r="C28" s="1994" t="s">
        <v>1684</v>
      </c>
    </row>
    <row r="29" spans="1:3" ht="13.5">
      <c r="A29" s="3030"/>
      <c r="B29" s="3029"/>
      <c r="C29" s="1994" t="s">
        <v>1685</v>
      </c>
    </row>
    <row r="30" spans="1:3" ht="13.5">
      <c r="A30" s="3030"/>
      <c r="B30" s="3029"/>
      <c r="C30" s="1994" t="s">
        <v>1686</v>
      </c>
    </row>
    <row r="31" spans="1:3" ht="13.5">
      <c r="A31" s="3030"/>
      <c r="B31" s="3029"/>
      <c r="C31" s="1994" t="s">
        <v>1687</v>
      </c>
    </row>
    <row r="32" spans="1:3" ht="13.5">
      <c r="A32" s="3030"/>
      <c r="B32" s="3029"/>
      <c r="C32" s="1994" t="s">
        <v>1688</v>
      </c>
    </row>
    <row r="33" spans="1:3" ht="13.5">
      <c r="A33" s="3030"/>
      <c r="B33" s="3029"/>
      <c r="C33" s="1994" t="s">
        <v>1689</v>
      </c>
    </row>
    <row r="34" spans="1:3">
      <c r="A34" s="1998" t="s">
        <v>76</v>
      </c>
    </row>
    <row r="37" spans="1:3">
      <c r="A37" s="1998" t="s">
        <v>1690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43663</v>
      </c>
      <c r="C2" s="1015" t="s">
        <v>826</v>
      </c>
      <c r="D2" s="1015"/>
    </row>
    <row r="3" spans="1:6" ht="24" customHeight="1">
      <c r="A3" s="1016" t="s">
        <v>827</v>
      </c>
      <c r="B3" s="1017" t="s">
        <v>828</v>
      </c>
      <c r="C3" s="2337" t="s">
        <v>829</v>
      </c>
      <c r="D3" s="2340" t="s">
        <v>830</v>
      </c>
      <c r="E3" s="1018" t="s">
        <v>831</v>
      </c>
      <c r="F3" s="1017" t="s">
        <v>829</v>
      </c>
    </row>
    <row r="4" spans="1:6" ht="24" customHeight="1">
      <c r="A4" s="1696" t="s">
        <v>832</v>
      </c>
      <c r="B4" s="1018">
        <f ca="1">IF(C4&lt;B2,"已过期",1119970066)</f>
        <v>1119970066</v>
      </c>
      <c r="C4" s="2338">
        <v>43849</v>
      </c>
      <c r="D4" s="2341" t="s">
        <v>832</v>
      </c>
      <c r="E4" s="1018">
        <f ca="1">IF(F4&lt;B2,"已过期",96010014)</f>
        <v>96010014</v>
      </c>
      <c r="F4" s="1026">
        <v>47118</v>
      </c>
    </row>
    <row r="5" spans="1:6" ht="24" customHeight="1">
      <c r="A5" s="1696" t="s">
        <v>833</v>
      </c>
      <c r="B5" s="1018">
        <f ca="1">IF(C5&lt;B2,"已过期",1119970074)</f>
        <v>1119970074</v>
      </c>
      <c r="C5" s="2338">
        <v>43849</v>
      </c>
      <c r="D5" s="2341" t="s">
        <v>833</v>
      </c>
      <c r="E5" s="1018">
        <f ca="1">IF(F5&lt;B2,"已过期",2002110027)</f>
        <v>2002110027</v>
      </c>
      <c r="F5" s="1026">
        <v>46752</v>
      </c>
    </row>
    <row r="6" spans="1:6" ht="24" customHeight="1">
      <c r="A6" s="1696" t="s">
        <v>834</v>
      </c>
      <c r="B6" s="1018">
        <f ca="1">IF(C6&lt;B2,"已过期",1119970111)</f>
        <v>1119970111</v>
      </c>
      <c r="C6" s="2338">
        <v>43849</v>
      </c>
      <c r="D6" s="2341" t="s">
        <v>834</v>
      </c>
      <c r="E6" s="1018">
        <f ca="1">IF(F6&lt;B2,"已过期",94010078)</f>
        <v>94010078</v>
      </c>
      <c r="F6" s="1026">
        <v>46387</v>
      </c>
    </row>
    <row r="7" spans="1:6" ht="24" customHeight="1">
      <c r="A7" s="1696" t="s">
        <v>835</v>
      </c>
      <c r="B7" s="1018" t="str">
        <f ca="1">IF(C7&lt;B2,"已过期",1120050019)</f>
        <v>已过期</v>
      </c>
      <c r="C7" s="2338">
        <v>43359</v>
      </c>
      <c r="D7" s="2341" t="s">
        <v>835</v>
      </c>
      <c r="E7" s="1018">
        <f ca="1">IF(F7&lt;B2,"已过期",2002110030)</f>
        <v>2002110030</v>
      </c>
      <c r="F7" s="1026">
        <v>46387</v>
      </c>
    </row>
    <row r="8" spans="1:6" ht="24" customHeight="1">
      <c r="A8" s="1696" t="s">
        <v>836</v>
      </c>
      <c r="B8" s="1018">
        <f ca="1">IF(C8&lt;B2,"已过期",1120000080)</f>
        <v>1120000080</v>
      </c>
      <c r="C8" s="2338">
        <v>43849</v>
      </c>
      <c r="D8" s="2341" t="s">
        <v>836</v>
      </c>
      <c r="E8" s="1018">
        <f ca="1">IF(F8&lt;B2,"已过期",2000110082)</f>
        <v>2000110082</v>
      </c>
      <c r="F8" s="1026">
        <v>46387</v>
      </c>
    </row>
    <row r="9" spans="1:6" ht="24" customHeight="1">
      <c r="A9" s="1696" t="s">
        <v>837</v>
      </c>
      <c r="B9" s="1018">
        <f ca="1">IF(C9&lt;B2,"已过期",1419970001)</f>
        <v>1419970001</v>
      </c>
      <c r="C9" s="2338">
        <v>43867</v>
      </c>
      <c r="D9" s="2341" t="s">
        <v>837</v>
      </c>
      <c r="E9" s="1018">
        <f ca="1">IF(F9&lt;B2,"已过期",2002110125)</f>
        <v>2002110125</v>
      </c>
      <c r="F9" s="1026">
        <v>47118</v>
      </c>
    </row>
    <row r="10" spans="1:6" ht="24" customHeight="1">
      <c r="A10" s="1696" t="s">
        <v>838</v>
      </c>
      <c r="B10" s="1018" t="str">
        <f ca="1">IF(C10&lt;B2,"已过期",1120060040)</f>
        <v>已过期</v>
      </c>
      <c r="C10" s="2338">
        <v>43483</v>
      </c>
      <c r="D10" s="2341" t="s">
        <v>838</v>
      </c>
      <c r="E10" s="1018">
        <f ca="1">IF(F10&lt;B2,"已过期",2004110096)</f>
        <v>2004110096</v>
      </c>
      <c r="F10" s="1026">
        <v>47118</v>
      </c>
    </row>
    <row r="11" spans="1:6" ht="24" customHeight="1">
      <c r="A11" s="1696" t="s">
        <v>839</v>
      </c>
      <c r="B11" s="1018" t="str">
        <f ca="1">IF(C11&lt;B2,"已过期",1120100036)</f>
        <v>已过期</v>
      </c>
      <c r="C11" s="2338">
        <v>43622</v>
      </c>
      <c r="D11" s="2341" t="s">
        <v>839</v>
      </c>
      <c r="E11" s="1018">
        <f ca="1">IF(F11&lt;B2,"已过期",2010110070)</f>
        <v>2010110070</v>
      </c>
      <c r="F11" s="1026">
        <v>47907</v>
      </c>
    </row>
    <row r="12" spans="1:6" ht="24" customHeight="1">
      <c r="A12" s="1696"/>
      <c r="B12" s="1018"/>
      <c r="C12" s="2338"/>
      <c r="D12" s="2341"/>
      <c r="E12" s="1018"/>
      <c r="F12" s="1018"/>
    </row>
    <row r="13" spans="1:6" ht="24" customHeight="1">
      <c r="A13" s="1696" t="s">
        <v>840</v>
      </c>
      <c r="B13" s="1018">
        <f ca="1">IF(C13&lt;B2,"已过期",1120070131)</f>
        <v>1120070131</v>
      </c>
      <c r="C13" s="2338">
        <v>43814</v>
      </c>
      <c r="D13" s="2341" t="s">
        <v>840</v>
      </c>
      <c r="E13" s="1018">
        <v>2014110011</v>
      </c>
      <c r="F13" s="1026">
        <v>49302</v>
      </c>
    </row>
    <row r="14" spans="1:6" ht="24" customHeight="1">
      <c r="A14" s="1696" t="s">
        <v>841</v>
      </c>
      <c r="B14" s="1018" t="str">
        <f ca="1">IF(C14&lt;B2,"已过期",1120130020)</f>
        <v>已过期</v>
      </c>
      <c r="C14" s="2338">
        <v>43622</v>
      </c>
      <c r="D14" s="2341"/>
      <c r="E14" s="1018"/>
      <c r="F14" s="1018"/>
    </row>
    <row r="15" spans="1:6" ht="24" customHeight="1">
      <c r="A15" s="1697" t="s">
        <v>1149</v>
      </c>
      <c r="B15" s="1018">
        <v>1120070085</v>
      </c>
      <c r="C15" s="2338">
        <v>43814</v>
      </c>
      <c r="D15" s="2342" t="s">
        <v>1149</v>
      </c>
      <c r="E15" s="1018">
        <v>2004110128</v>
      </c>
      <c r="F15" s="1019">
        <v>47118</v>
      </c>
    </row>
    <row r="16" spans="1:6" ht="24" customHeight="1">
      <c r="A16" s="1696" t="s">
        <v>842</v>
      </c>
      <c r="B16" s="1018">
        <f ca="1">IF(C16&lt;B2,"已过期",1120140022)</f>
        <v>1120140022</v>
      </c>
      <c r="C16" s="2338">
        <v>44029</v>
      </c>
      <c r="D16" s="2341" t="s">
        <v>842</v>
      </c>
      <c r="E16" s="1018">
        <f ca="1">IF(F16&lt;B2,"已过期",2008110059)</f>
        <v>2008110059</v>
      </c>
      <c r="F16" s="1026">
        <v>47177</v>
      </c>
    </row>
    <row r="17" spans="1:7" ht="24" customHeight="1">
      <c r="A17" s="1696"/>
      <c r="B17" s="1018"/>
      <c r="C17" s="2338"/>
      <c r="D17" s="2341"/>
      <c r="E17" s="1018"/>
      <c r="F17" s="1026"/>
    </row>
    <row r="18" spans="1:7" ht="24" customHeight="1">
      <c r="A18" s="1696"/>
      <c r="B18" s="1018"/>
      <c r="C18" s="2338"/>
      <c r="D18" s="2341"/>
      <c r="E18" s="1018"/>
      <c r="F18" s="1026"/>
    </row>
    <row r="19" spans="1:7" ht="24" customHeight="1">
      <c r="A19" s="1696"/>
      <c r="B19" s="1018"/>
      <c r="C19" s="2338"/>
      <c r="D19" s="2341"/>
      <c r="E19" s="1018"/>
      <c r="F19" s="1018"/>
    </row>
    <row r="20" spans="1:7" ht="24" customHeight="1">
      <c r="A20" s="1696"/>
      <c r="B20" s="1018"/>
      <c r="C20" s="2338"/>
      <c r="D20" s="2341"/>
      <c r="E20" s="1018"/>
      <c r="F20" s="1018"/>
    </row>
    <row r="21" spans="1:7" ht="24" customHeight="1">
      <c r="A21" s="1696"/>
      <c r="B21" s="1018"/>
      <c r="C21" s="2338"/>
      <c r="D21" s="2341" t="s">
        <v>843</v>
      </c>
      <c r="E21" s="1018">
        <f ca="1">IF(F21&lt;B2,"已过期",2011110090)</f>
        <v>2011110090</v>
      </c>
      <c r="F21" s="1026">
        <v>48302</v>
      </c>
    </row>
    <row r="22" spans="1:7" ht="24" customHeight="1">
      <c r="A22" s="1696" t="s">
        <v>844</v>
      </c>
      <c r="B22" s="1018" t="str">
        <f ca="1">IF(C22&lt;B2,"已过期",1120020033)</f>
        <v>已过期</v>
      </c>
      <c r="C22" s="2338">
        <v>43304</v>
      </c>
      <c r="D22" s="2341" t="s">
        <v>844</v>
      </c>
      <c r="E22" s="1018">
        <f ca="1">IF(F22&lt;B2,"已过期",2000110137)</f>
        <v>2000110137</v>
      </c>
      <c r="F22" s="1026">
        <v>46387</v>
      </c>
    </row>
    <row r="23" spans="1:7" ht="24" customHeight="1">
      <c r="A23" s="1696" t="s">
        <v>845</v>
      </c>
      <c r="B23" s="1018">
        <f ca="1">IF(C23&lt;B2,"已过期",1120130048)</f>
        <v>1120130048</v>
      </c>
      <c r="C23" s="2338">
        <v>43686</v>
      </c>
      <c r="D23" s="2341"/>
      <c r="E23" s="1018"/>
      <c r="F23" s="1018"/>
    </row>
    <row r="24" spans="1:7" s="1020" customFormat="1" ht="24" customHeight="1">
      <c r="A24" s="1697" t="s">
        <v>1333</v>
      </c>
      <c r="B24" s="1697" t="s">
        <v>1333</v>
      </c>
      <c r="C24" s="2339" t="s">
        <v>1333</v>
      </c>
      <c r="D24" s="2342" t="s">
        <v>1333</v>
      </c>
      <c r="E24" s="1697" t="s">
        <v>1333</v>
      </c>
      <c r="F24" s="1697" t="s">
        <v>1333</v>
      </c>
    </row>
    <row r="25" spans="1:7" ht="24" customHeight="1">
      <c r="A25" s="3034" t="s">
        <v>846</v>
      </c>
      <c r="B25" s="3034"/>
      <c r="C25" s="3034"/>
      <c r="D25" s="3034"/>
      <c r="E25" s="3034"/>
      <c r="F25" s="3034"/>
      <c r="G25" s="3034"/>
    </row>
    <row r="26" spans="1:7" s="1021" customFormat="1" ht="24" customHeight="1">
      <c r="A26" s="3035" t="s">
        <v>847</v>
      </c>
      <c r="B26" s="3035"/>
      <c r="C26" s="3036"/>
      <c r="D26" s="3037" t="s">
        <v>848</v>
      </c>
      <c r="E26" s="3035"/>
      <c r="F26" s="3035"/>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抵押物清单</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比较法-高层</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2019-07-17T12:22:50Z</dcterms:modified>
</cp:coreProperties>
</file>