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80" yWindow="30" windowWidth="15300" windowHeight="1176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林奥部分租赁台账" sheetId="87" r:id="rId18"/>
    <sheet name="租赁合同" sheetId="82" r:id="rId19"/>
    <sheet name="系统读取表" sheetId="74" r:id="rId20"/>
    <sheet name="结果表" sheetId="9" r:id="rId21"/>
    <sheet name="基准地价修正" sheetId="43" r:id="rId22"/>
    <sheet name="成本法-地下2层" sheetId="68" r:id="rId23"/>
    <sheet name="成本法 (元)" sheetId="69" state="hidden" r:id="rId24"/>
    <sheet name="假设开发法" sheetId="12" state="hidden" r:id="rId25"/>
    <sheet name="收益法-地下2层" sheetId="15" r:id="rId26"/>
    <sheet name="结果表-地下3层" sheetId="85" r:id="rId27"/>
    <sheet name="成本法-地下3层" sheetId="8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收益法-地下3层" sheetId="84" r:id="rId51"/>
    <sheet name="Sheet1" sheetId="80" r:id="rId52"/>
    <sheet name="Sheet5" sheetId="86" r:id="rId53"/>
  </sheets>
  <externalReferences>
    <externalReference r:id="rId54"/>
    <externalReference r:id="rId55"/>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7" hidden="1">林奥部分租赁台账!$A$2:$XDT$2</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 (元)'!$A$1:$G$57</definedName>
    <definedName name="_xlnm.Print_Area" localSheetId="22">'成本法-地下2层'!$A$1:$G$57</definedName>
    <definedName name="_xlnm.Print_Area" localSheetId="27">'成本法-地下3层'!$A$1:$G$57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20">结果表!$A$1:$I$127</definedName>
    <definedName name="_xlnm.Print_Area" localSheetId="26">'结果表-地下3层'!$A$1:$I$127</definedName>
    <definedName name="_xlnm.Print_Area" localSheetId="17">林奥部分租赁台账!$B$1:$AB$255</definedName>
    <definedName name="_xlnm.Print_Area" localSheetId="28">'收益法 (元)'!$A$1:$F$43,'收益法 (元)'!$H$3:$M$29,'收益法 (元)'!$A$45:$F$71,'收益法 (元)'!$I$46:$N$65</definedName>
    <definedName name="_xlnm.Print_Area" localSheetId="30">'收益法（汇总）'!$A$1:$F$13</definedName>
    <definedName name="_xlnm.Print_Area" localSheetId="25">'收益法-地下2层'!$A$1:$F$43,'收益法-地下2层'!$H$3:$M$29,'收益法-地下2层'!$A$46:$F$71,'收益法-地下2层'!$I$46:$N$65</definedName>
    <definedName name="_xlnm.Print_Area" localSheetId="50">'收益法-地下3层'!$A$1:$F$43,'收益法-地下3层'!$H$3:$M$29,'收益法-地下3层'!$A$46:$F$71,'收益法-地下3层'!$I$46:$N$65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9">系统读取表!$A$1:$I$26</definedName>
    <definedName name="_xlnm.Print_Area" localSheetId="11">项目基本情况!$A$1:$I$38</definedName>
    <definedName name="_xlnm.Print_Titles" localSheetId="17">林奥部分租赁台账!$1:$2</definedName>
    <definedName name="八级">区片价!$P$1:$P$44</definedName>
    <definedName name="办公层高" localSheetId="13">'[1]比较法-办公'!$B$119:$M$119</definedName>
    <definedName name="办公层高" localSheetId="18">'[1]比较法-办公'!$B$119:$M$119</definedName>
    <definedName name="办公层高">'比较法-办公'!$B$119:$M$119</definedName>
    <definedName name="办公朝向" localSheetId="13">'[1]比较法-办公'!$B$91:$M$91</definedName>
    <definedName name="办公朝向" localSheetId="18">'[1]比较法-办公'!$B$91:$M$91</definedName>
    <definedName name="办公朝向">'比较法-办公'!$B$91:$M$91</definedName>
    <definedName name="办公道路级别" localSheetId="13">'[1]比较法-办公'!$B$87:$M$87</definedName>
    <definedName name="办公道路级别" localSheetId="18">'[1]比较法-办公'!$B$87:$M$87</definedName>
    <definedName name="办公道路级别">'比较法-办公'!$B$87:$M$87</definedName>
    <definedName name="办公公共部分装修" localSheetId="13">'[1]比较法-办公'!$B$108:$M$108</definedName>
    <definedName name="办公公共部分装修" localSheetId="18">'[1]比较法-办公'!$B$108:$M$108</definedName>
    <definedName name="办公公共部分装修">'比较法-办公'!$B$108:$M$108</definedName>
    <definedName name="办公基础设施水平" localSheetId="13">'[1]比较法-办公'!$B$117:$M$117</definedName>
    <definedName name="办公基础设施水平" localSheetId="18">'[1]比较法-办公'!$B$117:$M$117</definedName>
    <definedName name="办公基础设施水平">'比较法-办公'!$B$117:$M$117</definedName>
    <definedName name="办公集聚程度" localSheetId="13">[1]定义!$M$1:$M$6</definedName>
    <definedName name="办公集聚程度" localSheetId="18">[1]定义!$M$1:$M$6</definedName>
    <definedName name="办公集聚程度">定义!$M$1:$M$6</definedName>
    <definedName name="办公建筑结构" localSheetId="13">'[1]比较法-办公'!$B$106:$M$106</definedName>
    <definedName name="办公建筑结构" localSheetId="18">'[1]比较法-办公'!$B$106:$M$106</definedName>
    <definedName name="办公建筑结构">'比较法-办公'!$B$106:$M$106</definedName>
    <definedName name="办公建筑类型" localSheetId="13">'[1]比较法-办公'!$B$101:$M$101</definedName>
    <definedName name="办公建筑类型" localSheetId="18">'[1]比较法-办公'!$B$101:$M$101</definedName>
    <definedName name="办公建筑类型">'比较法-办公'!$B$101:$M$101</definedName>
    <definedName name="办公交易情况" localSheetId="13">'[1]比较法-办公'!$A$62:$M$62</definedName>
    <definedName name="办公交易情况" localSheetId="18">'[1]比较法-办公'!$A$62:$M$62</definedName>
    <definedName name="办公交易情况">'比较法-办公'!$A$62:$M$62</definedName>
    <definedName name="办公楼层" localSheetId="13">'[1]比较法-办公'!$B$89:$M$89</definedName>
    <definedName name="办公楼层" localSheetId="18">'[1]比较法-办公'!$B$89:$M$89</definedName>
    <definedName name="办公楼层">'比较法-办公'!$B$89:$M$89</definedName>
    <definedName name="办公内部装修" localSheetId="13">'[1]比较法-办公'!$B$123:$M$123</definedName>
    <definedName name="办公内部装修" localSheetId="18">'[1]比较法-办公'!$B$123:$M$123</definedName>
    <definedName name="办公内部装修">'比较法-办公'!$B$123:$M$123</definedName>
    <definedName name="办公物业管理" localSheetId="13">'[1]比较法-办公'!$B$115:$M$115</definedName>
    <definedName name="办公物业管理" localSheetId="18">'[1]比较法-办公'!$B$115:$M$115</definedName>
    <definedName name="办公物业管理">'比较法-办公'!$B$115:$M$115</definedName>
    <definedName name="办公用途" localSheetId="13">'[1]比较法-办公'!$B$64:$M$64</definedName>
    <definedName name="办公用途" localSheetId="18">'[1]比较法-办公'!$B$64:$M$64</definedName>
    <definedName name="办公用途">'比较法-办公'!$B$64:$M$64</definedName>
    <definedName name="仓储公共部分装修" localSheetId="13">'[1]比较法-仓储'!$B$77:$M$77</definedName>
    <definedName name="仓储公共部分装修" localSheetId="18">'[1]比较法-仓储'!$B$77:$M$77</definedName>
    <definedName name="仓储公共部分装修">'比较法-仓储'!$B$77:$M$77</definedName>
    <definedName name="仓储交易情况" localSheetId="13">'[1]比较法-仓储'!$A$49:$M$49</definedName>
    <definedName name="仓储交易情况" localSheetId="18">'[1]比较法-仓储'!$A$49:$M$49</definedName>
    <definedName name="仓储交易情况">'比较法-仓储'!$A$49:$M$49</definedName>
    <definedName name="仓储楼层" localSheetId="13">'[1]比较法-仓储'!$B$69:$M$69</definedName>
    <definedName name="仓储楼层" localSheetId="18">'[1]比较法-仓储'!$B$69:$M$69</definedName>
    <definedName name="仓储楼层">'比较法-仓储'!$B$69:$M$69</definedName>
    <definedName name="仓储物业等级" localSheetId="13">'[1]比较法-仓储'!$B$82:$M$82</definedName>
    <definedName name="仓储物业等级" localSheetId="18">'[1]比较法-仓储'!$B$82:$M$82</definedName>
    <definedName name="仓储物业等级">'比较法-仓储'!$B$82:$M$82</definedName>
    <definedName name="仓储用途" localSheetId="13">'[1]比较法-仓储'!$B$51:$M$51</definedName>
    <definedName name="仓储用途" localSheetId="18">'[1]比较法-仓储'!$B$51:$M$51</definedName>
    <definedName name="仓储用途">'比较法-仓储'!$B$51:$M$51</definedName>
    <definedName name="产业集聚程度" localSheetId="13">[1]定义!$N$1:$N$6</definedName>
    <definedName name="产业集聚程度" localSheetId="18">[1]定义!$N$1:$N$6</definedName>
    <definedName name="产业集聚程度">定义!$N$1:$N$6</definedName>
    <definedName name="车位公共部分装修" localSheetId="13">'[1]比较法-车位'!$B$83:$M$83</definedName>
    <definedName name="车位公共部分装修" localSheetId="18">'[1]比较法-车位'!$B$83:$M$83</definedName>
    <definedName name="车位公共部分装修">'比较法-车位'!$B$83:$M$83</definedName>
    <definedName name="车位交易情况" localSheetId="13">'[1]比较法-车位'!$A$51:$M$51</definedName>
    <definedName name="车位交易情况" localSheetId="18">'[1]比较法-车位'!$A$51:$M$51</definedName>
    <definedName name="车位交易情况">'比较法-车位'!$A$51:$M$51</definedName>
    <definedName name="车位类型" localSheetId="13">'[1]比较法-车位'!$B$93:$M$93</definedName>
    <definedName name="车位类型" localSheetId="18">'[1]比较法-车位'!$B$93:$M$93</definedName>
    <definedName name="车位类型">'比较法-车位'!$B$93:$M$93</definedName>
    <definedName name="车位楼层" localSheetId="13">'[1]比较法-车位'!$B$71:$M$71</definedName>
    <definedName name="车位楼层" localSheetId="18">'[1]比较法-车位'!$B$71:$M$71</definedName>
    <definedName name="车位楼层">'比较法-车位'!$B$71:$M$71</definedName>
    <definedName name="车位配套类型" localSheetId="13">'[1]比较法-车位'!$B$79:$M$79</definedName>
    <definedName name="车位配套类型" localSheetId="18">'[1]比较法-车位'!$B$79:$M$79</definedName>
    <definedName name="车位配套类型">'比较法-车位'!$B$79:$M$79</definedName>
    <definedName name="车位物业等级" localSheetId="13">'[1]比较法-车位'!$B$88:$M$88</definedName>
    <definedName name="车位物业等级" localSheetId="18">'[1]比较法-车位'!$B$88:$M$88</definedName>
    <definedName name="车位物业等级">'比较法-车位'!$B$88:$M$88</definedName>
    <definedName name="车位用途" localSheetId="13">'[1]比较法-车位'!$B$53:$M$53</definedName>
    <definedName name="车位用途" localSheetId="18">'[1]比较法-车位'!$B$53:$M$53</definedName>
    <definedName name="车位用途">'比较法-车位'!$B$53:$M$53</definedName>
    <definedName name="城镇土地纳税等级分级范围" localSheetId="13">'[1]数据-取费表'!$A$53:$A$63</definedName>
    <definedName name="城镇土地纳税等级分级范围" localSheetId="18">'[1]数据-取费表'!$A$53:$A$63</definedName>
    <definedName name="城镇土地纳税等级分级范围">'数据-取费表'!$A$53:$A$63</definedName>
    <definedName name="单价内涵" localSheetId="13">[1]定义!$V$1:$V$3</definedName>
    <definedName name="单价内涵" localSheetId="18">[1]定义!$V$1:$V$3</definedName>
    <definedName name="单价内涵">定义!$V$1:$V$3</definedName>
    <definedName name="地类判定" localSheetId="13">[1]定义!$H$1:$H$9</definedName>
    <definedName name="地类判定" localSheetId="18">[1]定义!$H$1:$H$9</definedName>
    <definedName name="地类判定">定义!$H$1:$H$9</definedName>
    <definedName name="二级">区片价!$J$1:$J$21</definedName>
    <definedName name="二级分类" localSheetId="13">[1]修正!$C$19:$C$51</definedName>
    <definedName name="二级分类" localSheetId="18">[1]修正!$C$19:$C$51</definedName>
    <definedName name="二级分类">修正!$C$19:$C$51</definedName>
    <definedName name="法定最高年限" localSheetId="13">[1]定义!$G$1:$G$6</definedName>
    <definedName name="法定最高年限" localSheetId="18">[1]定义!$G$1:$G$6</definedName>
    <definedName name="法定最高年限">定义!$G$1:$G$6</definedName>
    <definedName name="工业公共部分装修" localSheetId="13">'[1]比较法-工业'!$B$95:$M$95</definedName>
    <definedName name="工业公共部分装修" localSheetId="18">'[1]比较法-工业'!$B$95:$M$95</definedName>
    <definedName name="工业公共部分装修">'比较法-工业'!$B$95:$M$95</definedName>
    <definedName name="工业基础设施水平" localSheetId="13">'[1]比较法-工业'!$B$102:$M$102</definedName>
    <definedName name="工业基础设施水平" localSheetId="18">'[1]比较法-工业'!$B$102:$M$102</definedName>
    <definedName name="工业基础设施水平">'比较法-工业'!$B$102:$M$102</definedName>
    <definedName name="工业建筑结构" localSheetId="13">'[1]比较法-工业'!$B$93:$M$93</definedName>
    <definedName name="工业建筑结构" localSheetId="18">'[1]比较法-工业'!$B$93:$M$93</definedName>
    <definedName name="工业建筑结构">'比较法-工业'!$B$93:$M$93</definedName>
    <definedName name="工业建筑类型" localSheetId="13">'[1]比较法-工业'!$B$88:$M$88</definedName>
    <definedName name="工业建筑类型" localSheetId="18">'[1]比较法-工业'!$B$88:$M$88</definedName>
    <definedName name="工业建筑类型">'比较法-工业'!$B$88:$M$88</definedName>
    <definedName name="工业交易情况" localSheetId="13">'[1]比较法-工业'!$A$55:$M$55</definedName>
    <definedName name="工业交易情况" localSheetId="18">'[1]比较法-工业'!$A$55:$M$55</definedName>
    <definedName name="工业交易情况">'比较法-工业'!$A$55:$M$55</definedName>
    <definedName name="工业内部装修" localSheetId="13">'[1]比较法-工业'!$B$104:$M$104</definedName>
    <definedName name="工业内部装修" localSheetId="18">'[1]比较法-工业'!$B$104:$M$104</definedName>
    <definedName name="工业内部装修">'比较法-工业'!$B$104:$M$104</definedName>
    <definedName name="工业物业管理" localSheetId="13">'[1]比较法-工业'!$B$100:$M$100</definedName>
    <definedName name="工业物业管理" localSheetId="18">'[1]比较法-工业'!$B$100:$M$100</definedName>
    <definedName name="工业物业管理">'比较法-工业'!$B$100:$M$100</definedName>
    <definedName name="工业用途" localSheetId="13">'[1]比较法-工业'!$B$57:$M$57</definedName>
    <definedName name="工业用途" localSheetId="18">'[1]比较法-工业'!$B$57:$M$57</definedName>
    <definedName name="工业用途">'比较法-工业'!$B$57:$M$57</definedName>
    <definedName name="公共配套设施" localSheetId="13">[1]定义!$Q$1:$Q$6</definedName>
    <definedName name="公共配套设施" localSheetId="18">[1]定义!$Q$1:$Q$6</definedName>
    <definedName name="公共配套设施">定义!$Q$1:$Q$6</definedName>
    <definedName name="估价范围判定" localSheetId="13">[1]定义!$D$1:$D$4</definedName>
    <definedName name="估价范围判定" localSheetId="18">[1]定义!$D$1:$D$4</definedName>
    <definedName name="估价范围判定">定义!$D$1:$D$4</definedName>
    <definedName name="估价方法" localSheetId="13">[1]定义!$B$1:$B$50</definedName>
    <definedName name="估价方法" localSheetId="18">[1]定义!$B$1:$B$50</definedName>
    <definedName name="估价方法">定义!$B$1:$B$50</definedName>
    <definedName name="环境" localSheetId="13">[1]定义!$S$1:$S$6</definedName>
    <definedName name="环境" localSheetId="18">[1]定义!$S$1:$S$6</definedName>
    <definedName name="环境">定义!$S$1:$S$6</definedName>
    <definedName name="基础设施水平" localSheetId="13">[1]定义!$R$1:$R$6</definedName>
    <definedName name="基础设施水平" localSheetId="18">[1]定义!$R$1:$R$6</definedName>
    <definedName name="基础设施水平">定义!$R$1:$R$6</definedName>
    <definedName name="季度">基准地价修正!$Q$19:$AD$19</definedName>
    <definedName name="价值类型2" localSheetId="13">[1]定义!$B$54:$B$56</definedName>
    <definedName name="价值类型2" localSheetId="18">[1]定义!$B$54:$B$56</definedName>
    <definedName name="价值类型2">定义!$B$54:$B$56</definedName>
    <definedName name="交通便捷度" localSheetId="13">[1]定义!$O$1:$O$6</definedName>
    <definedName name="交通便捷度" localSheetId="18">[1]定义!$O$1:$O$6</definedName>
    <definedName name="交通便捷度">定义!$O$1:$O$6</definedName>
    <definedName name="九级">区片价!$Q$1:$Q$51</definedName>
    <definedName name="居住社区成熟度" localSheetId="13">[1]定义!$K$1:$K$6</definedName>
    <definedName name="居住社区成熟度" localSheetId="18">[1]定义!$K$1:$K$6</definedName>
    <definedName name="居住社区成熟度">定义!$K$1:$K$6</definedName>
    <definedName name="类别" localSheetId="13">[1]定义!$J$1:$J$3</definedName>
    <definedName name="类别" localSheetId="18">[1]定义!$J$1:$J$3</definedName>
    <definedName name="类别">定义!$J$1:$J$3</definedName>
    <definedName name="临街状况" localSheetId="13">[1]定义!$T$1:$T$5</definedName>
    <definedName name="临街状况" localSheetId="18">[1]定义!$T$1:$T$5</definedName>
    <definedName name="临街状况">定义!$T$1:$T$5</definedName>
    <definedName name="六级">区片价!$N$1:$N$64</definedName>
    <definedName name="内部装修维护情况" localSheetId="13">[1]定义!$U$1:$U$6</definedName>
    <definedName name="内部装修维护情况" localSheetId="18">[1]定义!$U$1:$U$6</definedName>
    <definedName name="内部装修维护情况">定义!$U$1:$U$6</definedName>
    <definedName name="七级">区片价!$O$1:$O$45</definedName>
    <definedName name="七通一平" localSheetId="13">[1]修正!$A$8:$A$16</definedName>
    <definedName name="七通一平" localSheetId="18">[1]修正!$A$8:$A$16</definedName>
    <definedName name="七通一平">修正!$A$8:$A$16</definedName>
    <definedName name="区域土地利用方向" localSheetId="13">[1]定义!$P$1:$P$6</definedName>
    <definedName name="区域土地利用方向" localSheetId="18">[1]定义!$P$1:$P$6</definedName>
    <definedName name="区域土地利用方向">定义!$P$1:$P$6</definedName>
    <definedName name="三级">区片价!$K$1:$K$26</definedName>
    <definedName name="商业层高" localSheetId="13">'[1]比较法-商业'!$B$116:$M$116</definedName>
    <definedName name="商业层高" localSheetId="18">'[1]比较法-商业'!$B$116:$M$116</definedName>
    <definedName name="商业层高">'比较法-商业'!$B$116:$M$116</definedName>
    <definedName name="商业成新度">'比较法-商业'!$B$109:$M$109</definedName>
    <definedName name="商业繁华度" localSheetId="13">[1]定义!$L$1:$L$6</definedName>
    <definedName name="商业繁华度" localSheetId="18">[1]定义!$L$1:$L$6</definedName>
    <definedName name="商业繁华度">定义!$L$1:$L$6</definedName>
    <definedName name="商业公共部分装修" localSheetId="13">'[1]比较法-商业'!$B$107:$M$107</definedName>
    <definedName name="商业公共部分装修" localSheetId="18">'[1]比较法-商业'!$B$107:$M$107</definedName>
    <definedName name="商业公共部分装修">'比较法-商业'!$B$107:$M$107</definedName>
    <definedName name="商业基础设施水平" localSheetId="13">'[1]比较法-商业'!$B$112:$M$112</definedName>
    <definedName name="商业基础设施水平" localSheetId="18">'[1]比较法-商业'!$B$112:$M$112</definedName>
    <definedName name="商业基础设施水平">'比较法-商业'!$B$112:$M$112</definedName>
    <definedName name="商业建筑结构" localSheetId="13">'[1]比较法-商业'!$B$105:$M$105</definedName>
    <definedName name="商业建筑结构" localSheetId="18">'[1]比较法-商业'!$B$105:$M$105</definedName>
    <definedName name="商业建筑结构">'比较法-商业'!$B$105:$M$105</definedName>
    <definedName name="商业交易情况" localSheetId="13">'[1]比较法-商业'!$A$61:$M$61</definedName>
    <definedName name="商业交易情况" localSheetId="18">'[1]比较法-商业'!$A$61:$M$61</definedName>
    <definedName name="商业交易情况">'比较法-商业'!$A$61:$M$61</definedName>
    <definedName name="商业街名称" localSheetId="13">[1]修正!$C$71:$C$138</definedName>
    <definedName name="商业街名称" localSheetId="18">[1]修正!$C$71:$C$138</definedName>
    <definedName name="商业街名称">修正!$C$71:$C$138</definedName>
    <definedName name="商业进深比" localSheetId="13">'[1]比较法-商业'!$B$120:$M$120</definedName>
    <definedName name="商业进深比" localSheetId="18">'[1]比较法-商业'!$B$120:$M$120</definedName>
    <definedName name="商业进深比">'比较法-商业'!$B$120:$M$120</definedName>
    <definedName name="商业类型" localSheetId="13">'[1]比较法-商业'!$B$100:$M$100</definedName>
    <definedName name="商业类型" localSheetId="18">'[1]比较法-商业'!$B$100:$M$100</definedName>
    <definedName name="商业类型">'比较法-商业'!$B$100:$M$100</definedName>
    <definedName name="商业临街状况" localSheetId="13">'[1]比较法-商业'!$B$86:$M$86</definedName>
    <definedName name="商业临街状况" localSheetId="18">'[1]比较法-商业'!$B$86:$M$86</definedName>
    <definedName name="商业临街状况">'比较法-商业'!$B$86:$M$86</definedName>
    <definedName name="商业楼层" localSheetId="13">'[1]比较法-商业'!$B$92:$M$92</definedName>
    <definedName name="商业楼层" localSheetId="18">'[1]比较法-商业'!$B$92:$M$92</definedName>
    <definedName name="商业楼层">'比较法-商业'!$B$92:$M$92</definedName>
    <definedName name="商业内部装修" localSheetId="13">'[1]比较法-商业'!$B$122:$M$122</definedName>
    <definedName name="商业内部装修" localSheetId="18">'[1]比较法-商业'!$B$122:$M$122</definedName>
    <definedName name="商业内部装修">'比较法-商业'!$B$122:$M$122</definedName>
    <definedName name="商业人流量" localSheetId="13">'[1]比较法-商业'!$B$90:$M$90</definedName>
    <definedName name="商业人流量" localSheetId="18">'[1]比较法-商业'!$B$90:$M$90</definedName>
    <definedName name="商业人流量">'比较法-商业'!$B$90:$M$90</definedName>
    <definedName name="商业业态" localSheetId="13">'[1]比较法-商业'!$B$114:$M$114</definedName>
    <definedName name="商业业态" localSheetId="18">'[1]比较法-商业'!$B$114:$M$114</definedName>
    <definedName name="商业业态">'比较法-商业'!$B$114:$M$114</definedName>
    <definedName name="商业用途" localSheetId="13">'[1]比较法-商业'!$B$63:$M$63</definedName>
    <definedName name="商业用途" localSheetId="1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8">'[1]比较法-仓储'!$B$89:$M$89</definedName>
    <definedName name="是否封闭">'比较法-仓储'!$B$89:$M$89</definedName>
    <definedName name="是否直接入户" localSheetId="13">'[1]比较法-车位'!$B$95:$M$95</definedName>
    <definedName name="是否直接入户" localSheetId="18">'[1]比较法-车位'!$B$95:$M$95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8">'[1]土地比较法-工业'!$B$97:$M$97</definedName>
    <definedName name="套工道路等级">'土地比较法-工业'!$B$97:$M$97</definedName>
    <definedName name="套工地质条件" localSheetId="13">'[1]土地比较法-工业'!$B$114:$M$114</definedName>
    <definedName name="套工地质条件" localSheetId="18">'[1]土地比较法-工业'!$B$114:$M$114</definedName>
    <definedName name="套工地质条件">'土地比较法-工业'!$B$114:$M$114</definedName>
    <definedName name="套工交易情况" localSheetId="13">'[1]土地比较法-住宅、综合'!$A$72:$M$72</definedName>
    <definedName name="套工交易情况" localSheetId="18">'[1]土地比较法-住宅、综合'!$A$72:$M$72</definedName>
    <definedName name="套工交易情况">'土地比较法-住宅、综合'!$A$72:$M$72</definedName>
    <definedName name="套工土地级别" localSheetId="13">'[1]土地比较法-工业'!$B$99:$M$99</definedName>
    <definedName name="套工土地级别" localSheetId="18">'[1]土地比较法-工业'!$B$99:$M$99</definedName>
    <definedName name="套工土地级别">'土地比较法-工业'!$B$99:$M$99</definedName>
    <definedName name="套工用途" localSheetId="13">'[1]土地比较法-工业'!$B$70:$M$70</definedName>
    <definedName name="套工用途" localSheetId="18">'[1]土地比较法-工业'!$B$70:$M$70</definedName>
    <definedName name="套工用途">'土地比较法-工业'!$B$70:$M$70</definedName>
    <definedName name="套工宗地开发程度" localSheetId="13">'[1]土地比较法-工业'!$B$112:$M$112</definedName>
    <definedName name="套工宗地开发程度" localSheetId="18">'[1]土地比较法-工业'!$B$112:$M$112</definedName>
    <definedName name="套工宗地开发程度">'土地比较法-工业'!$B$112:$M$112</definedName>
    <definedName name="套工宗地形状" localSheetId="13">'[1]土地比较法-工业'!$B$110:$M$110</definedName>
    <definedName name="套工宗地形状" localSheetId="18">'[1]土地比较法-工业'!$B$110:$M$110</definedName>
    <definedName name="套工宗地形状">'土地比较法-工业'!$B$110:$M$110</definedName>
    <definedName name="套综道路等级" localSheetId="13">'[1]土地比较法-住宅、综合'!$B$105:$M$105</definedName>
    <definedName name="套综道路等级" localSheetId="18">'[1]土地比较法-住宅、综合'!$B$105:$M$105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8">'[1]土地比较法-住宅、综合'!$B$124:$M$124</definedName>
    <definedName name="套综工程地质条件">'土地比较法-住宅、综合'!$B$124:$M$124</definedName>
    <definedName name="套综交易情况" localSheetId="13">'[1]土地比较法-住宅、综合'!$A$72:$M$72</definedName>
    <definedName name="套综交易情况" localSheetId="18">'[1]土地比较法-住宅、综合'!$A$72:$M$72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8">'[1]土地比较法-住宅、综合'!$B$120:$M$120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8">'[1]土地比较法-住宅、综合'!$B$107:$M$107</definedName>
    <definedName name="套综土地级别">'土地比较法-住宅、综合'!$B$107:$M$107</definedName>
    <definedName name="套综用途" localSheetId="13">'[1]土地比较法-住宅、综合'!$B$74:$M$74</definedName>
    <definedName name="套综用途" localSheetId="18">'[1]土地比较法-住宅、综合'!$B$74:$M$74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8">'[1]土地比较法-住宅、综合'!$B$122:$M$122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8">'[1]土地比较法-住宅、综合'!$B$118:$M$118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8">[1]定义!$C$1:$C$14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8">[1]定义!$E$2:$E$4</definedName>
    <definedName name="位置">定义!$E$2:$E$4</definedName>
    <definedName name="五等判定" localSheetId="13">[1]定义!$W$1:$W$6</definedName>
    <definedName name="五等判定" localSheetId="18">[1]定义!$W$1:$W$6</definedName>
    <definedName name="五等判定">定义!$W$1:$W$6</definedName>
    <definedName name="五级">区片价!$M$1:$M$41</definedName>
    <definedName name="项目类型" localSheetId="13">'[1]数据-汇总表'!$C$17:$C$26</definedName>
    <definedName name="项目类型" localSheetId="29">'[2]数据-汇总表'!$C$17:$C$26</definedName>
    <definedName name="项目类型" localSheetId="18">'[1]数据-汇总表'!$C$17:$C$26</definedName>
    <definedName name="项目类型">'数据-汇总表'!$C$17:$C$26</definedName>
    <definedName name="写字楼等级" localSheetId="13">'[1]比较法-办公'!$B$113:$M$113</definedName>
    <definedName name="写字楼等级" localSheetId="18">'[1]比较法-办公'!$B$113:$M$113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8">[1]典型户型修正!$5:$5</definedName>
    <definedName name="一修多修正项2">典型户型修正!$5:$5</definedName>
    <definedName name="一修多修正项3" localSheetId="13">[1]典型户型修正!$7:$7</definedName>
    <definedName name="一修多修正项3" localSheetId="18">[1]典型户型修正!$7:$7</definedName>
    <definedName name="一修多修正项3">典型户型修正!$7:$7</definedName>
    <definedName name="一修多修正项4" localSheetId="13">[1]典型户型修正!$9:$9</definedName>
    <definedName name="一修多修正项4" localSheetId="18">[1]典型户型修正!$9:$9</definedName>
    <definedName name="一修多修正项4">典型户型修正!$9:$9</definedName>
    <definedName name="一修多修正项5" localSheetId="13">[1]典型户型修正!$11:$11</definedName>
    <definedName name="一修多修正项5" localSheetId="18">[1]典型户型修正!$11:$11</definedName>
    <definedName name="一修多修正项5">典型户型修正!$11:$11</definedName>
    <definedName name="一修多修正项6" localSheetId="13">[1]典型户型修正!$13:$13</definedName>
    <definedName name="一修多修正项6" localSheetId="18">[1]典型户型修正!$13:$13</definedName>
    <definedName name="一修多修正项6">典型户型修正!$13:$13</definedName>
    <definedName name="一修多修正项7" localSheetId="13">[1]典型户型修正!$15:$15</definedName>
    <definedName name="一修多修正项7" localSheetId="18">[1]典型户型修正!$15:$15</definedName>
    <definedName name="一修多修正项7">典型户型修正!$15:$15</definedName>
    <definedName name="一修多修正项8" localSheetId="13">[1]典型户型修正!$17:$17</definedName>
    <definedName name="一修多修正项8" localSheetId="18">[1]典型户型修正!$17:$17</definedName>
    <definedName name="一修多修正项8">典型户型修正!$17:$17</definedName>
    <definedName name="用途明细" localSheetId="13">[1]定义!$A$1:$A$50</definedName>
    <definedName name="用途明细" localSheetId="18">[1]定义!$A$1:$A$50</definedName>
    <definedName name="用途明细">定义!$A$1:$A$50</definedName>
    <definedName name="有无电梯" localSheetId="13">'[1]比较法-仓储'!$B$84:$M$84</definedName>
    <definedName name="有无电梯" localSheetId="18">'[1]比较法-仓储'!$B$84:$M$84</definedName>
    <definedName name="有无电梯">'比较法-仓储'!$B$84:$M$84</definedName>
    <definedName name="主用途" localSheetId="13">[1]定义!$F$1:$F$12</definedName>
    <definedName name="主用途" localSheetId="18">[1]定义!$F$1:$F$12</definedName>
    <definedName name="主用途">定义!$F$1:$F$12</definedName>
    <definedName name="住宅朝向" localSheetId="13">'[1]比较法-住宅'!$B$88:$M$88</definedName>
    <definedName name="住宅朝向" localSheetId="18">'[1]比较法-住宅'!$B$88:$M$88</definedName>
    <definedName name="住宅朝向">'比较法-住宅'!$B$88:$M$88</definedName>
    <definedName name="住宅房型" localSheetId="13">'[1]比较法-住宅'!$B$118:$M$118</definedName>
    <definedName name="住宅房型" localSheetId="18">'[1]比较法-住宅'!$B$118:$M$118</definedName>
    <definedName name="住宅房型">'比较法-住宅'!$B$118:$M$118</definedName>
    <definedName name="住宅公共部分装修" localSheetId="13">'[1]比较法-住宅'!$B$109:$M$109</definedName>
    <definedName name="住宅公共部分装修" localSheetId="18">'[1]比较法-住宅'!$B$109:$M$109</definedName>
    <definedName name="住宅公共部分装修">'比较法-住宅'!$B$109:$M$109</definedName>
    <definedName name="住宅基础设施水平" localSheetId="13">'[1]比较法-住宅'!$B$116:$M$116</definedName>
    <definedName name="住宅基础设施水平" localSheetId="18">'[1]比较法-住宅'!$B$116:$M$116</definedName>
    <definedName name="住宅基础设施水平">'比较法-住宅'!$B$116:$M$116</definedName>
    <definedName name="住宅建筑结构" localSheetId="13">'[1]比较法-住宅'!$B$105:$M$105</definedName>
    <definedName name="住宅建筑结构" localSheetId="18">'[1]比较法-住宅'!$B$105:$M$105</definedName>
    <definedName name="住宅建筑结构">'比较法-住宅'!$B$105:$M$105</definedName>
    <definedName name="住宅建筑类型" localSheetId="13">'[1]比较法-住宅'!$B$100:$M$100</definedName>
    <definedName name="住宅建筑类型" localSheetId="18">'[1]比较法-住宅'!$B$100:$M$100</definedName>
    <definedName name="住宅建筑类型">'比较法-住宅'!$B$100:$M$100</definedName>
    <definedName name="住宅建筑品质" localSheetId="13">'[1]比较法-住宅'!$B$107:$M$107</definedName>
    <definedName name="住宅建筑品质" localSheetId="18">'[1]比较法-住宅'!$B$107:$M$107</definedName>
    <definedName name="住宅建筑品质">'比较法-住宅'!$B$107:$M$107</definedName>
    <definedName name="住宅交易情况" localSheetId="13">'[1]比较法-住宅'!$A$61:$M$61</definedName>
    <definedName name="住宅交易情况" localSheetId="18">'[1]比较法-住宅'!$A$61:$M$61</definedName>
    <definedName name="住宅交易情况">'比较法-住宅'!$A$61:$M$61</definedName>
    <definedName name="住宅楼层" localSheetId="13">'[1]比较法-住宅'!$B$86:$M$86</definedName>
    <definedName name="住宅楼层" localSheetId="18">'[1]比较法-住宅'!$B$86:$M$86</definedName>
    <definedName name="住宅楼层">'比较法-住宅'!$B$86:$M$86</definedName>
    <definedName name="住宅内部装修" localSheetId="13">'[1]比较法-住宅'!$B$122:$M$122</definedName>
    <definedName name="住宅内部装修" localSheetId="18">'[1]比较法-住宅'!$B$122:$M$122</definedName>
    <definedName name="住宅内部装修">'比较法-住宅'!$B$122:$M$122</definedName>
    <definedName name="住宅物业管理" localSheetId="13">'[1]比较法-住宅'!$B$114:$M$114</definedName>
    <definedName name="住宅物业管理" localSheetId="18">'[1]比较法-住宅'!$B$114:$M$114</definedName>
    <definedName name="住宅物业管理">'比较法-住宅'!$B$114:$M$114</definedName>
    <definedName name="住宅用途" localSheetId="13">'[1]比较法-住宅'!$B$63:$M$63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8">[1]估价师及机构信息!$A$3:$A$16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6" i="74" l="1"/>
  <c r="D16" i="74" l="1"/>
  <c r="G16" i="74" l="1"/>
  <c r="J16" i="74" l="1"/>
  <c r="J11" i="74" l="1"/>
  <c r="J12" i="74" l="1"/>
  <c r="AG238" i="87" l="1"/>
  <c r="U254" i="87"/>
  <c r="R254" i="87"/>
  <c r="N254" i="87"/>
  <c r="M254" i="87"/>
  <c r="L254" i="87"/>
  <c r="W253" i="87"/>
  <c r="W252" i="87"/>
  <c r="W251" i="87"/>
  <c r="W250" i="87"/>
  <c r="W249" i="87"/>
  <c r="S249" i="87"/>
  <c r="W248" i="87"/>
  <c r="S248" i="87"/>
  <c r="O248" i="87"/>
  <c r="V247" i="87"/>
  <c r="T247" i="87"/>
  <c r="W247" i="87" s="1"/>
  <c r="S247" i="87"/>
  <c r="P247" i="87"/>
  <c r="O247" i="87"/>
  <c r="V246" i="87"/>
  <c r="W246" i="87" s="1"/>
  <c r="T246" i="87"/>
  <c r="S246" i="87"/>
  <c r="P246" i="87"/>
  <c r="P254" i="87" s="1"/>
  <c r="O246" i="87"/>
  <c r="V245" i="87"/>
  <c r="U245" i="87"/>
  <c r="T245" i="87"/>
  <c r="W245" i="87" s="1"/>
  <c r="Q245" i="87"/>
  <c r="S245" i="87" s="1"/>
  <c r="O245" i="87"/>
  <c r="U244" i="87"/>
  <c r="T244" i="87"/>
  <c r="T254" i="87" s="1"/>
  <c r="S244" i="87"/>
  <c r="O244" i="87"/>
  <c r="V243" i="87"/>
  <c r="U243" i="87"/>
  <c r="W243" i="87" s="1"/>
  <c r="S243" i="87"/>
  <c r="P243" i="87"/>
  <c r="O243" i="87"/>
  <c r="V242" i="87"/>
  <c r="W242" i="87" s="1"/>
  <c r="U242" i="87"/>
  <c r="S242" i="87"/>
  <c r="S254" i="87" s="1"/>
  <c r="Q242" i="87"/>
  <c r="O242" i="87"/>
  <c r="O254" i="87" s="1"/>
  <c r="Y241" i="87"/>
  <c r="X241" i="87"/>
  <c r="Y240" i="87"/>
  <c r="X240" i="87"/>
  <c r="V238" i="87"/>
  <c r="U238" i="87"/>
  <c r="T238" i="87"/>
  <c r="W238" i="87" s="1"/>
  <c r="S238" i="87"/>
  <c r="O238" i="87"/>
  <c r="N237" i="87"/>
  <c r="M237" i="87"/>
  <c r="L237" i="87"/>
  <c r="J237" i="87"/>
  <c r="I237" i="87"/>
  <c r="H237" i="87"/>
  <c r="V236" i="87"/>
  <c r="U236" i="87"/>
  <c r="W236" i="87" s="1"/>
  <c r="W235" i="87"/>
  <c r="V235" i="87"/>
  <c r="U235" i="87"/>
  <c r="V234" i="87"/>
  <c r="U234" i="87"/>
  <c r="W234" i="87" s="1"/>
  <c r="V233" i="87"/>
  <c r="U233" i="87"/>
  <c r="W233" i="87" s="1"/>
  <c r="V232" i="87"/>
  <c r="U232" i="87"/>
  <c r="W232" i="87" s="1"/>
  <c r="W231" i="87"/>
  <c r="V231" i="87"/>
  <c r="U231" i="87"/>
  <c r="W230" i="87"/>
  <c r="S230" i="87"/>
  <c r="O230" i="87"/>
  <c r="W229" i="87"/>
  <c r="S229" i="87"/>
  <c r="O229" i="87"/>
  <c r="W228" i="87"/>
  <c r="S228" i="87"/>
  <c r="O228" i="87"/>
  <c r="W227" i="87"/>
  <c r="S227" i="87"/>
  <c r="O227" i="87"/>
  <c r="W226" i="87"/>
  <c r="S226" i="87"/>
  <c r="O226" i="87"/>
  <c r="W225" i="87"/>
  <c r="S225" i="87"/>
  <c r="O225" i="87"/>
  <c r="W224" i="87"/>
  <c r="S224" i="87"/>
  <c r="O224" i="87"/>
  <c r="W223" i="87"/>
  <c r="S223" i="87"/>
  <c r="O223" i="87"/>
  <c r="W222" i="87"/>
  <c r="S222" i="87"/>
  <c r="O222" i="87"/>
  <c r="W221" i="87"/>
  <c r="S221" i="87"/>
  <c r="O221" i="87"/>
  <c r="V220" i="87"/>
  <c r="U220" i="87"/>
  <c r="W220" i="87" s="1"/>
  <c r="S220" i="87"/>
  <c r="Q220" i="87"/>
  <c r="P220" i="87"/>
  <c r="O220" i="87"/>
  <c r="R219" i="87"/>
  <c r="O219" i="87"/>
  <c r="G219" i="87"/>
  <c r="U219" i="87" s="1"/>
  <c r="W218" i="87"/>
  <c r="V218" i="87"/>
  <c r="U218" i="87"/>
  <c r="Q218" i="87"/>
  <c r="P218" i="87"/>
  <c r="S218" i="87" s="1"/>
  <c r="O218" i="87"/>
  <c r="V217" i="87"/>
  <c r="U217" i="87"/>
  <c r="W217" i="87" s="1"/>
  <c r="Q217" i="87"/>
  <c r="P217" i="87"/>
  <c r="S217" i="87" s="1"/>
  <c r="O217" i="87"/>
  <c r="W216" i="87"/>
  <c r="V216" i="87"/>
  <c r="S216" i="87"/>
  <c r="O216" i="87"/>
  <c r="V215" i="87"/>
  <c r="U215" i="87"/>
  <c r="W215" i="87" s="1"/>
  <c r="Q215" i="87"/>
  <c r="P215" i="87"/>
  <c r="S215" i="87" s="1"/>
  <c r="O215" i="87"/>
  <c r="V214" i="87"/>
  <c r="U214" i="87"/>
  <c r="W214" i="87" s="1"/>
  <c r="S214" i="87"/>
  <c r="Q214" i="87"/>
  <c r="P214" i="87"/>
  <c r="O214" i="87"/>
  <c r="W213" i="87"/>
  <c r="V213" i="87"/>
  <c r="U213" i="87"/>
  <c r="Q213" i="87"/>
  <c r="P213" i="87"/>
  <c r="S213" i="87" s="1"/>
  <c r="O213" i="87"/>
  <c r="V212" i="87"/>
  <c r="U212" i="87"/>
  <c r="W212" i="87" s="1"/>
  <c r="R212" i="87"/>
  <c r="Q212" i="87"/>
  <c r="S212" i="87" s="1"/>
  <c r="P212" i="87"/>
  <c r="O212" i="87"/>
  <c r="U211" i="87"/>
  <c r="W211" i="87" s="1"/>
  <c r="T211" i="87"/>
  <c r="R211" i="87"/>
  <c r="Q211" i="87"/>
  <c r="S211" i="87" s="1"/>
  <c r="O211" i="87"/>
  <c r="V210" i="87"/>
  <c r="W210" i="87" s="1"/>
  <c r="S210" i="87"/>
  <c r="Q210" i="87"/>
  <c r="P210" i="87"/>
  <c r="O210" i="87"/>
  <c r="W209" i="87"/>
  <c r="V209" i="87"/>
  <c r="U209" i="87"/>
  <c r="T209" i="87"/>
  <c r="S209" i="87"/>
  <c r="O209" i="87"/>
  <c r="V208" i="87"/>
  <c r="W208" i="87" s="1"/>
  <c r="S208" i="87"/>
  <c r="Q208" i="87"/>
  <c r="P208" i="87"/>
  <c r="O208" i="87"/>
  <c r="W207" i="87"/>
  <c r="V207" i="87"/>
  <c r="U207" i="87"/>
  <c r="Q207" i="87"/>
  <c r="S207" i="87" s="1"/>
  <c r="O207" i="87"/>
  <c r="V206" i="87"/>
  <c r="U206" i="87"/>
  <c r="W206" i="87" s="1"/>
  <c r="Q206" i="87"/>
  <c r="P206" i="87"/>
  <c r="S206" i="87" s="1"/>
  <c r="O206" i="87"/>
  <c r="V205" i="87"/>
  <c r="U205" i="87"/>
  <c r="W205" i="87" s="1"/>
  <c r="S205" i="87"/>
  <c r="Q205" i="87"/>
  <c r="P205" i="87"/>
  <c r="O205" i="87"/>
  <c r="W204" i="87"/>
  <c r="V204" i="87"/>
  <c r="U204" i="87"/>
  <c r="Q204" i="87"/>
  <c r="S204" i="87" s="1"/>
  <c r="P204" i="87"/>
  <c r="O204" i="87"/>
  <c r="V203" i="87"/>
  <c r="W203" i="87" s="1"/>
  <c r="U203" i="87"/>
  <c r="Q203" i="87"/>
  <c r="P203" i="87"/>
  <c r="S203" i="87" s="1"/>
  <c r="O203" i="87"/>
  <c r="V202" i="87"/>
  <c r="U202" i="87"/>
  <c r="W202" i="87" s="1"/>
  <c r="Q202" i="87"/>
  <c r="P202" i="87"/>
  <c r="S202" i="87" s="1"/>
  <c r="O202" i="87"/>
  <c r="V201" i="87"/>
  <c r="U201" i="87"/>
  <c r="W201" i="87" s="1"/>
  <c r="S201" i="87"/>
  <c r="Q201" i="87"/>
  <c r="P201" i="87"/>
  <c r="O201" i="87"/>
  <c r="W200" i="87"/>
  <c r="V200" i="87"/>
  <c r="S200" i="87"/>
  <c r="O200" i="87"/>
  <c r="W199" i="87"/>
  <c r="V199" i="87"/>
  <c r="U199" i="87"/>
  <c r="Q199" i="87"/>
  <c r="S199" i="87" s="1"/>
  <c r="O199" i="87"/>
  <c r="V198" i="87"/>
  <c r="U198" i="87"/>
  <c r="W198" i="87" s="1"/>
  <c r="Q198" i="87"/>
  <c r="S198" i="87" s="1"/>
  <c r="O198" i="87"/>
  <c r="W197" i="87"/>
  <c r="V197" i="87"/>
  <c r="U197" i="87"/>
  <c r="T197" i="87"/>
  <c r="S197" i="87"/>
  <c r="Q197" i="87"/>
  <c r="P197" i="87"/>
  <c r="O197" i="87"/>
  <c r="W196" i="87"/>
  <c r="V196" i="87"/>
  <c r="U196" i="87"/>
  <c r="Q196" i="87"/>
  <c r="S196" i="87" s="1"/>
  <c r="O196" i="87"/>
  <c r="V195" i="87"/>
  <c r="U195" i="87"/>
  <c r="T195" i="87"/>
  <c r="S195" i="87"/>
  <c r="O195" i="87"/>
  <c r="V194" i="87"/>
  <c r="W194" i="87" s="1"/>
  <c r="U194" i="87"/>
  <c r="T194" i="87"/>
  <c r="S194" i="87"/>
  <c r="O194" i="87"/>
  <c r="V193" i="87"/>
  <c r="U193" i="87"/>
  <c r="W193" i="87" s="1"/>
  <c r="S193" i="87"/>
  <c r="Q193" i="87"/>
  <c r="O193" i="87"/>
  <c r="V192" i="87"/>
  <c r="W192" i="87" s="1"/>
  <c r="Q192" i="87"/>
  <c r="P192" i="87"/>
  <c r="S192" i="87" s="1"/>
  <c r="O192" i="87"/>
  <c r="G192" i="87"/>
  <c r="V191" i="87"/>
  <c r="U191" i="87"/>
  <c r="W191" i="87" s="1"/>
  <c r="Q191" i="87"/>
  <c r="P191" i="87"/>
  <c r="S191" i="87" s="1"/>
  <c r="O191" i="87"/>
  <c r="V190" i="87"/>
  <c r="U190" i="87"/>
  <c r="W190" i="87" s="1"/>
  <c r="S190" i="87"/>
  <c r="Q190" i="87"/>
  <c r="P190" i="87"/>
  <c r="O190" i="87"/>
  <c r="W189" i="87"/>
  <c r="U189" i="87"/>
  <c r="T189" i="87"/>
  <c r="S189" i="87"/>
  <c r="O189" i="87"/>
  <c r="V188" i="87"/>
  <c r="U188" i="87"/>
  <c r="W188" i="87" s="1"/>
  <c r="S188" i="87"/>
  <c r="Q188" i="87"/>
  <c r="P188" i="87"/>
  <c r="O188" i="87"/>
  <c r="W187" i="87"/>
  <c r="V187" i="87"/>
  <c r="S187" i="87"/>
  <c r="O187" i="87"/>
  <c r="W186" i="87"/>
  <c r="V186" i="87"/>
  <c r="U186" i="87"/>
  <c r="S186" i="87"/>
  <c r="O186" i="87"/>
  <c r="V185" i="87"/>
  <c r="U185" i="87"/>
  <c r="T185" i="87"/>
  <c r="W185" i="87" s="1"/>
  <c r="S185" i="87"/>
  <c r="O185" i="87"/>
  <c r="W184" i="87"/>
  <c r="V184" i="87"/>
  <c r="U184" i="87"/>
  <c r="S184" i="87"/>
  <c r="V183" i="87"/>
  <c r="W183" i="87" s="1"/>
  <c r="U183" i="87"/>
  <c r="S183" i="87"/>
  <c r="O183" i="87"/>
  <c r="W182" i="87"/>
  <c r="V182" i="87"/>
  <c r="U182" i="87"/>
  <c r="S182" i="87"/>
  <c r="O182" i="87"/>
  <c r="V181" i="87"/>
  <c r="U181" i="87"/>
  <c r="W181" i="87" s="1"/>
  <c r="S181" i="87"/>
  <c r="Q181" i="87"/>
  <c r="O181" i="87"/>
  <c r="V180" i="87"/>
  <c r="W180" i="87" s="1"/>
  <c r="U180" i="87"/>
  <c r="Q180" i="87"/>
  <c r="P180" i="87"/>
  <c r="S180" i="87" s="1"/>
  <c r="O180" i="87"/>
  <c r="V179" i="87"/>
  <c r="U179" i="87"/>
  <c r="W179" i="87" s="1"/>
  <c r="Q179" i="87"/>
  <c r="P179" i="87"/>
  <c r="S179" i="87" s="1"/>
  <c r="O179" i="87"/>
  <c r="V178" i="87"/>
  <c r="W178" i="87" s="1"/>
  <c r="Q178" i="87"/>
  <c r="S178" i="87" s="1"/>
  <c r="P178" i="87"/>
  <c r="O178" i="87"/>
  <c r="V177" i="87"/>
  <c r="W177" i="87" s="1"/>
  <c r="U177" i="87"/>
  <c r="S177" i="87"/>
  <c r="O177" i="87"/>
  <c r="V176" i="87"/>
  <c r="Q176" i="87"/>
  <c r="S176" i="87" s="1"/>
  <c r="O176" i="87"/>
  <c r="V175" i="87"/>
  <c r="U175" i="87"/>
  <c r="W175" i="87" s="1"/>
  <c r="S175" i="87"/>
  <c r="O175" i="87"/>
  <c r="V174" i="87"/>
  <c r="Q174" i="87"/>
  <c r="U174" i="87" s="1"/>
  <c r="W174" i="87" s="1"/>
  <c r="P174" i="87"/>
  <c r="S174" i="87" s="1"/>
  <c r="O174" i="87"/>
  <c r="V173" i="87"/>
  <c r="U173" i="87"/>
  <c r="W173" i="87" s="1"/>
  <c r="P173" i="87"/>
  <c r="S173" i="87" s="1"/>
  <c r="O173" i="87"/>
  <c r="W172" i="87"/>
  <c r="V172" i="87"/>
  <c r="U172" i="87"/>
  <c r="T172" i="87"/>
  <c r="S172" i="87"/>
  <c r="Q172" i="87"/>
  <c r="P172" i="87"/>
  <c r="O172" i="87"/>
  <c r="W171" i="87"/>
  <c r="V171" i="87"/>
  <c r="U171" i="87"/>
  <c r="Q171" i="87"/>
  <c r="S171" i="87" s="1"/>
  <c r="P171" i="87"/>
  <c r="O171" i="87"/>
  <c r="V170" i="87"/>
  <c r="W170" i="87" s="1"/>
  <c r="U170" i="87"/>
  <c r="Q170" i="87"/>
  <c r="P170" i="87"/>
  <c r="S170" i="87" s="1"/>
  <c r="O170" i="87"/>
  <c r="U169" i="87"/>
  <c r="T169" i="87"/>
  <c r="W169" i="87" s="1"/>
  <c r="R169" i="87"/>
  <c r="Q169" i="87"/>
  <c r="S169" i="87" s="1"/>
  <c r="O169" i="87"/>
  <c r="U168" i="87"/>
  <c r="T168" i="87"/>
  <c r="W168" i="87" s="1"/>
  <c r="S168" i="87"/>
  <c r="R168" i="87"/>
  <c r="Q168" i="87"/>
  <c r="O168" i="87"/>
  <c r="W167" i="87"/>
  <c r="V167" i="87"/>
  <c r="U167" i="87"/>
  <c r="R167" i="87"/>
  <c r="S167" i="87" s="1"/>
  <c r="Q167" i="87"/>
  <c r="P167" i="87"/>
  <c r="O167" i="87"/>
  <c r="W166" i="87"/>
  <c r="V166" i="87"/>
  <c r="U166" i="87"/>
  <c r="R166" i="87"/>
  <c r="S166" i="87" s="1"/>
  <c r="Q166" i="87"/>
  <c r="P166" i="87"/>
  <c r="O166" i="87"/>
  <c r="W165" i="87"/>
  <c r="V165" i="87"/>
  <c r="U165" i="87"/>
  <c r="R165" i="87"/>
  <c r="S165" i="87" s="1"/>
  <c r="Q165" i="87"/>
  <c r="P165" i="87"/>
  <c r="O165" i="87"/>
  <c r="W164" i="87"/>
  <c r="U164" i="87"/>
  <c r="T164" i="87"/>
  <c r="S164" i="87"/>
  <c r="O164" i="87"/>
  <c r="V163" i="87"/>
  <c r="U163" i="87"/>
  <c r="W163" i="87" s="1"/>
  <c r="S163" i="87"/>
  <c r="Q163" i="87"/>
  <c r="P163" i="87"/>
  <c r="O163" i="87"/>
  <c r="W162" i="87"/>
  <c r="V162" i="87"/>
  <c r="U162" i="87"/>
  <c r="Q162" i="87"/>
  <c r="S162" i="87" s="1"/>
  <c r="P162" i="87"/>
  <c r="O162" i="87"/>
  <c r="V161" i="87"/>
  <c r="Q161" i="87"/>
  <c r="U161" i="87" s="1"/>
  <c r="W161" i="87" s="1"/>
  <c r="P161" i="87"/>
  <c r="S161" i="87" s="1"/>
  <c r="O161" i="87"/>
  <c r="V160" i="87"/>
  <c r="U160" i="87"/>
  <c r="W160" i="87" s="1"/>
  <c r="Q160" i="87"/>
  <c r="P160" i="87"/>
  <c r="S160" i="87" s="1"/>
  <c r="O160" i="87"/>
  <c r="O159" i="87"/>
  <c r="G159" i="87"/>
  <c r="U159" i="87" s="1"/>
  <c r="W158" i="87"/>
  <c r="V158" i="87"/>
  <c r="S158" i="87"/>
  <c r="O158" i="87"/>
  <c r="U157" i="87"/>
  <c r="T157" i="87"/>
  <c r="W157" i="87" s="1"/>
  <c r="S157" i="87"/>
  <c r="O157" i="87"/>
  <c r="U156" i="87"/>
  <c r="T156" i="87"/>
  <c r="W156" i="87" s="1"/>
  <c r="S156" i="87"/>
  <c r="P156" i="87"/>
  <c r="O156" i="87"/>
  <c r="W155" i="87"/>
  <c r="V155" i="87"/>
  <c r="U155" i="87"/>
  <c r="Q155" i="87"/>
  <c r="S155" i="87" s="1"/>
  <c r="P155" i="87"/>
  <c r="O155" i="87"/>
  <c r="V154" i="87"/>
  <c r="W154" i="87" s="1"/>
  <c r="Q154" i="87"/>
  <c r="P154" i="87"/>
  <c r="S154" i="87" s="1"/>
  <c r="O154" i="87"/>
  <c r="W153" i="87"/>
  <c r="V153" i="87"/>
  <c r="Q153" i="87"/>
  <c r="S153" i="87" s="1"/>
  <c r="P153" i="87"/>
  <c r="O153" i="87"/>
  <c r="V152" i="87"/>
  <c r="W152" i="87" s="1"/>
  <c r="P152" i="87"/>
  <c r="O152" i="87"/>
  <c r="G152" i="87"/>
  <c r="G237" i="87" s="1"/>
  <c r="V151" i="87"/>
  <c r="T151" i="87"/>
  <c r="W151" i="87" s="1"/>
  <c r="Q151" i="87"/>
  <c r="P151" i="87"/>
  <c r="S151" i="87" s="1"/>
  <c r="O151" i="87"/>
  <c r="W150" i="87"/>
  <c r="V150" i="87"/>
  <c r="Q150" i="87"/>
  <c r="S150" i="87" s="1"/>
  <c r="P150" i="87"/>
  <c r="O150" i="87"/>
  <c r="U149" i="87"/>
  <c r="W149" i="87" s="1"/>
  <c r="T149" i="87"/>
  <c r="S149" i="87"/>
  <c r="O149" i="87"/>
  <c r="W148" i="87"/>
  <c r="V148" i="87"/>
  <c r="Q148" i="87"/>
  <c r="S148" i="87" s="1"/>
  <c r="O148" i="87"/>
  <c r="V147" i="87"/>
  <c r="U147" i="87"/>
  <c r="W147" i="87" s="1"/>
  <c r="S147" i="87"/>
  <c r="Q147" i="87"/>
  <c r="P147" i="87"/>
  <c r="O147" i="87"/>
  <c r="W146" i="87"/>
  <c r="V146" i="87"/>
  <c r="U146" i="87"/>
  <c r="Q146" i="87"/>
  <c r="S146" i="87" s="1"/>
  <c r="O146" i="87"/>
  <c r="V145" i="87"/>
  <c r="U145" i="87"/>
  <c r="W145" i="87" s="1"/>
  <c r="Q145" i="87"/>
  <c r="P145" i="87"/>
  <c r="S145" i="87" s="1"/>
  <c r="O145" i="87"/>
  <c r="U144" i="87"/>
  <c r="T144" i="87"/>
  <c r="W144" i="87" s="1"/>
  <c r="S144" i="87"/>
  <c r="P144" i="87"/>
  <c r="O144" i="87"/>
  <c r="V143" i="87"/>
  <c r="W143" i="87" s="1"/>
  <c r="U143" i="87"/>
  <c r="Q143" i="87"/>
  <c r="S143" i="87" s="1"/>
  <c r="O143" i="87"/>
  <c r="V142" i="87"/>
  <c r="U142" i="87"/>
  <c r="T142" i="87"/>
  <c r="W142" i="87" s="1"/>
  <c r="S142" i="87"/>
  <c r="O142" i="87"/>
  <c r="V141" i="87"/>
  <c r="W141" i="87" s="1"/>
  <c r="U141" i="87"/>
  <c r="Q141" i="87"/>
  <c r="P141" i="87"/>
  <c r="S141" i="87" s="1"/>
  <c r="O141" i="87"/>
  <c r="U140" i="87"/>
  <c r="T140" i="87"/>
  <c r="W140" i="87" s="1"/>
  <c r="S140" i="87"/>
  <c r="P140" i="87"/>
  <c r="O140" i="87"/>
  <c r="W139" i="87"/>
  <c r="U139" i="87"/>
  <c r="T139" i="87"/>
  <c r="S139" i="87"/>
  <c r="O139" i="87"/>
  <c r="W138" i="87"/>
  <c r="V138" i="87"/>
  <c r="S138" i="87"/>
  <c r="O138" i="87"/>
  <c r="V137" i="87"/>
  <c r="U137" i="87"/>
  <c r="W137" i="87" s="1"/>
  <c r="S137" i="87"/>
  <c r="P137" i="87"/>
  <c r="O137" i="87"/>
  <c r="V136" i="87"/>
  <c r="W136" i="87" s="1"/>
  <c r="U136" i="87"/>
  <c r="T136" i="87"/>
  <c r="S136" i="87"/>
  <c r="O136" i="87"/>
  <c r="R135" i="87"/>
  <c r="N135" i="87"/>
  <c r="M135" i="87"/>
  <c r="L135" i="87"/>
  <c r="K135" i="87"/>
  <c r="K241" i="87" s="1"/>
  <c r="J135" i="87"/>
  <c r="I135" i="87"/>
  <c r="H135" i="87"/>
  <c r="G135" i="87"/>
  <c r="V134" i="87"/>
  <c r="U134" i="87"/>
  <c r="W134" i="87" s="1"/>
  <c r="Q134" i="87"/>
  <c r="P134" i="87"/>
  <c r="S134" i="87" s="1"/>
  <c r="O134" i="87"/>
  <c r="V133" i="87"/>
  <c r="U133" i="87"/>
  <c r="W133" i="87" s="1"/>
  <c r="S133" i="87"/>
  <c r="Q133" i="87"/>
  <c r="P133" i="87"/>
  <c r="O133" i="87"/>
  <c r="W132" i="87"/>
  <c r="V132" i="87"/>
  <c r="S132" i="87"/>
  <c r="V131" i="87"/>
  <c r="W131" i="87" s="1"/>
  <c r="U131" i="87"/>
  <c r="Q131" i="87"/>
  <c r="P131" i="87"/>
  <c r="P135" i="87" s="1"/>
  <c r="O131" i="87"/>
  <c r="V130" i="87"/>
  <c r="U130" i="87"/>
  <c r="T130" i="87"/>
  <c r="W130" i="87" s="1"/>
  <c r="S130" i="87"/>
  <c r="O130" i="87"/>
  <c r="V129" i="87"/>
  <c r="T129" i="87"/>
  <c r="S129" i="87"/>
  <c r="Q129" i="87"/>
  <c r="Q135" i="87" s="1"/>
  <c r="P129" i="87"/>
  <c r="O129" i="87"/>
  <c r="W128" i="87"/>
  <c r="V128" i="87"/>
  <c r="U128" i="87"/>
  <c r="S128" i="87"/>
  <c r="O128" i="87"/>
  <c r="V127" i="87"/>
  <c r="V135" i="87" s="1"/>
  <c r="U127" i="87"/>
  <c r="T127" i="87"/>
  <c r="T135" i="87" s="1"/>
  <c r="S127" i="87"/>
  <c r="Q127" i="87"/>
  <c r="O127" i="87"/>
  <c r="N126" i="87"/>
  <c r="N240" i="87" s="1"/>
  <c r="M126" i="87"/>
  <c r="M240" i="87" s="1"/>
  <c r="L126" i="87"/>
  <c r="L240" i="87" s="1"/>
  <c r="J126" i="87"/>
  <c r="J240" i="87" s="1"/>
  <c r="I126" i="87"/>
  <c r="I240" i="87" s="1"/>
  <c r="H126" i="87"/>
  <c r="H240" i="87" s="1"/>
  <c r="G126" i="87"/>
  <c r="W125" i="87"/>
  <c r="S125" i="87"/>
  <c r="O125" i="87"/>
  <c r="W124" i="87"/>
  <c r="S124" i="87"/>
  <c r="O124" i="87"/>
  <c r="V123" i="87"/>
  <c r="U123" i="87"/>
  <c r="T123" i="87"/>
  <c r="W123" i="87" s="1"/>
  <c r="Q123" i="87"/>
  <c r="P123" i="87"/>
  <c r="S123" i="87" s="1"/>
  <c r="O123" i="87"/>
  <c r="U122" i="87"/>
  <c r="T122" i="87"/>
  <c r="W122" i="87" s="1"/>
  <c r="Q122" i="87"/>
  <c r="P122" i="87"/>
  <c r="S122" i="87" s="1"/>
  <c r="O122" i="87"/>
  <c r="V121" i="87"/>
  <c r="U121" i="87"/>
  <c r="W121" i="87" s="1"/>
  <c r="S121" i="87"/>
  <c r="Q121" i="87"/>
  <c r="P121" i="87"/>
  <c r="O121" i="87"/>
  <c r="W120" i="87"/>
  <c r="V120" i="87"/>
  <c r="T120" i="87"/>
  <c r="Q120" i="87"/>
  <c r="S120" i="87" s="1"/>
  <c r="O120" i="87"/>
  <c r="V119" i="87"/>
  <c r="U119" i="87"/>
  <c r="W119" i="87" s="1"/>
  <c r="S119" i="87"/>
  <c r="P119" i="87"/>
  <c r="O119" i="87"/>
  <c r="W118" i="87"/>
  <c r="V118" i="87"/>
  <c r="Q118" i="87"/>
  <c r="P118" i="87"/>
  <c r="S118" i="87" s="1"/>
  <c r="O118" i="87"/>
  <c r="V117" i="87"/>
  <c r="W117" i="87" s="1"/>
  <c r="S117" i="87"/>
  <c r="O117" i="87"/>
  <c r="V116" i="87"/>
  <c r="R116" i="87"/>
  <c r="Q116" i="87"/>
  <c r="U116" i="87" s="1"/>
  <c r="P116" i="87"/>
  <c r="T116" i="87" s="1"/>
  <c r="O116" i="87"/>
  <c r="V115" i="87"/>
  <c r="R115" i="87"/>
  <c r="Q115" i="87"/>
  <c r="U115" i="87" s="1"/>
  <c r="P115" i="87"/>
  <c r="S115" i="87" s="1"/>
  <c r="O115" i="87"/>
  <c r="V114" i="87"/>
  <c r="Q114" i="87"/>
  <c r="P114" i="87"/>
  <c r="T114" i="87" s="1"/>
  <c r="O114" i="87"/>
  <c r="V113" i="87"/>
  <c r="Q113" i="87"/>
  <c r="P113" i="87"/>
  <c r="T113" i="87" s="1"/>
  <c r="O113" i="87"/>
  <c r="U112" i="87"/>
  <c r="R112" i="87"/>
  <c r="Q112" i="87"/>
  <c r="P112" i="87"/>
  <c r="T112" i="87" s="1"/>
  <c r="W112" i="87" s="1"/>
  <c r="O112" i="87"/>
  <c r="R111" i="87"/>
  <c r="R126" i="87" s="1"/>
  <c r="Q111" i="87"/>
  <c r="Q126" i="87" s="1"/>
  <c r="P111" i="87"/>
  <c r="P126" i="87" s="1"/>
  <c r="O111" i="87"/>
  <c r="W109" i="87"/>
  <c r="S109" i="87"/>
  <c r="O109" i="87"/>
  <c r="W108" i="87"/>
  <c r="S108" i="87"/>
  <c r="O108" i="87"/>
  <c r="W107" i="87"/>
  <c r="U107" i="87"/>
  <c r="T107" i="87"/>
  <c r="S107" i="87"/>
  <c r="O107" i="87"/>
  <c r="V106" i="87"/>
  <c r="U106" i="87"/>
  <c r="W106" i="87" s="1"/>
  <c r="S106" i="87"/>
  <c r="O106" i="87"/>
  <c r="V105" i="87"/>
  <c r="U105" i="87"/>
  <c r="W105" i="87" s="1"/>
  <c r="Q105" i="87"/>
  <c r="P105" i="87"/>
  <c r="S105" i="87" s="1"/>
  <c r="O105" i="87"/>
  <c r="V104" i="87"/>
  <c r="U104" i="87"/>
  <c r="W104" i="87" s="1"/>
  <c r="S104" i="87"/>
  <c r="Q104" i="87"/>
  <c r="P104" i="87"/>
  <c r="O104" i="87"/>
  <c r="W103" i="87"/>
  <c r="V103" i="87"/>
  <c r="U103" i="87"/>
  <c r="T103" i="87"/>
  <c r="S103" i="87"/>
  <c r="O103" i="87"/>
  <c r="V102" i="87"/>
  <c r="U102" i="87"/>
  <c r="W102" i="87" s="1"/>
  <c r="S102" i="87"/>
  <c r="O102" i="87"/>
  <c r="U101" i="87"/>
  <c r="W101" i="87" s="1"/>
  <c r="T101" i="87"/>
  <c r="S101" i="87"/>
  <c r="O101" i="87"/>
  <c r="W100" i="87"/>
  <c r="V100" i="87"/>
  <c r="U100" i="87"/>
  <c r="S100" i="87"/>
  <c r="O100" i="87"/>
  <c r="V99" i="87"/>
  <c r="U99" i="87"/>
  <c r="W99" i="87" s="1"/>
  <c r="S99" i="87"/>
  <c r="Q99" i="87"/>
  <c r="P99" i="87"/>
  <c r="O99" i="87"/>
  <c r="W98" i="87"/>
  <c r="V98" i="87"/>
  <c r="U98" i="87"/>
  <c r="Q98" i="87"/>
  <c r="S98" i="87" s="1"/>
  <c r="P98" i="87"/>
  <c r="O98" i="87"/>
  <c r="U97" i="87"/>
  <c r="W97" i="87" s="1"/>
  <c r="T97" i="87"/>
  <c r="Q97" i="87"/>
  <c r="S97" i="87" s="1"/>
  <c r="O97" i="87"/>
  <c r="U96" i="87"/>
  <c r="T96" i="87"/>
  <c r="W96" i="87" s="1"/>
  <c r="S96" i="87"/>
  <c r="O96" i="87"/>
  <c r="U95" i="87"/>
  <c r="T95" i="87"/>
  <c r="W95" i="87" s="1"/>
  <c r="S95" i="87"/>
  <c r="O95" i="87"/>
  <c r="V94" i="87"/>
  <c r="W94" i="87" s="1"/>
  <c r="U94" i="87"/>
  <c r="T94" i="87"/>
  <c r="S94" i="87"/>
  <c r="O94" i="87"/>
  <c r="U93" i="87"/>
  <c r="T93" i="87"/>
  <c r="W93" i="87" s="1"/>
  <c r="S93" i="87"/>
  <c r="O93" i="87"/>
  <c r="V92" i="87"/>
  <c r="U92" i="87"/>
  <c r="S92" i="87"/>
  <c r="O92" i="87"/>
  <c r="G92" i="87"/>
  <c r="U91" i="87"/>
  <c r="T91" i="87"/>
  <c r="W91" i="87" s="1"/>
  <c r="S91" i="87"/>
  <c r="O91" i="87"/>
  <c r="U90" i="87"/>
  <c r="T90" i="87"/>
  <c r="W90" i="87" s="1"/>
  <c r="S90" i="87"/>
  <c r="R90" i="87"/>
  <c r="O90" i="87"/>
  <c r="W89" i="87"/>
  <c r="U89" i="87"/>
  <c r="T89" i="87"/>
  <c r="S89" i="87"/>
  <c r="O89" i="87"/>
  <c r="U88" i="87"/>
  <c r="T88" i="87"/>
  <c r="W88" i="87" s="1"/>
  <c r="S88" i="87"/>
  <c r="O88" i="87"/>
  <c r="W86" i="87"/>
  <c r="U86" i="87"/>
  <c r="O86" i="87"/>
  <c r="V85" i="87"/>
  <c r="W85" i="87" s="1"/>
  <c r="U85" i="87"/>
  <c r="Q85" i="87"/>
  <c r="O85" i="87"/>
  <c r="W84" i="87"/>
  <c r="V84" i="87"/>
  <c r="U84" i="87"/>
  <c r="Q84" i="87"/>
  <c r="O84" i="87"/>
  <c r="V83" i="87"/>
  <c r="U83" i="87"/>
  <c r="W83" i="87" s="1"/>
  <c r="O83" i="87"/>
  <c r="V82" i="87"/>
  <c r="U82" i="87"/>
  <c r="W82" i="87" s="1"/>
  <c r="Q82" i="87"/>
  <c r="O82" i="87"/>
  <c r="V81" i="87"/>
  <c r="U81" i="87"/>
  <c r="W81" i="87" s="1"/>
  <c r="Q81" i="87"/>
  <c r="O81" i="87"/>
  <c r="V80" i="87"/>
  <c r="U80" i="87"/>
  <c r="W80" i="87" s="1"/>
  <c r="O80" i="87"/>
  <c r="V79" i="87"/>
  <c r="U79" i="87"/>
  <c r="W79" i="87" s="1"/>
  <c r="P79" i="87"/>
  <c r="O79" i="87"/>
  <c r="V78" i="87"/>
  <c r="W78" i="87" s="1"/>
  <c r="U78" i="87"/>
  <c r="P78" i="87"/>
  <c r="O78" i="87"/>
  <c r="W77" i="87"/>
  <c r="V77" i="87"/>
  <c r="U77" i="87"/>
  <c r="Q77" i="87"/>
  <c r="O77" i="87"/>
  <c r="W76" i="87"/>
  <c r="S76" i="87"/>
  <c r="O76" i="87"/>
  <c r="W75" i="87"/>
  <c r="V75" i="87"/>
  <c r="S75" i="87"/>
  <c r="V74" i="87"/>
  <c r="W74" i="87" s="1"/>
  <c r="Q74" i="87"/>
  <c r="P74" i="87"/>
  <c r="O74" i="87"/>
  <c r="V73" i="87"/>
  <c r="U73" i="87"/>
  <c r="T73" i="87"/>
  <c r="S73" i="87"/>
  <c r="O73" i="87"/>
  <c r="W72" i="87"/>
  <c r="V72" i="87"/>
  <c r="U72" i="87"/>
  <c r="S72" i="87"/>
  <c r="O72" i="87"/>
  <c r="V71" i="87"/>
  <c r="U71" i="87"/>
  <c r="T71" i="87"/>
  <c r="W71" i="87" s="1"/>
  <c r="S71" i="87"/>
  <c r="O71" i="87"/>
  <c r="W70" i="87"/>
  <c r="V70" i="87"/>
  <c r="U70" i="87"/>
  <c r="T70" i="87"/>
  <c r="S70" i="87"/>
  <c r="O70" i="87"/>
  <c r="V69" i="87"/>
  <c r="U69" i="87"/>
  <c r="W69" i="87" s="1"/>
  <c r="S69" i="87"/>
  <c r="Q69" i="87"/>
  <c r="O69" i="87"/>
  <c r="W68" i="87"/>
  <c r="V68" i="87"/>
  <c r="U68" i="87"/>
  <c r="T68" i="87"/>
  <c r="S68" i="87"/>
  <c r="O68" i="87"/>
  <c r="V67" i="87"/>
  <c r="U67" i="87"/>
  <c r="T67" i="87"/>
  <c r="W67" i="87" s="1"/>
  <c r="S67" i="87"/>
  <c r="Q67" i="87"/>
  <c r="O67" i="87"/>
  <c r="W66" i="87"/>
  <c r="V66" i="87"/>
  <c r="U66" i="87"/>
  <c r="S66" i="87"/>
  <c r="O66" i="87"/>
  <c r="V65" i="87"/>
  <c r="U65" i="87"/>
  <c r="W65" i="87" s="1"/>
  <c r="S65" i="87"/>
  <c r="Q65" i="87"/>
  <c r="P65" i="87"/>
  <c r="O65" i="87"/>
  <c r="W64" i="87"/>
  <c r="V64" i="87"/>
  <c r="U64" i="87"/>
  <c r="S64" i="87"/>
  <c r="Q64" i="87"/>
  <c r="P64" i="87"/>
  <c r="O64" i="87"/>
  <c r="W63" i="87"/>
  <c r="V63" i="87"/>
  <c r="U63" i="87"/>
  <c r="R63" i="87"/>
  <c r="Q63" i="87"/>
  <c r="P63" i="87"/>
  <c r="O63" i="87"/>
  <c r="V62" i="87"/>
  <c r="U62" i="87"/>
  <c r="W62" i="87" s="1"/>
  <c r="T62" i="87"/>
  <c r="Q62" i="87"/>
  <c r="P62" i="87"/>
  <c r="S62" i="87" s="1"/>
  <c r="O62" i="87"/>
  <c r="V61" i="87"/>
  <c r="U61" i="87"/>
  <c r="W61" i="87" s="1"/>
  <c r="Q61" i="87"/>
  <c r="P61" i="87"/>
  <c r="S61" i="87" s="1"/>
  <c r="O61" i="87"/>
  <c r="V60" i="87"/>
  <c r="U60" i="87"/>
  <c r="Q60" i="87"/>
  <c r="P60" i="87"/>
  <c r="S60" i="87" s="1"/>
  <c r="O60" i="87"/>
  <c r="V59" i="87"/>
  <c r="U59" i="87"/>
  <c r="W59" i="87" s="1"/>
  <c r="Q59" i="87"/>
  <c r="S59" i="87" s="1"/>
  <c r="P59" i="87"/>
  <c r="O59" i="87"/>
  <c r="V58" i="87"/>
  <c r="U58" i="87"/>
  <c r="T58" i="87"/>
  <c r="W58" i="87" s="1"/>
  <c r="Q58" i="87"/>
  <c r="S58" i="87" s="1"/>
  <c r="P58" i="87"/>
  <c r="O58" i="87"/>
  <c r="V57" i="87"/>
  <c r="W57" i="87" s="1"/>
  <c r="U57" i="87"/>
  <c r="S57" i="87"/>
  <c r="Q57" i="87"/>
  <c r="P57" i="87"/>
  <c r="O57" i="87"/>
  <c r="W56" i="87"/>
  <c r="V56" i="87"/>
  <c r="U56" i="87"/>
  <c r="Q56" i="87"/>
  <c r="P56" i="87"/>
  <c r="O56" i="87"/>
  <c r="V55" i="87"/>
  <c r="U55" i="87"/>
  <c r="W55" i="87" s="1"/>
  <c r="T55" i="87"/>
  <c r="S55" i="87"/>
  <c r="O55" i="87"/>
  <c r="W54" i="87"/>
  <c r="V54" i="87"/>
  <c r="U54" i="87"/>
  <c r="S54" i="87"/>
  <c r="Q54" i="87"/>
  <c r="P54" i="87"/>
  <c r="O54" i="87"/>
  <c r="W53" i="87"/>
  <c r="V53" i="87"/>
  <c r="U53" i="87"/>
  <c r="Q53" i="87"/>
  <c r="P53" i="87"/>
  <c r="S53" i="87" s="1"/>
  <c r="O53" i="87"/>
  <c r="V52" i="87"/>
  <c r="U52" i="87"/>
  <c r="W52" i="87" s="1"/>
  <c r="T52" i="87"/>
  <c r="S52" i="87"/>
  <c r="O52" i="87"/>
  <c r="W51" i="87"/>
  <c r="V51" i="87"/>
  <c r="U51" i="87"/>
  <c r="S51" i="87"/>
  <c r="Q51" i="87"/>
  <c r="P51" i="87"/>
  <c r="O51" i="87"/>
  <c r="W50" i="87"/>
  <c r="V50" i="87"/>
  <c r="U50" i="87"/>
  <c r="Q50" i="87"/>
  <c r="P50" i="87"/>
  <c r="S50" i="87" s="1"/>
  <c r="O50" i="87"/>
  <c r="V49" i="87"/>
  <c r="W49" i="87" s="1"/>
  <c r="P49" i="87"/>
  <c r="O49" i="87"/>
  <c r="G49" i="87"/>
  <c r="G87" i="87" s="1"/>
  <c r="V48" i="87"/>
  <c r="U48" i="87"/>
  <c r="W48" i="87" s="1"/>
  <c r="S48" i="87"/>
  <c r="P48" i="87"/>
  <c r="O48" i="87"/>
  <c r="V47" i="87"/>
  <c r="Q47" i="87"/>
  <c r="S47" i="87" s="1"/>
  <c r="O47" i="87"/>
  <c r="V46" i="87"/>
  <c r="U46" i="87"/>
  <c r="S46" i="87"/>
  <c r="Q46" i="87"/>
  <c r="P46" i="87"/>
  <c r="O46" i="87"/>
  <c r="W45" i="87"/>
  <c r="V45" i="87"/>
  <c r="S45" i="87"/>
  <c r="O45" i="87"/>
  <c r="W44" i="87"/>
  <c r="V44" i="87"/>
  <c r="T44" i="87"/>
  <c r="S44" i="87"/>
  <c r="Q44" i="87"/>
  <c r="O44" i="87"/>
  <c r="G43" i="87"/>
  <c r="W42" i="87"/>
  <c r="O42" i="87"/>
  <c r="W41" i="87"/>
  <c r="O41" i="87"/>
  <c r="W40" i="87"/>
  <c r="O40" i="87"/>
  <c r="V39" i="87"/>
  <c r="U39" i="87"/>
  <c r="W39" i="87" s="1"/>
  <c r="Q39" i="87"/>
  <c r="O39" i="87"/>
  <c r="W38" i="87"/>
  <c r="V38" i="87"/>
  <c r="U38" i="87"/>
  <c r="O38" i="87"/>
  <c r="W37" i="87"/>
  <c r="V37" i="87"/>
  <c r="U37" i="87"/>
  <c r="O37" i="87"/>
  <c r="W36" i="87"/>
  <c r="V36" i="87"/>
  <c r="U36" i="87"/>
  <c r="Q36" i="87"/>
  <c r="O36" i="87"/>
  <c r="W35" i="87"/>
  <c r="V35" i="87"/>
  <c r="U35" i="87"/>
  <c r="O35" i="87"/>
  <c r="W34" i="87"/>
  <c r="V34" i="87"/>
  <c r="U34" i="87"/>
  <c r="Q34" i="87"/>
  <c r="O34" i="87"/>
  <c r="V33" i="87"/>
  <c r="U33" i="87"/>
  <c r="W33" i="87" s="1"/>
  <c r="O33" i="87"/>
  <c r="V32" i="87"/>
  <c r="U32" i="87"/>
  <c r="W32" i="87" s="1"/>
  <c r="Q32" i="87"/>
  <c r="O32" i="87"/>
  <c r="V31" i="87"/>
  <c r="U31" i="87"/>
  <c r="W31" i="87" s="1"/>
  <c r="Q31" i="87"/>
  <c r="O31" i="87"/>
  <c r="W30" i="87"/>
  <c r="V30" i="87"/>
  <c r="U30" i="87"/>
  <c r="O30" i="87"/>
  <c r="T28" i="87"/>
  <c r="V27" i="87"/>
  <c r="W26" i="87"/>
  <c r="S26" i="87"/>
  <c r="O26" i="87"/>
  <c r="W25" i="87"/>
  <c r="S25" i="87"/>
  <c r="O25" i="87"/>
  <c r="W24" i="87"/>
  <c r="S24" i="87"/>
  <c r="O24" i="87"/>
  <c r="W23" i="87"/>
  <c r="S23" i="87"/>
  <c r="O23" i="87"/>
  <c r="W22" i="87"/>
  <c r="S22" i="87"/>
  <c r="O22" i="87"/>
  <c r="W21" i="87"/>
  <c r="S21" i="87"/>
  <c r="O21" i="87"/>
  <c r="W20" i="87"/>
  <c r="S20" i="87"/>
  <c r="O20" i="87"/>
  <c r="V19" i="87"/>
  <c r="U19" i="87"/>
  <c r="Q19" i="87"/>
  <c r="P19" i="87"/>
  <c r="T19" i="87" s="1"/>
  <c r="W19" i="87" s="1"/>
  <c r="O19" i="87"/>
  <c r="V18" i="87"/>
  <c r="W18" i="87" s="1"/>
  <c r="S18" i="87"/>
  <c r="Q18" i="87"/>
  <c r="P18" i="87"/>
  <c r="O18" i="87"/>
  <c r="W17" i="87"/>
  <c r="V17" i="87"/>
  <c r="U17" i="87"/>
  <c r="Q17" i="87"/>
  <c r="S17" i="87" s="1"/>
  <c r="O17" i="87"/>
  <c r="V16" i="87"/>
  <c r="U16" i="87"/>
  <c r="W16" i="87" s="1"/>
  <c r="Q16" i="87"/>
  <c r="P16" i="87"/>
  <c r="S16" i="87" s="1"/>
  <c r="O16" i="87"/>
  <c r="V15" i="87"/>
  <c r="U15" i="87"/>
  <c r="W15" i="87" s="1"/>
  <c r="S15" i="87"/>
  <c r="O15" i="87"/>
  <c r="V14" i="87"/>
  <c r="W14" i="87" s="1"/>
  <c r="S14" i="87"/>
  <c r="O14" i="87"/>
  <c r="V13" i="87"/>
  <c r="W13" i="87" s="1"/>
  <c r="S13" i="87"/>
  <c r="O13" i="87"/>
  <c r="V12" i="87"/>
  <c r="W12" i="87" s="1"/>
  <c r="S12" i="87"/>
  <c r="O12" i="87"/>
  <c r="G12" i="87"/>
  <c r="V11" i="87"/>
  <c r="W11" i="87" s="1"/>
  <c r="U11" i="87"/>
  <c r="Q11" i="87"/>
  <c r="P11" i="87"/>
  <c r="S11" i="87" s="1"/>
  <c r="O11" i="87"/>
  <c r="V10" i="87"/>
  <c r="U10" i="87"/>
  <c r="W10" i="87" s="1"/>
  <c r="Q10" i="87"/>
  <c r="S10" i="87" s="1"/>
  <c r="O10" i="87"/>
  <c r="W9" i="87"/>
  <c r="V9" i="87"/>
  <c r="S9" i="87"/>
  <c r="O9" i="87"/>
  <c r="W8" i="87"/>
  <c r="V8" i="87"/>
  <c r="U8" i="87"/>
  <c r="Q8" i="87"/>
  <c r="S8" i="87" s="1"/>
  <c r="O8" i="87"/>
  <c r="V7" i="87"/>
  <c r="U7" i="87"/>
  <c r="W7" i="87" s="1"/>
  <c r="Q7" i="87"/>
  <c r="P7" i="87"/>
  <c r="S7" i="87" s="1"/>
  <c r="O7" i="87"/>
  <c r="V6" i="87"/>
  <c r="U6" i="87"/>
  <c r="U43" i="87" s="1"/>
  <c r="S6" i="87"/>
  <c r="Q6" i="87"/>
  <c r="P6" i="87"/>
  <c r="O6" i="87"/>
  <c r="W5" i="87"/>
  <c r="V5" i="87"/>
  <c r="U5" i="87"/>
  <c r="T5" i="87"/>
  <c r="S5" i="87"/>
  <c r="Q5" i="87"/>
  <c r="O5" i="87"/>
  <c r="V4" i="87"/>
  <c r="W4" i="87" s="1"/>
  <c r="U4" i="87"/>
  <c r="T4" i="87"/>
  <c r="T43" i="87" s="1"/>
  <c r="Q4" i="87"/>
  <c r="S4" i="87" s="1"/>
  <c r="O4" i="87"/>
  <c r="W3" i="87"/>
  <c r="AG3" i="87" s="1"/>
  <c r="V3" i="87"/>
  <c r="U3" i="87"/>
  <c r="Q3" i="87"/>
  <c r="P3" i="87"/>
  <c r="O3" i="87"/>
  <c r="Q87" i="87" l="1"/>
  <c r="V43" i="87"/>
  <c r="AH3" i="87"/>
  <c r="S19" i="87"/>
  <c r="R87" i="87"/>
  <c r="R241" i="87" s="1"/>
  <c r="W113" i="87"/>
  <c r="V240" i="87"/>
  <c r="V241" i="87"/>
  <c r="W6" i="87"/>
  <c r="V87" i="87"/>
  <c r="W46" i="87"/>
  <c r="U47" i="87"/>
  <c r="W47" i="87" s="1"/>
  <c r="W87" i="87" s="1"/>
  <c r="O87" i="87" s="1"/>
  <c r="Q49" i="87"/>
  <c r="S49" i="87" s="1"/>
  <c r="S87" i="87" s="1"/>
  <c r="W60" i="87"/>
  <c r="W73" i="87"/>
  <c r="S74" i="87"/>
  <c r="G110" i="87"/>
  <c r="G241" i="87" s="1"/>
  <c r="T92" i="87"/>
  <c r="W92" i="87" s="1"/>
  <c r="W110" i="87" s="1"/>
  <c r="O110" i="87" s="1"/>
  <c r="U111" i="87"/>
  <c r="S113" i="87"/>
  <c r="U113" i="87"/>
  <c r="S114" i="87"/>
  <c r="U114" i="87"/>
  <c r="W114" i="87" s="1"/>
  <c r="W115" i="87"/>
  <c r="W116" i="87"/>
  <c r="W159" i="87"/>
  <c r="W237" i="87" s="1"/>
  <c r="O237" i="87" s="1"/>
  <c r="S56" i="87"/>
  <c r="S63" i="87"/>
  <c r="V126" i="87"/>
  <c r="U135" i="87"/>
  <c r="S3" i="87"/>
  <c r="W43" i="87"/>
  <c r="T87" i="87"/>
  <c r="P87" i="87"/>
  <c r="S135" i="87"/>
  <c r="S111" i="87"/>
  <c r="S112" i="87"/>
  <c r="S116" i="87"/>
  <c r="U129" i="87"/>
  <c r="W129" i="87" s="1"/>
  <c r="S131" i="87"/>
  <c r="Q152" i="87"/>
  <c r="P159" i="87"/>
  <c r="S159" i="87" s="1"/>
  <c r="V159" i="87"/>
  <c r="U176" i="87"/>
  <c r="W176" i="87" s="1"/>
  <c r="T219" i="87"/>
  <c r="W219" i="87" s="1"/>
  <c r="R237" i="87"/>
  <c r="R240" i="87" s="1"/>
  <c r="V237" i="87"/>
  <c r="K240" i="87"/>
  <c r="H241" i="87"/>
  <c r="L241" i="87"/>
  <c r="Q254" i="87"/>
  <c r="T111" i="87"/>
  <c r="W127" i="87"/>
  <c r="W135" i="87" s="1"/>
  <c r="O135" i="87" s="1"/>
  <c r="Q159" i="87"/>
  <c r="Q219" i="87"/>
  <c r="S219" i="87" s="1"/>
  <c r="I241" i="87"/>
  <c r="M241" i="87"/>
  <c r="V254" i="87"/>
  <c r="J241" i="87"/>
  <c r="N241" i="87"/>
  <c r="W244" i="87"/>
  <c r="W254" i="87" s="1"/>
  <c r="S152" i="87" l="1"/>
  <c r="S237" i="87" s="1"/>
  <c r="S126" i="87"/>
  <c r="S240" i="87" s="1"/>
  <c r="U237" i="87"/>
  <c r="O43" i="87"/>
  <c r="Q237" i="87"/>
  <c r="Q240" i="87" s="1"/>
  <c r="G240" i="87"/>
  <c r="Q241" i="87"/>
  <c r="P237" i="87"/>
  <c r="P241" i="87" s="1"/>
  <c r="T237" i="87"/>
  <c r="U87" i="87"/>
  <c r="U126" i="87"/>
  <c r="U240" i="87" s="1"/>
  <c r="T126" i="87"/>
  <c r="T240" i="87" s="1"/>
  <c r="W111" i="87"/>
  <c r="W126" i="87" s="1"/>
  <c r="O126" i="87" s="1"/>
  <c r="U241" i="87" l="1"/>
  <c r="S241" i="87"/>
  <c r="W241" i="87"/>
  <c r="P240" i="87"/>
  <c r="O240" i="87"/>
  <c r="O241" i="87"/>
  <c r="W255" i="87"/>
  <c r="W240" i="87"/>
  <c r="T241" i="87"/>
  <c r="Q17" i="1" l="1"/>
  <c r="A120" i="85" l="1"/>
  <c r="E111" i="85"/>
  <c r="H112" i="85" s="1"/>
  <c r="E109" i="85"/>
  <c r="A124" i="85" s="1"/>
  <c r="E107" i="85"/>
  <c r="A122" i="85" s="1"/>
  <c r="H106" i="85"/>
  <c r="H105" i="85"/>
  <c r="H104" i="85"/>
  <c r="D101" i="85"/>
  <c r="C101" i="85"/>
  <c r="C91" i="85"/>
  <c r="E90" i="85"/>
  <c r="D89" i="85"/>
  <c r="C89" i="85"/>
  <c r="C87" i="85" s="1"/>
  <c r="C92"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L4" i="85"/>
  <c r="K4" i="85"/>
  <c r="H1" i="85"/>
  <c r="Q72" i="84"/>
  <c r="Q59" i="84"/>
  <c r="K59" i="84"/>
  <c r="P74" i="84" s="1"/>
  <c r="Q58" i="84"/>
  <c r="J50" i="84"/>
  <c r="J49" i="84"/>
  <c r="M47" i="84"/>
  <c r="D46" i="84"/>
  <c r="F33" i="84"/>
  <c r="F61" i="84" s="1"/>
  <c r="F23" i="84"/>
  <c r="D23" i="84" s="1"/>
  <c r="F21" i="84"/>
  <c r="F20" i="84"/>
  <c r="M19" i="84"/>
  <c r="F18" i="84"/>
  <c r="F17" i="84"/>
  <c r="F15" i="84"/>
  <c r="C40" i="83"/>
  <c r="F38" i="83"/>
  <c r="E37" i="83"/>
  <c r="F36" i="83"/>
  <c r="F35" i="83"/>
  <c r="F21" i="83"/>
  <c r="F40" i="83" s="1"/>
  <c r="F20" i="83"/>
  <c r="F39" i="83" s="1"/>
  <c r="C19" i="83"/>
  <c r="E10" i="83"/>
  <c r="E9" i="83"/>
  <c r="F7" i="83"/>
  <c r="J49" i="15"/>
  <c r="AL7" i="1"/>
  <c r="AM7" i="1"/>
  <c r="AK7" i="1"/>
  <c r="X25" i="1"/>
  <c r="W24" i="1"/>
  <c r="Y24" i="1" s="1"/>
  <c r="W23" i="1"/>
  <c r="Y23" i="1" s="1"/>
  <c r="W22" i="1"/>
  <c r="W21" i="1"/>
  <c r="E2" i="83"/>
  <c r="Y25" i="1" l="1"/>
  <c r="W25" i="1" s="1"/>
  <c r="C18" i="85"/>
  <c r="D18" i="85" s="1"/>
  <c r="H103" i="85"/>
  <c r="D120" i="85" s="1"/>
  <c r="D121" i="85" s="1"/>
  <c r="H111" i="85"/>
  <c r="D126" i="85" s="1"/>
  <c r="D127" i="85" s="1"/>
  <c r="A126" i="85"/>
  <c r="C21" i="83"/>
  <c r="C94" i="85"/>
  <c r="H109" i="85"/>
  <c r="D24" i="84"/>
  <c r="P61" i="84"/>
  <c r="D22" i="84"/>
  <c r="Q7" i="1"/>
  <c r="N20" i="1"/>
  <c r="N6" i="1" s="1"/>
  <c r="L7" i="1"/>
  <c r="Y6" i="1" l="1"/>
  <c r="N7" i="1"/>
  <c r="Y7" i="1" s="1"/>
  <c r="K120" i="85"/>
  <c r="D124" i="85"/>
  <c r="D125" i="85" s="1"/>
  <c r="H110" i="85"/>
  <c r="M49" i="85"/>
  <c r="I7" i="1"/>
  <c r="J7" i="1"/>
  <c r="Q51" i="84" s="1"/>
  <c r="H7" i="1"/>
  <c r="G20" i="6"/>
  <c r="G19" i="6"/>
  <c r="K13" i="82"/>
  <c r="K12" i="82"/>
  <c r="K11" i="82"/>
  <c r="K10" i="82"/>
  <c r="K9" i="82"/>
  <c r="K8" i="82"/>
  <c r="K7" i="82"/>
  <c r="K6" i="82"/>
  <c r="D6" i="82"/>
  <c r="L5" i="82"/>
  <c r="K5" i="82"/>
  <c r="K4" i="82"/>
  <c r="B14" i="74" l="1"/>
  <c r="D38" i="43"/>
  <c r="B15" i="74"/>
  <c r="D39" i="43"/>
  <c r="L66" i="85"/>
  <c r="M66" i="85" s="1"/>
  <c r="L64" i="85"/>
  <c r="M64" i="85" s="1"/>
  <c r="L68" i="85"/>
  <c r="M68" i="85" s="1"/>
  <c r="L67" i="85"/>
  <c r="M67" i="85" s="1"/>
  <c r="L65" i="85"/>
  <c r="M65" i="85" s="1"/>
  <c r="L63" i="85"/>
  <c r="M63" i="85" s="1"/>
  <c r="M69" i="85" s="1"/>
  <c r="N69" i="85" s="1"/>
  <c r="D281" i="81"/>
  <c r="C281" i="81"/>
  <c r="B281" i="81"/>
  <c r="C284" i="81" s="1"/>
  <c r="C287" i="81" s="1"/>
  <c r="F262" i="81"/>
  <c r="J141" i="81"/>
  <c r="I141" i="81"/>
  <c r="K141" i="81" s="1"/>
  <c r="I117" i="81"/>
  <c r="J59" i="81"/>
  <c r="I59" i="81"/>
  <c r="K59" i="81" s="1"/>
  <c r="J33" i="81"/>
  <c r="I33" i="81"/>
  <c r="D3" i="4"/>
  <c r="K33" i="81" l="1"/>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7" i="79" l="1"/>
  <c r="U28" i="79"/>
  <c r="AD34" i="79"/>
  <c r="S35" i="79"/>
  <c r="U37" i="79"/>
  <c r="AD38" i="79"/>
  <c r="V3" i="79"/>
  <c r="U36" i="79"/>
  <c r="AD37"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N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c r="U44" i="71" s="1"/>
  <c r="O41" i="71"/>
  <c r="C42" i="71" s="1"/>
  <c r="C43" i="71" s="1"/>
  <c r="N41" i="71"/>
  <c r="B42" i="71" s="1"/>
  <c r="B43" i="71" s="1"/>
  <c r="B44" i="71" s="1"/>
  <c r="S44" i="71" s="1"/>
  <c r="D41" i="71"/>
  <c r="Q40" i="71"/>
  <c r="P40" i="71"/>
  <c r="O40" i="71"/>
  <c r="N40" i="71"/>
  <c r="Q39" i="71"/>
  <c r="P39" i="71"/>
  <c r="AA37" i="71" s="1"/>
  <c r="O39" i="71"/>
  <c r="Y39" i="71"/>
  <c r="Z39" i="71"/>
  <c r="N39" i="71"/>
  <c r="X39" i="71" s="1"/>
  <c r="Q38" i="71"/>
  <c r="AB38" i="71"/>
  <c r="P38" i="71"/>
  <c r="AA38" i="71" s="1"/>
  <c r="O38" i="71"/>
  <c r="Y38" i="71"/>
  <c r="Z38" i="71"/>
  <c r="N38" i="71"/>
  <c r="F40" i="71"/>
  <c r="V40" i="71" s="1"/>
  <c r="Q37" i="71"/>
  <c r="F38" i="71" s="1"/>
  <c r="F39" i="71" s="1"/>
  <c r="P37" i="71"/>
  <c r="O37" i="71"/>
  <c r="N37" i="71"/>
  <c r="D37" i="71"/>
  <c r="Q36" i="71"/>
  <c r="AB36" i="71"/>
  <c r="P36" i="71"/>
  <c r="O36" i="71"/>
  <c r="N36" i="71"/>
  <c r="Q35" i="71"/>
  <c r="AB35" i="71"/>
  <c r="P35" i="71"/>
  <c r="O35" i="71"/>
  <c r="Y35" i="71" s="1"/>
  <c r="Z35" i="71" s="1"/>
  <c r="N35" i="71"/>
  <c r="X32" i="71" s="1"/>
  <c r="Q34" i="71"/>
  <c r="AB34" i="71" s="1"/>
  <c r="P34" i="71"/>
  <c r="O34" i="71"/>
  <c r="N34" i="71"/>
  <c r="Q33" i="71"/>
  <c r="AB33" i="71" s="1"/>
  <c r="P33" i="71"/>
  <c r="E34" i="71" s="1"/>
  <c r="O33" i="71"/>
  <c r="N33" i="71"/>
  <c r="D33" i="71"/>
  <c r="Q32" i="71"/>
  <c r="AB32" i="71" s="1"/>
  <c r="P32" i="71"/>
  <c r="O32" i="71"/>
  <c r="N32" i="71"/>
  <c r="Q31" i="71"/>
  <c r="P31" i="71"/>
  <c r="O31" i="71"/>
  <c r="N31" i="71"/>
  <c r="Q30" i="71"/>
  <c r="P30" i="71"/>
  <c r="AA30" i="71" s="1"/>
  <c r="O30" i="71"/>
  <c r="N30" i="71"/>
  <c r="F32" i="71"/>
  <c r="V32" i="71" s="1"/>
  <c r="Q29" i="71"/>
  <c r="F30" i="71" s="1"/>
  <c r="F31" i="71" s="1"/>
  <c r="P29" i="71"/>
  <c r="E30" i="71" s="1"/>
  <c r="O29" i="71"/>
  <c r="Y26" i="71" s="1"/>
  <c r="Z26" i="71" s="1"/>
  <c r="N29" i="71"/>
  <c r="X29" i="71" s="1"/>
  <c r="D29" i="71"/>
  <c r="O28" i="71"/>
  <c r="N28" i="71"/>
  <c r="X25" i="71" s="1"/>
  <c r="B30" i="71"/>
  <c r="B31" i="71" s="1"/>
  <c r="B32" i="71" s="1"/>
  <c r="S32" i="71" s="1"/>
  <c r="B34" i="71"/>
  <c r="B35" i="71"/>
  <c r="B36" i="71"/>
  <c r="S36" i="71" s="1"/>
  <c r="B38" i="71"/>
  <c r="B39" i="71" s="1"/>
  <c r="B40" i="71" s="1"/>
  <c r="S40" i="71" s="1"/>
  <c r="X37" i="71"/>
  <c r="E38" i="71"/>
  <c r="E39" i="71" s="1"/>
  <c r="E40" i="71" s="1"/>
  <c r="U40" i="71" s="1"/>
  <c r="N68" i="71"/>
  <c r="E35" i="71"/>
  <c r="E36" i="71" s="1"/>
  <c r="U36" i="71" s="1"/>
  <c r="X30" i="71"/>
  <c r="C34" i="71"/>
  <c r="X35" i="71"/>
  <c r="X36" i="71"/>
  <c r="AB37" i="71"/>
  <c r="X38" i="71"/>
  <c r="F51" i="71"/>
  <c r="F52" i="71"/>
  <c r="V52" i="71" s="1"/>
  <c r="C28" i="71"/>
  <c r="Y28" i="71"/>
  <c r="Z28" i="71" s="1"/>
  <c r="X26" i="71"/>
  <c r="D34" i="71"/>
  <c r="C47" i="71"/>
  <c r="D47" i="71" s="1"/>
  <c r="D46" i="71"/>
  <c r="C51" i="71"/>
  <c r="D50" i="71"/>
  <c r="P28" i="71"/>
  <c r="E55" i="71"/>
  <c r="E56" i="71" s="1"/>
  <c r="U56" i="71" s="1"/>
  <c r="E63" i="71"/>
  <c r="E64" i="71" s="1"/>
  <c r="U64" i="71"/>
  <c r="U68" i="71"/>
  <c r="E67" i="71"/>
  <c r="Q28" i="71"/>
  <c r="AB27" i="71" s="1"/>
  <c r="C55" i="71"/>
  <c r="C56" i="71" s="1"/>
  <c r="D54" i="71"/>
  <c r="C59" i="71"/>
  <c r="D58" i="71"/>
  <c r="C63" i="71"/>
  <c r="C64" i="71" s="1"/>
  <c r="D62" i="71"/>
  <c r="T68" i="71"/>
  <c r="D68" i="71"/>
  <c r="Q68" i="71"/>
  <c r="C71" i="71"/>
  <c r="D71" i="71" s="1"/>
  <c r="E71" i="71"/>
  <c r="E70" i="71" s="1"/>
  <c r="D72" i="71"/>
  <c r="C75" i="71"/>
  <c r="D75" i="71" s="1"/>
  <c r="E75" i="71"/>
  <c r="E74" i="71" s="1"/>
  <c r="D76" i="71"/>
  <c r="C79" i="71"/>
  <c r="D79" i="71" s="1"/>
  <c r="E79" i="71"/>
  <c r="E78" i="71" s="1"/>
  <c r="D80" i="71"/>
  <c r="C83" i="71"/>
  <c r="D83" i="71" s="1"/>
  <c r="C87" i="71"/>
  <c r="D87" i="71" s="1"/>
  <c r="T28" i="71"/>
  <c r="C27" i="71"/>
  <c r="D27" i="71" s="1"/>
  <c r="F28" i="71"/>
  <c r="F27" i="71" s="1"/>
  <c r="F26" i="71" s="1"/>
  <c r="AB25" i="71"/>
  <c r="E28" i="71"/>
  <c r="E27" i="71" s="1"/>
  <c r="E26" i="71" s="1"/>
  <c r="AA25" i="71"/>
  <c r="D28" i="71"/>
  <c r="U28" i="71" s="1"/>
  <c r="C82" i="71"/>
  <c r="D82" i="71" s="1"/>
  <c r="C86" i="71"/>
  <c r="D86" i="71" s="1"/>
  <c r="C60" i="71"/>
  <c r="T60" i="71" s="1"/>
  <c r="D59" i="71"/>
  <c r="P67" i="71"/>
  <c r="E66" i="71"/>
  <c r="C52" i="71"/>
  <c r="D51" i="71"/>
  <c r="C26" i="71"/>
  <c r="D26" i="71" s="1"/>
  <c r="P65" i="71"/>
  <c r="P66" i="71"/>
  <c r="T52" i="71"/>
  <c r="D52"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Q18" i="35"/>
  <c r="Z18" i="35" s="1"/>
  <c r="D68" i="35"/>
  <c r="E68" i="35"/>
  <c r="F18" i="35"/>
  <c r="S18" i="35" s="1"/>
  <c r="AA18" i="35"/>
  <c r="C18" i="35"/>
  <c r="Q21" i="37"/>
  <c r="Z21" i="37" s="1"/>
  <c r="D77" i="37"/>
  <c r="E77" i="37" s="1"/>
  <c r="C21" i="37"/>
  <c r="Q21" i="34"/>
  <c r="Z21" i="34" s="1"/>
  <c r="D84" i="34"/>
  <c r="E84" i="34"/>
  <c r="F21" i="34"/>
  <c r="S21" i="34" s="1"/>
  <c r="C21" i="34"/>
  <c r="Q21" i="33"/>
  <c r="Z21" i="33" s="1"/>
  <c r="D83" i="33"/>
  <c r="E83" i="33" s="1"/>
  <c r="F83" i="33" s="1"/>
  <c r="G83" i="33" s="1"/>
  <c r="C21" i="33"/>
  <c r="C21" i="21"/>
  <c r="Q21" i="21"/>
  <c r="Z21" i="21" s="1"/>
  <c r="H19" i="21"/>
  <c r="D83" i="21"/>
  <c r="F21" i="21"/>
  <c r="D81" i="21"/>
  <c r="G20" i="20"/>
  <c r="C25" i="40" s="1"/>
  <c r="C22" i="20"/>
  <c r="B100" i="43" s="1"/>
  <c r="B77" i="43"/>
  <c r="B57" i="43"/>
  <c r="B68" i="43"/>
  <c r="C29" i="39"/>
  <c r="S25" i="40"/>
  <c r="S18" i="36"/>
  <c r="F94" i="40"/>
  <c r="G94" i="40" s="1"/>
  <c r="H25" i="40"/>
  <c r="AB25" i="40" s="1"/>
  <c r="J25" i="40"/>
  <c r="H29" i="39"/>
  <c r="AB29" i="39" s="1"/>
  <c r="J29" i="39"/>
  <c r="AC29" i="39" s="1"/>
  <c r="J18" i="36"/>
  <c r="AC18" i="36" s="1"/>
  <c r="F68" i="35"/>
  <c r="H18" i="35"/>
  <c r="AB18" i="35" s="1"/>
  <c r="G68" i="35"/>
  <c r="J18" i="35"/>
  <c r="AC18" i="35" s="1"/>
  <c r="F77" i="37"/>
  <c r="G77" i="37" s="1"/>
  <c r="H21" i="37"/>
  <c r="F21" i="37"/>
  <c r="AA21" i="37" s="1"/>
  <c r="F84" i="34"/>
  <c r="H21" i="34"/>
  <c r="H21" i="33"/>
  <c r="U21" i="33" s="1"/>
  <c r="F21" i="33"/>
  <c r="E83" i="21"/>
  <c r="H1" i="69"/>
  <c r="AC25" i="40"/>
  <c r="W25" i="40"/>
  <c r="U25" i="40"/>
  <c r="W29" i="39"/>
  <c r="W18" i="36"/>
  <c r="AB21" i="37"/>
  <c r="U21" i="37"/>
  <c r="S21" i="37"/>
  <c r="AB21" i="34"/>
  <c r="U21" i="34"/>
  <c r="AA21" i="33"/>
  <c r="S21" i="33"/>
  <c r="W18" i="35"/>
  <c r="J21" i="37"/>
  <c r="G84" i="34"/>
  <c r="J21" i="34"/>
  <c r="W21" i="34" s="1"/>
  <c r="J21" i="33"/>
  <c r="AC21" i="33" s="1"/>
  <c r="F83" i="21"/>
  <c r="G83" i="21" s="1"/>
  <c r="H21" i="21"/>
  <c r="U21" i="21" s="1"/>
  <c r="F38" i="69"/>
  <c r="E37" i="69"/>
  <c r="F36" i="69"/>
  <c r="F35" i="69"/>
  <c r="F21" i="69"/>
  <c r="F40" i="69" s="1"/>
  <c r="F20" i="69"/>
  <c r="F39" i="69" s="1"/>
  <c r="E10" i="69"/>
  <c r="E9" i="69"/>
  <c r="C7" i="69"/>
  <c r="AC21" i="37"/>
  <c r="W21" i="37"/>
  <c r="AC21" i="34"/>
  <c r="W21" i="33"/>
  <c r="AB21"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L485" i="3" s="1"/>
  <c r="AZ485" i="3" s="1"/>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AZ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3"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W32" i="40" s="1"/>
  <c r="AC32" i="40"/>
  <c r="B101" i="40"/>
  <c r="J31" i="40"/>
  <c r="D100" i="40"/>
  <c r="E100" i="40" s="1"/>
  <c r="F100" i="40" s="1"/>
  <c r="G100" i="40"/>
  <c r="H100" i="40" s="1"/>
  <c r="I100" i="40" s="1"/>
  <c r="J100" i="40" s="1"/>
  <c r="K100" i="40" s="1"/>
  <c r="L100" i="40" s="1"/>
  <c r="M100" i="40" s="1"/>
  <c r="D98" i="40"/>
  <c r="J28" i="40"/>
  <c r="AC28" i="40" s="1"/>
  <c r="D96" i="40"/>
  <c r="E96" i="40"/>
  <c r="F96" i="40"/>
  <c r="G96" i="40" s="1"/>
  <c r="H96" i="40" s="1"/>
  <c r="I96" i="40"/>
  <c r="J96" i="40" s="1"/>
  <c r="K96" i="40" s="1"/>
  <c r="L96" i="40" s="1"/>
  <c r="M96" i="40" s="1"/>
  <c r="B95" i="40"/>
  <c r="D92" i="40"/>
  <c r="E92" i="40" s="1"/>
  <c r="F92" i="40"/>
  <c r="G92" i="40" s="1"/>
  <c r="D90" i="40"/>
  <c r="E90" i="40" s="1"/>
  <c r="F90" i="40" s="1"/>
  <c r="G90" i="40"/>
  <c r="D88" i="40"/>
  <c r="E88" i="40" s="1"/>
  <c r="D86" i="40"/>
  <c r="E86" i="40" s="1"/>
  <c r="F86" i="40" s="1"/>
  <c r="G86" i="40" s="1"/>
  <c r="D84" i="40"/>
  <c r="E84" i="40"/>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AB30" i="37" s="1"/>
  <c r="F30" i="37"/>
  <c r="AA30" i="37" s="1"/>
  <c r="Q29" i="37"/>
  <c r="Z29" i="37"/>
  <c r="H29" i="37"/>
  <c r="AB29" i="37" s="1"/>
  <c r="Q28" i="37"/>
  <c r="Z28" i="37"/>
  <c r="Q27" i="37"/>
  <c r="Z27" i="37" s="1"/>
  <c r="Q26" i="37"/>
  <c r="Z26" i="37"/>
  <c r="J26" i="37"/>
  <c r="AC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c r="J78" i="36" s="1"/>
  <c r="K78" i="36"/>
  <c r="L78" i="36" s="1"/>
  <c r="M78" i="36" s="1"/>
  <c r="B75" i="36"/>
  <c r="B73" i="36"/>
  <c r="J24" i="36" s="1"/>
  <c r="AC24" i="36"/>
  <c r="B71" i="36"/>
  <c r="D70" i="36"/>
  <c r="H22" i="36"/>
  <c r="AB22" i="36"/>
  <c r="D68" i="36"/>
  <c r="E68" i="36"/>
  <c r="F68" i="36" s="1"/>
  <c r="G68" i="36" s="1"/>
  <c r="D64" i="36"/>
  <c r="E64" i="36" s="1"/>
  <c r="F64" i="36" s="1"/>
  <c r="G64" i="36"/>
  <c r="J16" i="36"/>
  <c r="W16" i="36"/>
  <c r="D62" i="36"/>
  <c r="E62" i="36"/>
  <c r="F62" i="36" s="1"/>
  <c r="G62" i="36"/>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s="1"/>
  <c r="B99" i="35"/>
  <c r="F35" i="35" s="1"/>
  <c r="B97" i="35"/>
  <c r="B77" i="35"/>
  <c r="B75" i="35"/>
  <c r="J24" i="35"/>
  <c r="AC24" i="35" s="1"/>
  <c r="B73" i="35"/>
  <c r="B57" i="35"/>
  <c r="B61" i="35"/>
  <c r="J13" i="35" s="1"/>
  <c r="AC13" i="35" s="1"/>
  <c r="B59" i="35"/>
  <c r="J12" i="35" s="1"/>
  <c r="W12" i="35" s="1"/>
  <c r="B131" i="34"/>
  <c r="B129" i="34"/>
  <c r="B127" i="34"/>
  <c r="J45" i="34" s="1"/>
  <c r="W45" i="34" s="1"/>
  <c r="B99" i="34"/>
  <c r="B97" i="34"/>
  <c r="B95" i="34"/>
  <c r="B93" i="34"/>
  <c r="B75" i="34"/>
  <c r="B73" i="34"/>
  <c r="B71" i="34"/>
  <c r="B130" i="33"/>
  <c r="B128" i="33"/>
  <c r="B126" i="33"/>
  <c r="B98" i="33"/>
  <c r="B96" i="33"/>
  <c r="H30" i="33" s="1"/>
  <c r="AB30" i="33" s="1"/>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c r="K109" i="34" s="1"/>
  <c r="L109" i="34"/>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c r="K88" i="34" s="1"/>
  <c r="L88" i="34"/>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s="1"/>
  <c r="I69" i="33"/>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c r="D119" i="21"/>
  <c r="F40" i="21"/>
  <c r="D117" i="21"/>
  <c r="E117" i="21" s="1"/>
  <c r="F117" i="21" s="1"/>
  <c r="G117" i="21" s="1"/>
  <c r="D115" i="21"/>
  <c r="E115" i="21" s="1"/>
  <c r="F115" i="21"/>
  <c r="G115" i="21" s="1"/>
  <c r="H115" i="21" s="1"/>
  <c r="I115" i="21" s="1"/>
  <c r="J115" i="21" s="1"/>
  <c r="K115" i="21" s="1"/>
  <c r="L115" i="21"/>
  <c r="M115" i="21" s="1"/>
  <c r="D113" i="21"/>
  <c r="E113" i="21" s="1"/>
  <c r="F113" i="21" s="1"/>
  <c r="G113" i="21" s="1"/>
  <c r="H113" i="21" s="1"/>
  <c r="D110" i="21"/>
  <c r="E110" i="21"/>
  <c r="F110" i="21" s="1"/>
  <c r="G110" i="21" s="1"/>
  <c r="H110" i="21" s="1"/>
  <c r="I110" i="21" s="1"/>
  <c r="J110" i="21" s="1"/>
  <c r="K110" i="21"/>
  <c r="L110" i="21" s="1"/>
  <c r="M110" i="21" s="1"/>
  <c r="J36" i="21"/>
  <c r="AC36" i="21"/>
  <c r="D108" i="21"/>
  <c r="E108" i="21"/>
  <c r="F108" i="21" s="1"/>
  <c r="G108" i="21" s="1"/>
  <c r="H108" i="21" s="1"/>
  <c r="I108" i="21" s="1"/>
  <c r="J108" i="21" s="1"/>
  <c r="K108" i="21" s="1"/>
  <c r="L108" i="21" s="1"/>
  <c r="M108" i="21" s="1"/>
  <c r="D106" i="21"/>
  <c r="E106" i="21"/>
  <c r="F106" i="21" s="1"/>
  <c r="G106" i="21"/>
  <c r="H106" i="21" s="1"/>
  <c r="I106" i="21"/>
  <c r="J106" i="21" s="1"/>
  <c r="K106" i="21" s="1"/>
  <c r="L106" i="21" s="1"/>
  <c r="M106" i="21" s="1"/>
  <c r="D101" i="21"/>
  <c r="E101" i="21"/>
  <c r="F101" i="21" s="1"/>
  <c r="G101" i="21" s="1"/>
  <c r="H101" i="21" s="1"/>
  <c r="D89" i="21"/>
  <c r="E89" i="21" s="1"/>
  <c r="F89" i="2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H12" i="21" s="1"/>
  <c r="AB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s="1"/>
  <c r="H36" i="21"/>
  <c r="U36" i="21"/>
  <c r="F35" i="21"/>
  <c r="AA35" i="21" s="1"/>
  <c r="J10" i="21"/>
  <c r="AC10" i="21" s="1"/>
  <c r="H26" i="21"/>
  <c r="AB26" i="21"/>
  <c r="AB19" i="21"/>
  <c r="J19" i="21"/>
  <c r="W19" i="21"/>
  <c r="J12" i="21"/>
  <c r="AC12" i="21" s="1"/>
  <c r="J26" i="21"/>
  <c r="W26" i="21" s="1"/>
  <c r="F26" i="21"/>
  <c r="S26" i="21" s="1"/>
  <c r="AB41" i="21"/>
  <c r="S41" i="21"/>
  <c r="AA41" i="21"/>
  <c r="F45" i="39"/>
  <c r="S45" i="39"/>
  <c r="J45" i="39"/>
  <c r="W45" i="39" s="1"/>
  <c r="F36" i="39"/>
  <c r="H36" i="39"/>
  <c r="AB36" i="39"/>
  <c r="J35" i="39"/>
  <c r="F35" i="39"/>
  <c r="AA35" i="39"/>
  <c r="J36" i="39"/>
  <c r="U9" i="39"/>
  <c r="W40" i="39"/>
  <c r="U30"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c r="AC27" i="35"/>
  <c r="W28" i="35"/>
  <c r="U31" i="35"/>
  <c r="W34" i="35"/>
  <c r="S31" i="35"/>
  <c r="U34" i="35"/>
  <c r="F36" i="34"/>
  <c r="J35" i="34"/>
  <c r="U34" i="34"/>
  <c r="H39" i="33"/>
  <c r="AB39" i="33" s="1"/>
  <c r="U33" i="33"/>
  <c r="S40" i="33"/>
  <c r="W39" i="33"/>
  <c r="S27" i="35"/>
  <c r="F11" i="40"/>
  <c r="AA11" i="40" s="1"/>
  <c r="H11" i="40"/>
  <c r="AB11" i="40"/>
  <c r="W8" i="40"/>
  <c r="AC40" i="40"/>
  <c r="AA9" i="40"/>
  <c r="AC9" i="40"/>
  <c r="S34" i="40"/>
  <c r="U38" i="40"/>
  <c r="S40" i="40"/>
  <c r="U34" i="40"/>
  <c r="U40" i="40"/>
  <c r="F42" i="39"/>
  <c r="AA42" i="39" s="1"/>
  <c r="F41" i="39"/>
  <c r="S41" i="39" s="1"/>
  <c r="H40" i="39"/>
  <c r="AB40" i="39" s="1"/>
  <c r="H39" i="39"/>
  <c r="U39" i="39" s="1"/>
  <c r="S34" i="39"/>
  <c r="H34" i="39"/>
  <c r="U34" i="39" s="1"/>
  <c r="E108" i="39"/>
  <c r="AB31" i="39"/>
  <c r="F31" i="39"/>
  <c r="AA31"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S34" i="21"/>
  <c r="C25" i="39"/>
  <c r="C27" i="39"/>
  <c r="H11" i="39"/>
  <c r="S40" i="39"/>
  <c r="C15" i="39"/>
  <c r="H32" i="33"/>
  <c r="AB32" i="33"/>
  <c r="H11" i="21"/>
  <c r="U11" i="21" s="1"/>
  <c r="J11" i="21"/>
  <c r="W11" i="21" s="1"/>
  <c r="H37" i="40"/>
  <c r="U37" i="40"/>
  <c r="H36" i="40"/>
  <c r="AB36" i="40" s="1"/>
  <c r="F35" i="40"/>
  <c r="AA35" i="40"/>
  <c r="H23" i="40"/>
  <c r="U23" i="40" s="1"/>
  <c r="H17" i="40"/>
  <c r="U17" i="40"/>
  <c r="J15" i="40"/>
  <c r="W15" i="40" s="1"/>
  <c r="J11" i="40"/>
  <c r="W11" i="40"/>
  <c r="AB8" i="39"/>
  <c r="AB12" i="36"/>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J20" i="35"/>
  <c r="W20" i="35"/>
  <c r="F35" i="37"/>
  <c r="S35" i="37" s="1"/>
  <c r="E101" i="37"/>
  <c r="F101" i="37"/>
  <c r="G101" i="37"/>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5" i="34"/>
  <c r="S25" i="34" s="1"/>
  <c r="H23" i="34"/>
  <c r="U23" i="34"/>
  <c r="J23" i="34"/>
  <c r="F19" i="34"/>
  <c r="H17" i="34"/>
  <c r="U17" i="34"/>
  <c r="F15" i="34"/>
  <c r="J15" i="34"/>
  <c r="H15" i="34"/>
  <c r="AB15" i="34"/>
  <c r="W8" i="34"/>
  <c r="J28" i="34"/>
  <c r="W28" i="34" s="1"/>
  <c r="F41" i="33"/>
  <c r="S41" i="33" s="1"/>
  <c r="S38"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AC11" i="40"/>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AB17" i="34"/>
  <c r="AA15" i="34"/>
  <c r="S15" i="34"/>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c r="J10" i="35"/>
  <c r="AC10" i="35" s="1"/>
  <c r="F14" i="21"/>
  <c r="S14" i="21" s="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c r="I119" i="21" s="1"/>
  <c r="J119" i="21" s="1"/>
  <c r="K119" i="21" s="1"/>
  <c r="L119" i="21" s="1"/>
  <c r="M119" i="21"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AC29" i="33" s="1"/>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c r="J89" i="37" s="1"/>
  <c r="K89" i="37" s="1"/>
  <c r="L89" i="37" s="1"/>
  <c r="M89" i="37" s="1"/>
  <c r="J29" i="37"/>
  <c r="W29" i="37" s="1"/>
  <c r="F29" i="37"/>
  <c r="S29" i="37"/>
  <c r="F105" i="37"/>
  <c r="H36" i="37"/>
  <c r="AB36" i="37" s="1"/>
  <c r="F107" i="37"/>
  <c r="G107" i="37" s="1"/>
  <c r="H107" i="37" s="1"/>
  <c r="I107" i="37" s="1"/>
  <c r="J107" i="37" s="1"/>
  <c r="K107" i="37" s="1"/>
  <c r="L107" i="37" s="1"/>
  <c r="M107" i="37" s="1"/>
  <c r="J37" i="37"/>
  <c r="AC37" i="37" s="1"/>
  <c r="H37" i="37"/>
  <c r="U37" i="37"/>
  <c r="H40" i="37"/>
  <c r="U40" i="37" s="1"/>
  <c r="J40" i="37"/>
  <c r="AC40" i="37"/>
  <c r="F40" i="37"/>
  <c r="AA40" i="37" s="1"/>
  <c r="AC12" i="40"/>
  <c r="W12" i="40"/>
  <c r="H14" i="33"/>
  <c r="U14" i="33" s="1"/>
  <c r="F14" i="33"/>
  <c r="S14" i="33"/>
  <c r="J14" i="33"/>
  <c r="H44" i="33"/>
  <c r="J44" i="33"/>
  <c r="AC44" i="33"/>
  <c r="F44" i="33"/>
  <c r="S44" i="33" s="1"/>
  <c r="H13" i="34"/>
  <c r="U13" i="34" s="1"/>
  <c r="J13" i="34"/>
  <c r="W13" i="34"/>
  <c r="F13" i="34"/>
  <c r="AA13" i="34" s="1"/>
  <c r="H29" i="34"/>
  <c r="AB29" i="34" s="1"/>
  <c r="J31" i="34"/>
  <c r="AC31" i="34"/>
  <c r="H31" i="34"/>
  <c r="F31" i="34"/>
  <c r="S31" i="34"/>
  <c r="F45" i="34"/>
  <c r="S45" i="34" s="1"/>
  <c r="H47" i="34"/>
  <c r="U47" i="34"/>
  <c r="F47" i="34"/>
  <c r="S47" i="34" s="1"/>
  <c r="J47" i="34"/>
  <c r="AC47" i="34"/>
  <c r="H13" i="35"/>
  <c r="U13" i="35" s="1"/>
  <c r="J25" i="35"/>
  <c r="W25" i="35"/>
  <c r="F25" i="35"/>
  <c r="S25" i="35" s="1"/>
  <c r="H25" i="35"/>
  <c r="AB25" i="35"/>
  <c r="J35" i="35"/>
  <c r="AC35" i="35" s="1"/>
  <c r="AA35" i="35"/>
  <c r="H35" i="35"/>
  <c r="AB35" i="35" s="1"/>
  <c r="J25" i="36"/>
  <c r="W25" i="36"/>
  <c r="F25" i="36"/>
  <c r="S25" i="36" s="1"/>
  <c r="H25" i="36"/>
  <c r="AB25" i="36"/>
  <c r="H13" i="37"/>
  <c r="AB13" i="37" s="1"/>
  <c r="F13" i="37"/>
  <c r="S13" i="37" s="1"/>
  <c r="J13" i="37"/>
  <c r="W13" i="37" s="1"/>
  <c r="F28" i="37"/>
  <c r="AA28" i="37" s="1"/>
  <c r="J28" i="37"/>
  <c r="AC28" i="37"/>
  <c r="H28" i="37"/>
  <c r="U28" i="37" s="1"/>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s="1"/>
  <c r="J35" i="40"/>
  <c r="AC35" i="40" s="1"/>
  <c r="J37" i="40"/>
  <c r="AC37" i="40" s="1"/>
  <c r="H13" i="40"/>
  <c r="U13" i="40" s="1"/>
  <c r="J13" i="40"/>
  <c r="W13" i="40"/>
  <c r="F13" i="40"/>
  <c r="AA13" i="40" s="1"/>
  <c r="F14" i="37"/>
  <c r="S14" i="37"/>
  <c r="F27" i="37"/>
  <c r="AA27" i="37" s="1"/>
  <c r="F13" i="39"/>
  <c r="J13" i="39"/>
  <c r="W13" i="39" s="1"/>
  <c r="H13" i="39"/>
  <c r="AB14" i="40"/>
  <c r="J14" i="40"/>
  <c r="W14" i="40" s="1"/>
  <c r="J14" i="37"/>
  <c r="AC14" i="37" s="1"/>
  <c r="J27" i="37"/>
  <c r="AC27" i="37"/>
  <c r="AA14" i="33"/>
  <c r="J36" i="37"/>
  <c r="AC36" i="37" s="1"/>
  <c r="G105" i="37"/>
  <c r="J10" i="36"/>
  <c r="AC10" i="36" s="1"/>
  <c r="AB30" i="21"/>
  <c r="AA14" i="37"/>
  <c r="W31" i="34"/>
  <c r="S11" i="36"/>
  <c r="AB46" i="34"/>
  <c r="AA14" i="34"/>
  <c r="S45" i="33"/>
  <c r="AB45" i="33"/>
  <c r="W29" i="33"/>
  <c r="S44" i="34"/>
  <c r="BA585" i="3"/>
  <c r="F17" i="21"/>
  <c r="AA17" i="21" s="1"/>
  <c r="H17" i="21"/>
  <c r="AB17" i="21"/>
  <c r="F15" i="21"/>
  <c r="S15" i="21" s="1"/>
  <c r="J41" i="39"/>
  <c r="W41" i="39" s="1"/>
  <c r="AC4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AZ560" i="3" s="1"/>
  <c r="BL554" i="3"/>
  <c r="BL546" i="3"/>
  <c r="BL542" i="3"/>
  <c r="BL538" i="3"/>
  <c r="BL534" i="3"/>
  <c r="BL530" i="3"/>
  <c r="BL526" i="3"/>
  <c r="AZ526" i="3" s="1"/>
  <c r="BL522" i="3"/>
  <c r="AZ522" i="3" s="1"/>
  <c r="BL516" i="3"/>
  <c r="BL512" i="3"/>
  <c r="BL506" i="3"/>
  <c r="AZ506" i="3" s="1"/>
  <c r="BL502" i="3"/>
  <c r="BL498" i="3"/>
  <c r="BL494" i="3"/>
  <c r="BL582" i="3"/>
  <c r="BL578" i="3"/>
  <c r="BL574" i="3"/>
  <c r="BL570" i="3"/>
  <c r="BL566" i="3"/>
  <c r="BL562" i="3"/>
  <c r="BL556" i="3"/>
  <c r="BL544" i="3"/>
  <c r="BL540" i="3"/>
  <c r="BL536" i="3"/>
  <c r="G533" i="3"/>
  <c r="BL532" i="3"/>
  <c r="G529" i="3"/>
  <c r="BL528" i="3"/>
  <c r="G525" i="3"/>
  <c r="BL524" i="3"/>
  <c r="BL518" i="3"/>
  <c r="BL514" i="3"/>
  <c r="BL510" i="3"/>
  <c r="BL504" i="3"/>
  <c r="BL500" i="3"/>
  <c r="AZ500" i="3" s="1"/>
  <c r="BL496" i="3"/>
  <c r="G493" i="3"/>
  <c r="BA584" i="3"/>
  <c r="BA582" i="3"/>
  <c r="AZ582" i="3" s="1"/>
  <c r="AZ580" i="3"/>
  <c r="BA578" i="3"/>
  <c r="BA574" i="3"/>
  <c r="AZ574" i="3" s="1"/>
  <c r="BA572" i="3"/>
  <c r="AZ572" i="3"/>
  <c r="BA570" i="3"/>
  <c r="AZ570" i="3" s="1"/>
  <c r="BA568" i="3"/>
  <c r="AZ568" i="3"/>
  <c r="BA566" i="3"/>
  <c r="BA564" i="3"/>
  <c r="AZ564" i="3"/>
  <c r="BA562" i="3"/>
  <c r="AZ562" i="3" s="1"/>
  <c r="BA558" i="3"/>
  <c r="AZ558" i="3" s="1"/>
  <c r="BA556" i="3"/>
  <c r="AZ556" i="3" s="1"/>
  <c r="BA554" i="3"/>
  <c r="AZ554" i="3" s="1"/>
  <c r="BA552" i="3"/>
  <c r="AZ552" i="3" s="1"/>
  <c r="BA548" i="3"/>
  <c r="AZ548" i="3" s="1"/>
  <c r="BA546" i="3"/>
  <c r="BA544" i="3"/>
  <c r="AZ544" i="3" s="1"/>
  <c r="BA542" i="3"/>
  <c r="AZ542" i="3"/>
  <c r="BA540" i="3"/>
  <c r="AZ540" i="3" s="1"/>
  <c r="BA538" i="3"/>
  <c r="AZ538" i="3" s="1"/>
  <c r="BA536" i="3"/>
  <c r="AZ536" i="3" s="1"/>
  <c r="BA534" i="3"/>
  <c r="AZ534" i="3" s="1"/>
  <c r="BA532" i="3"/>
  <c r="AZ532" i="3" s="1"/>
  <c r="BA530" i="3"/>
  <c r="AZ530" i="3" s="1"/>
  <c r="BA528" i="3"/>
  <c r="AZ528" i="3" s="1"/>
  <c r="BA526" i="3"/>
  <c r="BA524" i="3"/>
  <c r="AZ524" i="3" s="1"/>
  <c r="BA522" i="3"/>
  <c r="BA520" i="3"/>
  <c r="AZ520" i="3" s="1"/>
  <c r="BA518" i="3"/>
  <c r="BA516" i="3"/>
  <c r="AZ516" i="3"/>
  <c r="BA514" i="3"/>
  <c r="BA512" i="3"/>
  <c r="AZ512" i="3" s="1"/>
  <c r="BA510" i="3"/>
  <c r="AZ510" i="3"/>
  <c r="BA508" i="3"/>
  <c r="BA506" i="3"/>
  <c r="BA504" i="3"/>
  <c r="AZ504" i="3"/>
  <c r="BA502" i="3"/>
  <c r="BA500" i="3"/>
  <c r="BA498" i="3"/>
  <c r="AZ498" i="3"/>
  <c r="BA496" i="3"/>
  <c r="BA494" i="3"/>
  <c r="BA587" i="3"/>
  <c r="BA583" i="3"/>
  <c r="BA579" i="3"/>
  <c r="BA577" i="3"/>
  <c r="BA573" i="3"/>
  <c r="BA571" i="3"/>
  <c r="BA569" i="3"/>
  <c r="BA567" i="3"/>
  <c r="BA565" i="3"/>
  <c r="BA563" i="3"/>
  <c r="BA561" i="3"/>
  <c r="BA555" i="3"/>
  <c r="AZ555" i="3" s="1"/>
  <c r="BA553" i="3"/>
  <c r="AZ553" i="3" s="1"/>
  <c r="BA549" i="3"/>
  <c r="BA547" i="3"/>
  <c r="BA545" i="3"/>
  <c r="AZ545" i="3" s="1"/>
  <c r="BA543" i="3"/>
  <c r="AZ543" i="3" s="1"/>
  <c r="BA541" i="3"/>
  <c r="BA539" i="3"/>
  <c r="BA537" i="3"/>
  <c r="AZ537" i="3" s="1"/>
  <c r="BA535" i="3"/>
  <c r="AZ535" i="3" s="1"/>
  <c r="BA533" i="3"/>
  <c r="BA531" i="3"/>
  <c r="BA529" i="3"/>
  <c r="AZ529" i="3" s="1"/>
  <c r="BA527" i="3"/>
  <c r="AZ527" i="3" s="1"/>
  <c r="BA525" i="3"/>
  <c r="BA523" i="3"/>
  <c r="BA519" i="3"/>
  <c r="AZ519" i="3" s="1"/>
  <c r="BA517" i="3"/>
  <c r="BA515" i="3"/>
  <c r="BA513" i="3"/>
  <c r="BA511" i="3"/>
  <c r="AZ511" i="3" s="1"/>
  <c r="BA507" i="3"/>
  <c r="AZ507" i="3" s="1"/>
  <c r="BA505" i="3"/>
  <c r="BA503" i="3"/>
  <c r="BA501" i="3"/>
  <c r="AZ501" i="3" s="1"/>
  <c r="BA499" i="3"/>
  <c r="BA497" i="3"/>
  <c r="BA495" i="3"/>
  <c r="BA493" i="3"/>
  <c r="G583" i="3"/>
  <c r="G581" i="3"/>
  <c r="G579" i="3"/>
  <c r="G577" i="3"/>
  <c r="G575" i="3"/>
  <c r="G573" i="3"/>
  <c r="G571" i="3"/>
  <c r="G569" i="3"/>
  <c r="G567" i="3"/>
  <c r="G565" i="3"/>
  <c r="G563" i="3"/>
  <c r="G561" i="3"/>
  <c r="BL558" i="3"/>
  <c r="AZ557" i="3"/>
  <c r="AC557" i="3"/>
  <c r="G557" i="3" s="1"/>
  <c r="BQ557" i="3"/>
  <c r="BL557" i="3"/>
  <c r="BQ583" i="3"/>
  <c r="BL583" i="3" s="1"/>
  <c r="BQ581" i="3"/>
  <c r="BL581" i="3" s="1"/>
  <c r="AZ581" i="3" s="1"/>
  <c r="BQ579" i="3"/>
  <c r="AZ579" i="3"/>
  <c r="BQ577" i="3"/>
  <c r="BL577" i="3" s="1"/>
  <c r="BQ575" i="3"/>
  <c r="BL575" i="3" s="1"/>
  <c r="BQ573" i="3"/>
  <c r="BL573" i="3"/>
  <c r="AZ573" i="3" s="1"/>
  <c r="BQ571" i="3"/>
  <c r="BL571" i="3" s="1"/>
  <c r="AZ571" i="3"/>
  <c r="BQ569" i="3"/>
  <c r="BL569" i="3" s="1"/>
  <c r="BQ567" i="3"/>
  <c r="BL567" i="3" s="1"/>
  <c r="AZ567" i="3" s="1"/>
  <c r="BQ565" i="3"/>
  <c r="BL565" i="3"/>
  <c r="AZ565" i="3" s="1"/>
  <c r="BQ563" i="3"/>
  <c r="BL563" i="3" s="1"/>
  <c r="BQ561" i="3"/>
  <c r="BL561" i="3"/>
  <c r="AZ561" i="3" s="1"/>
  <c r="BQ559" i="3"/>
  <c r="BL559" i="3"/>
  <c r="AZ559" i="3"/>
  <c r="G559" i="3"/>
  <c r="G555" i="3"/>
  <c r="G553" i="3"/>
  <c r="G549" i="3"/>
  <c r="G547" i="3"/>
  <c r="G545" i="3"/>
  <c r="G543" i="3"/>
  <c r="G541" i="3"/>
  <c r="G539" i="3"/>
  <c r="G537" i="3"/>
  <c r="BQ555" i="3"/>
  <c r="BL555" i="3"/>
  <c r="BQ553" i="3"/>
  <c r="BL553" i="3"/>
  <c r="BQ551" i="3"/>
  <c r="BQ549" i="3"/>
  <c r="BL549" i="3" s="1"/>
  <c r="AZ549" i="3" s="1"/>
  <c r="BQ547" i="3"/>
  <c r="BL547" i="3" s="1"/>
  <c r="AZ547" i="3" s="1"/>
  <c r="BQ545" i="3"/>
  <c r="BL545" i="3"/>
  <c r="BQ543" i="3"/>
  <c r="BL543" i="3"/>
  <c r="BQ541" i="3"/>
  <c r="BL541" i="3" s="1"/>
  <c r="AZ541" i="3"/>
  <c r="BQ539" i="3"/>
  <c r="BL539" i="3" s="1"/>
  <c r="AZ539" i="3" s="1"/>
  <c r="BQ537" i="3"/>
  <c r="BL537" i="3"/>
  <c r="BQ535" i="3"/>
  <c r="BL535" i="3"/>
  <c r="BQ533" i="3"/>
  <c r="BL533" i="3" s="1"/>
  <c r="AZ533" i="3"/>
  <c r="BQ531" i="3"/>
  <c r="BL531" i="3" s="1"/>
  <c r="AZ531" i="3" s="1"/>
  <c r="BQ529" i="3"/>
  <c r="BL529" i="3"/>
  <c r="BQ527" i="3"/>
  <c r="BL527" i="3"/>
  <c r="BQ525" i="3"/>
  <c r="BL525" i="3" s="1"/>
  <c r="AZ525" i="3"/>
  <c r="BQ523" i="3"/>
  <c r="BL523" i="3" s="1"/>
  <c r="AZ523" i="3" s="1"/>
  <c r="BA521" i="3"/>
  <c r="AC521" i="3"/>
  <c r="G521" i="3" s="1"/>
  <c r="BQ521" i="3"/>
  <c r="BL521" i="3" s="1"/>
  <c r="AZ521" i="3" s="1"/>
  <c r="BL520" i="3"/>
  <c r="G519" i="3"/>
  <c r="G517" i="3"/>
  <c r="G515" i="3"/>
  <c r="G513" i="3"/>
  <c r="G511" i="3"/>
  <c r="BQ519" i="3"/>
  <c r="BL519" i="3" s="1"/>
  <c r="BQ517" i="3"/>
  <c r="BL517" i="3"/>
  <c r="BQ515" i="3"/>
  <c r="BL515" i="3"/>
  <c r="AZ515" i="3" s="1"/>
  <c r="BQ513" i="3"/>
  <c r="BL513" i="3" s="1"/>
  <c r="AZ513" i="3"/>
  <c r="BQ511" i="3"/>
  <c r="BL511" i="3" s="1"/>
  <c r="BA509" i="3"/>
  <c r="AC509" i="3"/>
  <c r="G509" i="3" s="1"/>
  <c r="BQ509" i="3"/>
  <c r="BL509" i="3" s="1"/>
  <c r="AZ509" i="3" s="1"/>
  <c r="BL508" i="3"/>
  <c r="AZ508" i="3" s="1"/>
  <c r="G507" i="3"/>
  <c r="G505" i="3"/>
  <c r="G503" i="3"/>
  <c r="G501" i="3"/>
  <c r="G499" i="3"/>
  <c r="G497" i="3"/>
  <c r="G495" i="3"/>
  <c r="BQ507" i="3"/>
  <c r="BL507" i="3" s="1"/>
  <c r="BQ505" i="3"/>
  <c r="BL505" i="3"/>
  <c r="AZ505" i="3" s="1"/>
  <c r="BQ503" i="3"/>
  <c r="BL503" i="3"/>
  <c r="AZ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s="1"/>
  <c r="E125" i="33"/>
  <c r="F125" i="33"/>
  <c r="H43" i="33"/>
  <c r="AB43" i="33" s="1"/>
  <c r="H17" i="37"/>
  <c r="U17" i="37"/>
  <c r="AB27" i="37"/>
  <c r="U32" i="33"/>
  <c r="F39" i="33"/>
  <c r="AA39" i="33"/>
  <c r="E123" i="33"/>
  <c r="F42" i="33"/>
  <c r="AA42" i="33"/>
  <c r="H28" i="34"/>
  <c r="AB28" i="34" s="1"/>
  <c r="F14" i="36"/>
  <c r="AA14" i="36"/>
  <c r="F22" i="36"/>
  <c r="S22" i="36" s="1"/>
  <c r="F26" i="36"/>
  <c r="S26" i="36"/>
  <c r="H27" i="34"/>
  <c r="AB27" i="34" s="1"/>
  <c r="H35" i="34"/>
  <c r="U35" i="34"/>
  <c r="F41" i="34"/>
  <c r="H41" i="34"/>
  <c r="U41" i="34"/>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s="1"/>
  <c r="G125" i="33"/>
  <c r="J43" i="33"/>
  <c r="AC43" i="33" s="1"/>
  <c r="U43" i="33"/>
  <c r="S28" i="31"/>
  <c r="S27" i="31"/>
  <c r="S26" i="31"/>
  <c r="U14" i="40"/>
  <c r="U35" i="35"/>
  <c r="AA12" i="35"/>
  <c r="W14" i="37"/>
  <c r="AB28" i="37"/>
  <c r="W26" i="37"/>
  <c r="W47" i="34"/>
  <c r="AC36" i="34"/>
  <c r="AA13" i="33"/>
  <c r="AC31" i="33"/>
  <c r="W44" i="33"/>
  <c r="U11" i="33"/>
  <c r="U19" i="21"/>
  <c r="W44" i="21"/>
  <c r="U26" i="21"/>
  <c r="AC46" i="21"/>
  <c r="U12" i="21"/>
  <c r="AB38" i="21"/>
  <c r="F43" i="33"/>
  <c r="AA43" i="33"/>
  <c r="W15" i="34"/>
  <c r="AC15" i="34"/>
  <c r="W16" i="35"/>
  <c r="W40" i="37"/>
  <c r="H37" i="21"/>
  <c r="U37" i="21" s="1"/>
  <c r="S42" i="21"/>
  <c r="H19" i="34"/>
  <c r="AB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AA11" i="39" s="1"/>
  <c r="S11" i="39"/>
  <c r="G4" i="4"/>
  <c r="I4" i="4"/>
  <c r="A2" i="9"/>
  <c r="F61" i="43"/>
  <c r="H64" i="43" s="1"/>
  <c r="AZ20" i="3"/>
  <c r="AZ24" i="3"/>
  <c r="AZ28" i="3"/>
  <c r="AZ32" i="3"/>
  <c r="AZ497" i="3"/>
  <c r="AZ494" i="3"/>
  <c r="AZ502" i="3"/>
  <c r="AZ514"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AZ124" i="3" s="1"/>
  <c r="G125" i="3"/>
  <c r="BA127" i="3"/>
  <c r="BL128" i="3"/>
  <c r="G129" i="3"/>
  <c r="BA131" i="3"/>
  <c r="AZ131" i="3"/>
  <c r="BL132" i="3"/>
  <c r="AZ132" i="3" s="1"/>
  <c r="G133" i="3"/>
  <c r="BA135" i="3"/>
  <c r="AZ135" i="3" s="1"/>
  <c r="BL136" i="3"/>
  <c r="G137" i="3"/>
  <c r="BA139" i="3"/>
  <c r="AZ139" i="3" s="1"/>
  <c r="BL140" i="3"/>
  <c r="AZ140" i="3"/>
  <c r="G141" i="3"/>
  <c r="BA143" i="3"/>
  <c r="BL144" i="3"/>
  <c r="AZ144" i="3" s="1"/>
  <c r="G145" i="3"/>
  <c r="BA147" i="3"/>
  <c r="AZ147" i="3" s="1"/>
  <c r="BL148" i="3"/>
  <c r="AZ148" i="3"/>
  <c r="G149" i="3"/>
  <c r="BA151" i="3"/>
  <c r="AZ151" i="3"/>
  <c r="BL152" i="3"/>
  <c r="AZ152" i="3" s="1"/>
  <c r="G153" i="3"/>
  <c r="BA155" i="3"/>
  <c r="AZ155" i="3"/>
  <c r="BL156" i="3"/>
  <c r="G157" i="3"/>
  <c r="BA159" i="3"/>
  <c r="AZ159" i="3"/>
  <c r="BL160" i="3"/>
  <c r="G161" i="3"/>
  <c r="BA163" i="3"/>
  <c r="BL164" i="3"/>
  <c r="G165" i="3"/>
  <c r="BA167" i="3"/>
  <c r="AZ167" i="3" s="1"/>
  <c r="BL168" i="3"/>
  <c r="G169" i="3"/>
  <c r="BA171" i="3"/>
  <c r="BL172" i="3"/>
  <c r="AZ172" i="3"/>
  <c r="G173" i="3"/>
  <c r="BA175" i="3"/>
  <c r="AZ175" i="3" s="1"/>
  <c r="BL176" i="3"/>
  <c r="G177" i="3"/>
  <c r="BA179" i="3"/>
  <c r="AZ179" i="3" s="1"/>
  <c r="BL180" i="3"/>
  <c r="AZ180" i="3"/>
  <c r="G181" i="3"/>
  <c r="BA183" i="3"/>
  <c r="BL184" i="3"/>
  <c r="AZ184" i="3" s="1"/>
  <c r="G185" i="3"/>
  <c r="BA187" i="3"/>
  <c r="AZ187" i="3"/>
  <c r="BL188" i="3"/>
  <c r="AZ188" i="3" s="1"/>
  <c r="G189" i="3"/>
  <c r="BA191" i="3"/>
  <c r="AZ191" i="3"/>
  <c r="BL192" i="3"/>
  <c r="G193" i="3"/>
  <c r="BA195" i="3"/>
  <c r="AZ195" i="3"/>
  <c r="BL196" i="3"/>
  <c r="AZ196" i="3" s="1"/>
  <c r="G197" i="3"/>
  <c r="BA199" i="3"/>
  <c r="AZ199" i="3" s="1"/>
  <c r="BL200" i="3"/>
  <c r="G201" i="3"/>
  <c r="BA203" i="3"/>
  <c r="AZ203" i="3" s="1"/>
  <c r="BL204" i="3"/>
  <c r="AZ204" i="3"/>
  <c r="AZ39" i="3"/>
  <c r="AZ43" i="3"/>
  <c r="AZ47" i="3"/>
  <c r="AZ55" i="3"/>
  <c r="AZ63" i="3"/>
  <c r="AZ75" i="3"/>
  <c r="AZ79" i="3"/>
  <c r="AZ83" i="3"/>
  <c r="AZ160"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AZ342" i="3" s="1"/>
  <c r="BL342" i="3"/>
  <c r="BA344" i="3"/>
  <c r="BL344" i="3"/>
  <c r="AZ344" i="3"/>
  <c r="BA346" i="3"/>
  <c r="AZ346" i="3" s="1"/>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42" i="3"/>
  <c r="AZ146" i="3"/>
  <c r="AZ154" i="3"/>
  <c r="AZ158" i="3"/>
  <c r="AZ178" i="3"/>
  <c r="AZ182" i="3"/>
  <c r="AZ190" i="3"/>
  <c r="AZ194" i="3"/>
  <c r="AZ198" i="3"/>
  <c r="AZ202" i="3"/>
  <c r="AZ206" i="3"/>
  <c r="BA16" i="3"/>
  <c r="AZ16" i="3"/>
  <c r="BL303" i="3"/>
  <c r="AZ303" i="3" s="1"/>
  <c r="G304" i="3"/>
  <c r="BA306" i="3"/>
  <c r="AZ306" i="3"/>
  <c r="BL307" i="3"/>
  <c r="AZ307" i="3" s="1"/>
  <c r="G308" i="3"/>
  <c r="BA310" i="3"/>
  <c r="AZ310" i="3" s="1"/>
  <c r="BL311" i="3"/>
  <c r="AZ311" i="3"/>
  <c r="G312" i="3"/>
  <c r="BA314" i="3"/>
  <c r="AZ314" i="3" s="1"/>
  <c r="BL315" i="3"/>
  <c r="G316" i="3"/>
  <c r="BA318" i="3"/>
  <c r="AZ318" i="3"/>
  <c r="BL319" i="3"/>
  <c r="AZ319" i="3" s="1"/>
  <c r="G320" i="3"/>
  <c r="BA322" i="3"/>
  <c r="AZ322" i="3"/>
  <c r="BL323" i="3"/>
  <c r="AZ323" i="3" s="1"/>
  <c r="G324" i="3"/>
  <c r="BA326" i="3"/>
  <c r="AZ326" i="3"/>
  <c r="BL327" i="3"/>
  <c r="G328" i="3"/>
  <c r="BA330" i="3"/>
  <c r="AZ330" i="3" s="1"/>
  <c r="BL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s="1"/>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17" i="3"/>
  <c r="AZ325" i="3"/>
  <c r="AZ333" i="3"/>
  <c r="BQ5" i="3"/>
  <c r="F28" i="6" s="1"/>
  <c r="AC5" i="3"/>
  <c r="AZ496" i="3"/>
  <c r="G548" i="3"/>
  <c r="G538" i="3"/>
  <c r="G520" i="3"/>
  <c r="G502" i="3"/>
  <c r="BS5" i="3"/>
  <c r="BP5" i="3"/>
  <c r="BN5" i="3"/>
  <c r="AZ343" i="3"/>
  <c r="BK5" i="3"/>
  <c r="BI5" i="3"/>
  <c r="BG5" i="3"/>
  <c r="BE5" i="3"/>
  <c r="BC5" i="3"/>
  <c r="G17" i="3"/>
  <c r="BA17" i="3"/>
  <c r="BT5" i="3"/>
  <c r="AZ360" i="3"/>
  <c r="AZ364" i="3"/>
  <c r="AZ368" i="3"/>
  <c r="BA15" i="3"/>
  <c r="AZ15" i="3"/>
  <c r="BB5" i="3"/>
  <c r="BR5" i="3"/>
  <c r="AZ384" i="3"/>
  <c r="AZ388" i="3"/>
  <c r="AZ392" i="3"/>
  <c r="AZ396" i="3"/>
  <c r="AZ394" i="3"/>
  <c r="BL493" i="3"/>
  <c r="AZ491" i="3"/>
  <c r="AZ382" i="3"/>
  <c r="AZ493" i="3"/>
  <c r="U36" i="40"/>
  <c r="F83" i="43"/>
  <c r="H85" i="43" s="1"/>
  <c r="F50" i="43"/>
  <c r="H54" i="43" s="1"/>
  <c r="G54" i="43" s="1"/>
  <c r="F72" i="43"/>
  <c r="H75" i="43" s="1"/>
  <c r="U17" i="39"/>
  <c r="S14" i="35"/>
  <c r="U43" i="21"/>
  <c r="U35" i="21"/>
  <c r="AC35" i="21"/>
  <c r="G10"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AA33" i="34" s="1"/>
  <c r="S33" i="34"/>
  <c r="W12" i="36"/>
  <c r="AC12" i="36"/>
  <c r="H20" i="36"/>
  <c r="AB20" i="36" s="1"/>
  <c r="U20" i="36"/>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9" i="36"/>
  <c r="U29" i="36"/>
  <c r="H32" i="37"/>
  <c r="AB32" i="37" s="1"/>
  <c r="F96" i="37"/>
  <c r="H27" i="40"/>
  <c r="U27" i="40" s="1"/>
  <c r="J27" i="40"/>
  <c r="AC27" i="40"/>
  <c r="F27" i="40"/>
  <c r="S27" i="40" s="1"/>
  <c r="J30" i="40"/>
  <c r="AC30" i="40"/>
  <c r="F30" i="40"/>
  <c r="AA30" i="40" s="1"/>
  <c r="S31" i="39"/>
  <c r="S11" i="40"/>
  <c r="E98" i="40"/>
  <c r="F98" i="40" s="1"/>
  <c r="G98" i="40" s="1"/>
  <c r="H98" i="40" s="1"/>
  <c r="I98" i="40" s="1"/>
  <c r="J98" i="40" s="1"/>
  <c r="K98" i="40" s="1"/>
  <c r="L98" i="40" s="1"/>
  <c r="M98" i="40" s="1"/>
  <c r="F10" i="33"/>
  <c r="S10" i="33" s="1"/>
  <c r="F34" i="33"/>
  <c r="S34" i="33"/>
  <c r="H34" i="33"/>
  <c r="U34" i="33" s="1"/>
  <c r="F35" i="33"/>
  <c r="AA35" i="33" s="1"/>
  <c r="S35" i="33"/>
  <c r="F39" i="34"/>
  <c r="S39" i="34" s="1"/>
  <c r="J39" i="34"/>
  <c r="AC39" i="34" s="1"/>
  <c r="W39" i="34"/>
  <c r="F40" i="34"/>
  <c r="S40" i="34" s="1"/>
  <c r="F43" i="34"/>
  <c r="S43" i="34" s="1"/>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S20" i="36" s="1"/>
  <c r="AA20" i="36"/>
  <c r="J33" i="34"/>
  <c r="AC33" i="34" s="1"/>
  <c r="H23" i="39"/>
  <c r="U23" i="39" s="1"/>
  <c r="D48" i="9"/>
  <c r="M52" i="9" s="1"/>
  <c r="K9" i="1"/>
  <c r="M9" i="1" s="1"/>
  <c r="D93" i="9"/>
  <c r="K6" i="1"/>
  <c r="AP6" i="1" s="1"/>
  <c r="G29" i="6"/>
  <c r="AB34" i="36"/>
  <c r="U34" i="36"/>
  <c r="AB33" i="36"/>
  <c r="U33" i="36"/>
  <c r="AC12" i="39"/>
  <c r="W12" i="39"/>
  <c r="AZ401" i="3"/>
  <c r="AZ412" i="3"/>
  <c r="AZ417" i="3"/>
  <c r="AZ428" i="3"/>
  <c r="AZ433" i="3"/>
  <c r="AA32" i="36"/>
  <c r="S32" i="36"/>
  <c r="AZ408" i="3"/>
  <c r="AZ437" i="3"/>
  <c r="AZ441" i="3"/>
  <c r="AZ457" i="3"/>
  <c r="AZ473" i="3"/>
  <c r="AA39" i="34"/>
  <c r="BL14" i="3"/>
  <c r="AZ266" i="3"/>
  <c r="U30" i="33"/>
  <c r="AC13" i="34"/>
  <c r="AA47" i="34"/>
  <c r="W28" i="37"/>
  <c r="S19" i="39"/>
  <c r="F12" i="33"/>
  <c r="H12" i="39"/>
  <c r="AB12" i="39"/>
  <c r="F39" i="40"/>
  <c r="AA39" i="40" s="1"/>
  <c r="BA14" i="3"/>
  <c r="AZ14" i="3" s="1"/>
  <c r="AZ367" i="3"/>
  <c r="AZ213" i="3"/>
  <c r="AZ224" i="3"/>
  <c r="AZ234" i="3"/>
  <c r="AZ238" i="3"/>
  <c r="AZ250" i="3"/>
  <c r="AZ254" i="3"/>
  <c r="AZ281" i="3"/>
  <c r="AZ286" i="3"/>
  <c r="AZ297" i="3"/>
  <c r="AZ173" i="3"/>
  <c r="AZ189" i="3"/>
  <c r="AZ197" i="3"/>
  <c r="AZ19" i="3"/>
  <c r="AZ26" i="3"/>
  <c r="AZ35" i="3"/>
  <c r="AZ41" i="3"/>
  <c r="B12" i="1"/>
  <c r="E12" i="1" s="1"/>
  <c r="B10" i="1"/>
  <c r="AZ80" i="3"/>
  <c r="AZ84" i="3"/>
  <c r="AZ88" i="3"/>
  <c r="AZ107" i="3"/>
  <c r="AZ111" i="3"/>
  <c r="K12" i="1"/>
  <c r="M12" i="1" s="1"/>
  <c r="S13" i="1"/>
  <c r="AR13" i="1" s="1"/>
  <c r="R13" i="1"/>
  <c r="J51" i="67"/>
  <c r="AC34" i="33"/>
  <c r="AA34" i="33"/>
  <c r="B41" i="1"/>
  <c r="AB37" i="40"/>
  <c r="S35" i="40"/>
  <c r="U35" i="40"/>
  <c r="AC36" i="40"/>
  <c r="AA32" i="40"/>
  <c r="S17" i="40"/>
  <c r="S23" i="40"/>
  <c r="AC17" i="40"/>
  <c r="AC15"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S30" i="37"/>
  <c r="S37" i="37"/>
  <c r="AC15" i="37"/>
  <c r="J17" i="37"/>
  <c r="W17" i="37" s="1"/>
  <c r="G73" i="37"/>
  <c r="F17" i="37"/>
  <c r="AA17" i="37" s="1"/>
  <c r="AB17" i="37"/>
  <c r="F75" i="37"/>
  <c r="F19" i="37"/>
  <c r="S19" i="37" s="1"/>
  <c r="F79" i="37"/>
  <c r="F23" i="37"/>
  <c r="S23" i="37"/>
  <c r="U23" i="37"/>
  <c r="U15" i="37"/>
  <c r="AA13" i="37"/>
  <c r="H10" i="37"/>
  <c r="AB10" i="37" s="1"/>
  <c r="F63" i="37"/>
  <c r="F11" i="37"/>
  <c r="S11" i="37" s="1"/>
  <c r="W25" i="34"/>
  <c r="AB8" i="34"/>
  <c r="U44" i="34"/>
  <c r="U43" i="34"/>
  <c r="W41" i="34"/>
  <c r="AC42" i="34"/>
  <c r="AB35" i="34"/>
  <c r="U39" i="34"/>
  <c r="AB41" i="34"/>
  <c r="AA45" i="34"/>
  <c r="AA25" i="34"/>
  <c r="U28" i="34"/>
  <c r="S17"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AC32" i="33" s="1"/>
  <c r="W43" i="33"/>
  <c r="S43" i="33"/>
  <c r="F91" i="33"/>
  <c r="G91" i="33" s="1"/>
  <c r="H91" i="33" s="1"/>
  <c r="I91" i="33" s="1"/>
  <c r="J91" i="33" s="1"/>
  <c r="K91" i="33" s="1"/>
  <c r="L91" i="33" s="1"/>
  <c r="M91" i="33" s="1"/>
  <c r="H27" i="33"/>
  <c r="U27" i="33" s="1"/>
  <c r="F87" i="33"/>
  <c r="H25" i="33"/>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M47" i="9"/>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AC14" i="33"/>
  <c r="W14"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46" i="21"/>
  <c r="U40" i="21"/>
  <c r="AB31" i="21"/>
  <c r="U31" i="21"/>
  <c r="AC15" i="21"/>
  <c r="U13" i="21"/>
  <c r="AB13" i="21"/>
  <c r="S35" i="21"/>
  <c r="J37" i="21"/>
  <c r="W37" i="21" s="1"/>
  <c r="H15" i="21"/>
  <c r="U15" i="21" s="1"/>
  <c r="J17" i="21"/>
  <c r="AC17" i="21"/>
  <c r="AC19" i="21"/>
  <c r="W39" i="21"/>
  <c r="W30" i="21"/>
  <c r="S46" i="21"/>
  <c r="H45" i="21"/>
  <c r="U45" i="21" s="1"/>
  <c r="F29" i="21"/>
  <c r="AA29" i="21" s="1"/>
  <c r="S29" i="2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A21" i="39"/>
  <c r="S21" i="39"/>
  <c r="AC17" i="37"/>
  <c r="J19" i="37"/>
  <c r="W19" i="37" s="1"/>
  <c r="G75" i="37"/>
  <c r="AA23" i="37"/>
  <c r="J23" i="37"/>
  <c r="AC23" i="37" s="1"/>
  <c r="G79" i="37"/>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AB27" i="33"/>
  <c r="J27" i="33"/>
  <c r="W27" i="33" s="1"/>
  <c r="U25" i="33"/>
  <c r="AB25" i="33"/>
  <c r="S25" i="33"/>
  <c r="AA25" i="33"/>
  <c r="G87" i="33"/>
  <c r="H87" i="33" s="1"/>
  <c r="I87" i="33" s="1"/>
  <c r="J87" i="33" s="1"/>
  <c r="K87" i="33" s="1"/>
  <c r="L87" i="33" s="1"/>
  <c r="M87" i="33" s="1"/>
  <c r="J25" i="33"/>
  <c r="W25" i="33" s="1"/>
  <c r="AB23" i="33"/>
  <c r="U23" i="33"/>
  <c r="F23" i="33"/>
  <c r="AA23" i="33" s="1"/>
  <c r="G85" i="33"/>
  <c r="H19" i="33"/>
  <c r="U19" i="33" s="1"/>
  <c r="H17" i="33"/>
  <c r="U17" i="33" s="1"/>
  <c r="F17" i="33"/>
  <c r="AA17" i="33" s="1"/>
  <c r="S37" i="21"/>
  <c r="AA23" i="21"/>
  <c r="J23" i="21"/>
  <c r="F85" i="21"/>
  <c r="G85" i="21"/>
  <c r="H23" i="21"/>
  <c r="AB23" i="21" s="1"/>
  <c r="D6" i="52"/>
  <c r="AP7" i="1"/>
  <c r="AB45" i="21"/>
  <c r="U9" i="21"/>
  <c r="AA32" i="21"/>
  <c r="W9" i="21"/>
  <c r="AC9" i="21"/>
  <c r="AB32" i="21"/>
  <c r="U32" i="39"/>
  <c r="AC32" i="39"/>
  <c r="W32" i="39"/>
  <c r="AC19" i="37"/>
  <c r="W23" i="37"/>
  <c r="J11" i="37"/>
  <c r="AC11" i="37" s="1"/>
  <c r="J11" i="34"/>
  <c r="W11" i="34" s="1"/>
  <c r="AB36" i="33"/>
  <c r="AC25" i="33"/>
  <c r="AB17" i="33"/>
  <c r="U23" i="21"/>
  <c r="AC23" i="21"/>
  <c r="W23" i="21"/>
  <c r="H109" i="9"/>
  <c r="M49" i="9" s="1"/>
  <c r="H112" i="9"/>
  <c r="D21" i="53"/>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42" i="67"/>
  <c r="F4" i="73"/>
  <c r="F5" i="73"/>
  <c r="F7" i="15"/>
  <c r="F13" i="67"/>
  <c r="M29" i="67"/>
  <c r="F16" i="67"/>
  <c r="L47" i="67"/>
  <c r="B7" i="76"/>
  <c r="M24" i="67"/>
  <c r="F6" i="67"/>
  <c r="B11" i="76"/>
  <c r="E2" i="68"/>
  <c r="L47" i="15"/>
  <c r="M6" i="67"/>
  <c r="C76" i="67"/>
  <c r="F40" i="67"/>
  <c r="M23" i="15"/>
  <c r="L48" i="15"/>
  <c r="F37" i="67"/>
  <c r="E9" i="76"/>
  <c r="M28" i="67"/>
  <c r="F9" i="67"/>
  <c r="F20" i="31"/>
  <c r="E7" i="76"/>
  <c r="B13" i="76"/>
  <c r="F6" i="15"/>
  <c r="F7" i="67"/>
  <c r="F42" i="15"/>
  <c r="F43" i="67"/>
  <c r="F3" i="73"/>
  <c r="M8" i="67"/>
  <c r="F36" i="15"/>
  <c r="M22" i="67"/>
  <c r="B12" i="76"/>
  <c r="F26" i="67"/>
  <c r="F36" i="67"/>
  <c r="F40" i="15"/>
  <c r="M9" i="15"/>
  <c r="M23" i="67"/>
  <c r="M26" i="67"/>
  <c r="F7" i="73"/>
  <c r="F8" i="67"/>
  <c r="J15" i="67"/>
  <c r="B8" i="76"/>
  <c r="F38" i="67"/>
  <c r="B9" i="76"/>
  <c r="M9" i="67"/>
  <c r="AO13" i="1"/>
  <c r="E8" i="76"/>
  <c r="E11" i="76"/>
  <c r="F38" i="15"/>
  <c r="E2" i="69"/>
  <c r="B10" i="76"/>
  <c r="L48" i="67"/>
  <c r="E13" i="76"/>
  <c r="E10" i="76"/>
  <c r="F6" i="73"/>
  <c r="C7" i="35" l="1"/>
  <c r="C48" i="35" s="1"/>
  <c r="D48" i="35" s="1"/>
  <c r="C42" i="1"/>
  <c r="C7" i="37"/>
  <c r="C52" i="37" s="1"/>
  <c r="D52" i="37" s="1"/>
  <c r="J1" i="73"/>
  <c r="C7" i="40"/>
  <c r="C63" i="40" s="1"/>
  <c r="E19" i="71"/>
  <c r="E18" i="71" s="1"/>
  <c r="E17" i="71" s="1"/>
  <c r="E16" i="71" s="1"/>
  <c r="V20" i="71"/>
  <c r="S41" i="34"/>
  <c r="AA41" i="34"/>
  <c r="AZ577" i="3"/>
  <c r="AC13" i="36"/>
  <c r="W13" i="36"/>
  <c r="AB31" i="33"/>
  <c r="U31" i="33"/>
  <c r="AC35" i="39"/>
  <c r="W35" i="39"/>
  <c r="BA586" i="3"/>
  <c r="AZ586" i="3" s="1"/>
  <c r="AA40" i="21"/>
  <c r="S40" i="21"/>
  <c r="U12" i="35"/>
  <c r="AB12" i="35"/>
  <c r="J12" i="33"/>
  <c r="H12" i="33"/>
  <c r="J46" i="33"/>
  <c r="H46" i="33"/>
  <c r="J29" i="34"/>
  <c r="F29" i="34"/>
  <c r="AA19" i="33"/>
  <c r="M54" i="43"/>
  <c r="N54" i="43" s="1"/>
  <c r="K54" i="43"/>
  <c r="J54" i="43" s="1"/>
  <c r="AZ569" i="3"/>
  <c r="AB31" i="34"/>
  <c r="U31" i="34"/>
  <c r="J30" i="33"/>
  <c r="AA21" i="40"/>
  <c r="S21" i="40"/>
  <c r="AC36" i="39"/>
  <c r="W36" i="39"/>
  <c r="BL587" i="3"/>
  <c r="AZ587" i="3" s="1"/>
  <c r="AZ575" i="3"/>
  <c r="AB19" i="33"/>
  <c r="S23" i="39"/>
  <c r="D19" i="53"/>
  <c r="B38" i="72" s="1"/>
  <c r="D16" i="53"/>
  <c r="B34" i="72" s="1"/>
  <c r="S17" i="33"/>
  <c r="S23" i="33"/>
  <c r="AC27" i="33"/>
  <c r="S13" i="21"/>
  <c r="AC17" i="33"/>
  <c r="W23" i="33"/>
  <c r="W32" i="33"/>
  <c r="AA19" i="37"/>
  <c r="S17" i="37"/>
  <c r="U21" i="39"/>
  <c r="W19" i="40"/>
  <c r="H67" i="43"/>
  <c r="AC13" i="37"/>
  <c r="U32" i="37"/>
  <c r="AB19" i="40"/>
  <c r="AA19" i="40"/>
  <c r="C24" i="12"/>
  <c r="C77" i="85"/>
  <c r="C74" i="85" s="1"/>
  <c r="AC21" i="40"/>
  <c r="AB34" i="39"/>
  <c r="AC12" i="37"/>
  <c r="AC45" i="33"/>
  <c r="AB13" i="34"/>
  <c r="AZ518" i="3"/>
  <c r="AA44" i="33"/>
  <c r="F13" i="35"/>
  <c r="H45" i="34"/>
  <c r="F30" i="33"/>
  <c r="W30" i="34"/>
  <c r="AC30" i="34"/>
  <c r="AB33" i="35"/>
  <c r="U33" i="35"/>
  <c r="AB23" i="40"/>
  <c r="J14" i="21"/>
  <c r="H14" i="21"/>
  <c r="S12" i="34"/>
  <c r="AA12" i="34"/>
  <c r="C20" i="71"/>
  <c r="E10" i="1"/>
  <c r="AB15" i="21"/>
  <c r="AA39" i="39"/>
  <c r="U21" i="40"/>
  <c r="S30" i="40"/>
  <c r="F48" i="9"/>
  <c r="O52" i="9" s="1"/>
  <c r="F52" i="85"/>
  <c r="F32" i="84"/>
  <c r="F60" i="84" s="1"/>
  <c r="F54" i="85"/>
  <c r="F28" i="84"/>
  <c r="C28" i="84" s="1"/>
  <c r="F30" i="83"/>
  <c r="F48" i="85"/>
  <c r="O52" i="85" s="1"/>
  <c r="D68" i="85"/>
  <c r="F53" i="85"/>
  <c r="M18" i="84"/>
  <c r="F29" i="6"/>
  <c r="AA41" i="39"/>
  <c r="U33" i="37"/>
  <c r="AZ517" i="3"/>
  <c r="AZ583" i="3"/>
  <c r="AZ566" i="3"/>
  <c r="AZ578" i="3"/>
  <c r="AC28" i="21"/>
  <c r="F46" i="33"/>
  <c r="AA41" i="33"/>
  <c r="S34" i="35"/>
  <c r="S36" i="39"/>
  <c r="AA36" i="39"/>
  <c r="AC33" i="33"/>
  <c r="W33" i="33"/>
  <c r="J26" i="33"/>
  <c r="F26" i="33"/>
  <c r="H26" i="33"/>
  <c r="AC9" i="34"/>
  <c r="W9" i="34"/>
  <c r="F27" i="34"/>
  <c r="J27" i="34"/>
  <c r="H25" i="37"/>
  <c r="F25" i="37"/>
  <c r="J25" i="37"/>
  <c r="AB9" i="40"/>
  <c r="U9" i="40"/>
  <c r="F38" i="40"/>
  <c r="J38" i="40"/>
  <c r="H39" i="40"/>
  <c r="J39" i="40"/>
  <c r="BA551" i="3"/>
  <c r="AZ551" i="3" s="1"/>
  <c r="F14" i="40"/>
  <c r="W12" i="34"/>
  <c r="AC12" i="34"/>
  <c r="H26" i="37"/>
  <c r="F26" i="37"/>
  <c r="BA550" i="3"/>
  <c r="W36" i="35"/>
  <c r="BL585" i="3"/>
  <c r="AZ585" i="3" s="1"/>
  <c r="U35" i="33"/>
  <c r="AB35" i="33"/>
  <c r="H23" i="35"/>
  <c r="J23" i="35"/>
  <c r="AB9" i="36"/>
  <c r="U9" i="36"/>
  <c r="W31" i="37"/>
  <c r="AC31" i="37"/>
  <c r="J39" i="37"/>
  <c r="H39" i="37"/>
  <c r="H44" i="39"/>
  <c r="F44" i="39"/>
  <c r="J44" i="39"/>
  <c r="AA38" i="39"/>
  <c r="S38" i="39"/>
  <c r="AC31" i="40"/>
  <c r="W31" i="40"/>
  <c r="G570" i="3"/>
  <c r="AZ398" i="3"/>
  <c r="AZ409" i="3"/>
  <c r="AZ421" i="3"/>
  <c r="AZ426" i="3"/>
  <c r="AZ427" i="3"/>
  <c r="AZ446" i="3"/>
  <c r="AZ453" i="3"/>
  <c r="AZ471" i="3"/>
  <c r="AZ474" i="3"/>
  <c r="AZ482" i="3"/>
  <c r="C21" i="39"/>
  <c r="BL550" i="3"/>
  <c r="AZ402" i="3"/>
  <c r="AZ404" i="3"/>
  <c r="AZ406" i="3"/>
  <c r="AZ419" i="3"/>
  <c r="AZ423" i="3"/>
  <c r="AZ438" i="3"/>
  <c r="AZ440" i="3"/>
  <c r="AZ442" i="3"/>
  <c r="AZ449" i="3"/>
  <c r="AZ451" i="3"/>
  <c r="AZ464" i="3"/>
  <c r="M20" i="15"/>
  <c r="M20" i="84"/>
  <c r="F34" i="84"/>
  <c r="F62" i="84" s="1"/>
  <c r="AZ488" i="3"/>
  <c r="M18" i="85"/>
  <c r="B118" i="85" s="1"/>
  <c r="G41" i="69"/>
  <c r="G41" i="83"/>
  <c r="G22" i="83"/>
  <c r="A15" i="62"/>
  <c r="B61" i="72" s="1"/>
  <c r="BL454" i="3"/>
  <c r="AZ454" i="3" s="1"/>
  <c r="BL455" i="3"/>
  <c r="G456" i="3"/>
  <c r="G460" i="3"/>
  <c r="BL462" i="3"/>
  <c r="G463" i="3"/>
  <c r="BL465" i="3"/>
  <c r="AZ465" i="3" s="1"/>
  <c r="G470" i="3"/>
  <c r="BL472" i="3"/>
  <c r="BL475" i="3"/>
  <c r="G477" i="3"/>
  <c r="BA484" i="3"/>
  <c r="AZ484" i="3" s="1"/>
  <c r="BA489" i="3"/>
  <c r="AZ489" i="3" s="1"/>
  <c r="BA315" i="3"/>
  <c r="AZ315" i="3" s="1"/>
  <c r="BL332" i="3"/>
  <c r="BA350" i="3"/>
  <c r="AZ350" i="3" s="1"/>
  <c r="AZ395" i="3"/>
  <c r="AZ221" i="3"/>
  <c r="AZ226" i="3"/>
  <c r="AZ236" i="3"/>
  <c r="AZ252" i="3"/>
  <c r="AZ276" i="3"/>
  <c r="AZ278" i="3"/>
  <c r="AZ282" i="3"/>
  <c r="AZ285" i="3"/>
  <c r="AZ113" i="3"/>
  <c r="AZ161" i="3"/>
  <c r="D78" i="9"/>
  <c r="D93" i="85"/>
  <c r="D78" i="85"/>
  <c r="G6" i="1"/>
  <c r="BA462" i="3"/>
  <c r="AZ472" i="3"/>
  <c r="AZ475" i="3"/>
  <c r="AZ332" i="3"/>
  <c r="AZ239" i="3"/>
  <c r="AZ264" i="3"/>
  <c r="AZ274" i="3"/>
  <c r="AZ277" i="3"/>
  <c r="AZ302" i="3"/>
  <c r="F34" i="68"/>
  <c r="F34" i="83"/>
  <c r="F7" i="1"/>
  <c r="G7" i="1" s="1"/>
  <c r="G44" i="43"/>
  <c r="BA455" i="3"/>
  <c r="AZ455" i="3" s="1"/>
  <c r="BA456" i="3"/>
  <c r="AZ456" i="3" s="1"/>
  <c r="BL458" i="3"/>
  <c r="AZ458" i="3" s="1"/>
  <c r="G459" i="3"/>
  <c r="BA463" i="3"/>
  <c r="AZ463" i="3" s="1"/>
  <c r="BA466" i="3"/>
  <c r="AZ466" i="3" s="1"/>
  <c r="BA469" i="3"/>
  <c r="AZ469" i="3" s="1"/>
  <c r="BA476" i="3"/>
  <c r="AZ476" i="3" s="1"/>
  <c r="BL480" i="3"/>
  <c r="AZ480" i="3" s="1"/>
  <c r="BL483" i="3"/>
  <c r="AZ483" i="3" s="1"/>
  <c r="G485" i="3"/>
  <c r="BL488" i="3"/>
  <c r="BL490" i="3"/>
  <c r="AZ490" i="3" s="1"/>
  <c r="BL316" i="3"/>
  <c r="AZ316" i="3" s="1"/>
  <c r="BA331" i="3"/>
  <c r="AZ331" i="3" s="1"/>
  <c r="G351" i="3"/>
  <c r="AZ211" i="3"/>
  <c r="AZ246" i="3"/>
  <c r="AZ258" i="3"/>
  <c r="AZ289" i="3"/>
  <c r="AZ292" i="3"/>
  <c r="AZ294" i="3"/>
  <c r="AZ298" i="3"/>
  <c r="AZ118" i="3"/>
  <c r="AZ121" i="3"/>
  <c r="BL127" i="3"/>
  <c r="AZ127" i="3" s="1"/>
  <c r="G130" i="3"/>
  <c r="BA134" i="3"/>
  <c r="BA136" i="3"/>
  <c r="AZ136" i="3" s="1"/>
  <c r="G138" i="3"/>
  <c r="G143" i="3"/>
  <c r="BA145" i="3"/>
  <c r="BL149" i="3"/>
  <c r="AZ149" i="3" s="1"/>
  <c r="G152" i="3"/>
  <c r="BA156" i="3"/>
  <c r="AZ156" i="3" s="1"/>
  <c r="BL163" i="3"/>
  <c r="AZ163" i="3" s="1"/>
  <c r="BL166" i="3"/>
  <c r="AZ166" i="3" s="1"/>
  <c r="BA170" i="3"/>
  <c r="AZ170" i="3" s="1"/>
  <c r="BA174" i="3"/>
  <c r="BA176" i="3"/>
  <c r="AZ176" i="3" s="1"/>
  <c r="AZ193" i="3"/>
  <c r="AZ23" i="3"/>
  <c r="BL122" i="3"/>
  <c r="AZ122" i="3" s="1"/>
  <c r="BA126" i="3"/>
  <c r="AZ126" i="3" s="1"/>
  <c r="BA129" i="3"/>
  <c r="AZ129" i="3" s="1"/>
  <c r="AZ137" i="3"/>
  <c r="BL162" i="3"/>
  <c r="BA165" i="3"/>
  <c r="AZ165" i="3" s="1"/>
  <c r="BL171" i="3"/>
  <c r="AZ171" i="3" s="1"/>
  <c r="G175" i="3"/>
  <c r="BA177" i="3"/>
  <c r="AZ177" i="3" s="1"/>
  <c r="G184" i="3"/>
  <c r="BL186" i="3"/>
  <c r="AZ186" i="3" s="1"/>
  <c r="AZ18" i="3"/>
  <c r="AZ22" i="3"/>
  <c r="AZ38" i="3"/>
  <c r="AZ40" i="3"/>
  <c r="BL125" i="3"/>
  <c r="AZ125" i="3" s="1"/>
  <c r="BL134" i="3"/>
  <c r="BL143" i="3"/>
  <c r="AZ143" i="3" s="1"/>
  <c r="BL145" i="3"/>
  <c r="BA150" i="3"/>
  <c r="AZ150" i="3" s="1"/>
  <c r="BA153" i="3"/>
  <c r="AZ153" i="3" s="1"/>
  <c r="BA157" i="3"/>
  <c r="AZ157" i="3" s="1"/>
  <c r="BA162" i="3"/>
  <c r="AZ162" i="3" s="1"/>
  <c r="BA164" i="3"/>
  <c r="AZ164" i="3" s="1"/>
  <c r="BA168" i="3"/>
  <c r="AZ168" i="3" s="1"/>
  <c r="BL174" i="3"/>
  <c r="BL181" i="3"/>
  <c r="AZ181" i="3" s="1"/>
  <c r="BL183" i="3"/>
  <c r="AZ183" i="3" s="1"/>
  <c r="AZ207" i="3"/>
  <c r="AZ54" i="3"/>
  <c r="BL46" i="3"/>
  <c r="AZ46" i="3" s="1"/>
  <c r="BA52" i="3"/>
  <c r="AZ52" i="3" s="1"/>
  <c r="AZ60" i="3"/>
  <c r="AZ70" i="3"/>
  <c r="AZ87" i="3"/>
  <c r="AZ92" i="3"/>
  <c r="BL51" i="3"/>
  <c r="AZ51" i="3" s="1"/>
  <c r="BL54" i="3"/>
  <c r="BL57" i="3"/>
  <c r="AZ57" i="3" s="1"/>
  <c r="BL67" i="3"/>
  <c r="AZ67" i="3" s="1"/>
  <c r="G69" i="3"/>
  <c r="AZ100" i="3"/>
  <c r="G45" i="3"/>
  <c r="BL49" i="3"/>
  <c r="AZ49" i="3" s="1"/>
  <c r="BL59" i="3"/>
  <c r="AZ59" i="3" s="1"/>
  <c r="G61" i="3"/>
  <c r="BL68" i="3"/>
  <c r="AZ68" i="3" s="1"/>
  <c r="BA71" i="3"/>
  <c r="AZ71" i="3" s="1"/>
  <c r="M47" i="85"/>
  <c r="J51" i="84"/>
  <c r="D43" i="71"/>
  <c r="C44" i="71"/>
  <c r="AB21" i="33"/>
  <c r="U29" i="39"/>
  <c r="F3" i="35"/>
  <c r="C51" i="10"/>
  <c r="A118" i="85"/>
  <c r="A2" i="85"/>
  <c r="U18" i="35"/>
  <c r="AA21" i="21"/>
  <c r="S21" i="21"/>
  <c r="G1" i="83"/>
  <c r="G1" i="84"/>
  <c r="B88" i="43"/>
  <c r="AA21" i="34"/>
  <c r="T64" i="71"/>
  <c r="D64" i="71"/>
  <c r="T56" i="71"/>
  <c r="D56" i="71"/>
  <c r="AB29" i="71"/>
  <c r="AB31" i="71"/>
  <c r="C35" i="71"/>
  <c r="Y34" i="71"/>
  <c r="Z34" i="71" s="1"/>
  <c r="Y36" i="71"/>
  <c r="Z36" i="71" s="1"/>
  <c r="Y37" i="71"/>
  <c r="Z37" i="71" s="1"/>
  <c r="AB10" i="71"/>
  <c r="Y21" i="71"/>
  <c r="Z21" i="71" s="1"/>
  <c r="AA14" i="71"/>
  <c r="Y11" i="71"/>
  <c r="Z11" i="71" s="1"/>
  <c r="V28" i="71"/>
  <c r="D55" i="71"/>
  <c r="C78" i="71"/>
  <c r="D78" i="71" s="1"/>
  <c r="C74" i="71"/>
  <c r="D74" i="71" s="1"/>
  <c r="AA28" i="71"/>
  <c r="AA3" i="71"/>
  <c r="AB28" i="71"/>
  <c r="D42" i="71"/>
  <c r="Y25" i="71"/>
  <c r="Z25" i="71" s="1"/>
  <c r="C38" i="71"/>
  <c r="AA34" i="71"/>
  <c r="AA32" i="71"/>
  <c r="Y29" i="71"/>
  <c r="Z29" i="71" s="1"/>
  <c r="Y24" i="71"/>
  <c r="Z24" i="71" s="1"/>
  <c r="E31" i="71"/>
  <c r="E32" i="71" s="1"/>
  <c r="U32" i="71" s="1"/>
  <c r="AB30" i="71"/>
  <c r="Y31" i="71"/>
  <c r="Z31" i="71" s="1"/>
  <c r="AA35" i="71"/>
  <c r="Y23" i="71"/>
  <c r="Z23" i="71" s="1"/>
  <c r="AB18" i="71"/>
  <c r="Y17" i="71"/>
  <c r="Z17" i="71" s="1"/>
  <c r="AB17" i="71"/>
  <c r="AA12" i="71"/>
  <c r="J51" i="15"/>
  <c r="D60" i="71"/>
  <c r="C70" i="71"/>
  <c r="D70" i="71" s="1"/>
  <c r="D63" i="71"/>
  <c r="AA27" i="71"/>
  <c r="C67" i="71"/>
  <c r="X28" i="71"/>
  <c r="Y27" i="71"/>
  <c r="Z27" i="71" s="1"/>
  <c r="AA36" i="71"/>
  <c r="C30" i="71"/>
  <c r="Y30" i="71"/>
  <c r="Z30" i="71" s="1"/>
  <c r="Y32" i="71"/>
  <c r="Z32" i="71" s="1"/>
  <c r="F34" i="71"/>
  <c r="F35" i="71" s="1"/>
  <c r="F36" i="71" s="1"/>
  <c r="V36" i="71" s="1"/>
  <c r="Y10" i="71"/>
  <c r="Z10" i="71" s="1"/>
  <c r="E59" i="71"/>
  <c r="E60" i="71" s="1"/>
  <c r="U60" i="71" s="1"/>
  <c r="F67" i="71"/>
  <c r="V68" i="71"/>
  <c r="B75" i="71"/>
  <c r="B74" i="71" s="1"/>
  <c r="X24" i="71"/>
  <c r="AB24" i="71"/>
  <c r="AA22" i="71"/>
  <c r="X22" i="71"/>
  <c r="AA26" i="71"/>
  <c r="AB26" i="71"/>
  <c r="X27" i="71"/>
  <c r="B28" i="71"/>
  <c r="Y33" i="71"/>
  <c r="Z33" i="71" s="1"/>
  <c r="X33" i="71"/>
  <c r="X34" i="71"/>
  <c r="X31" i="71"/>
  <c r="AA10" i="71"/>
  <c r="AA9" i="71"/>
  <c r="AA39" i="71"/>
  <c r="AA21" i="71"/>
  <c r="AA24" i="71"/>
  <c r="AB23" i="71"/>
  <c r="X13" i="71"/>
  <c r="AA18" i="71"/>
  <c r="X10" i="71"/>
  <c r="AA29" i="71"/>
  <c r="AB39" i="71"/>
  <c r="B67" i="71"/>
  <c r="V24" i="71"/>
  <c r="AB15" i="71"/>
  <c r="AB11" i="71"/>
  <c r="AA11" i="71"/>
  <c r="Y9" i="71"/>
  <c r="Z9" i="71" s="1"/>
  <c r="X9" i="71"/>
  <c r="Y22" i="71"/>
  <c r="Z22" i="71" s="1"/>
  <c r="AB21" i="71"/>
  <c r="X21" i="71"/>
  <c r="X18" i="71"/>
  <c r="X15" i="71"/>
  <c r="AB13" i="71"/>
  <c r="Y12" i="71"/>
  <c r="Z12" i="71" s="1"/>
  <c r="X11" i="71"/>
  <c r="M56" i="9"/>
  <c r="K56" i="85"/>
  <c r="J56" i="85"/>
  <c r="J57" i="85" s="1"/>
  <c r="J59" i="85" s="1"/>
  <c r="J61" i="85" s="1"/>
  <c r="N56" i="85"/>
  <c r="M56" i="85"/>
  <c r="Y18" i="71"/>
  <c r="Z18" i="71" s="1"/>
  <c r="X17" i="71"/>
  <c r="AA17" i="71"/>
  <c r="AA13" i="71"/>
  <c r="Y13" i="71"/>
  <c r="Z13" i="71" s="1"/>
  <c r="Y14" i="71"/>
  <c r="Z14" i="71" s="1"/>
  <c r="AA31" i="71"/>
  <c r="AA33" i="71"/>
  <c r="AB9" i="71"/>
  <c r="K56" i="9"/>
  <c r="AA23" i="71"/>
  <c r="AA15" i="71"/>
  <c r="AB12" i="71"/>
  <c r="AB14" i="71"/>
  <c r="X12" i="71"/>
  <c r="X14" i="71"/>
  <c r="C21" i="68"/>
  <c r="G5" i="3"/>
  <c r="B3" i="3" s="1"/>
  <c r="E77" i="3" s="1"/>
  <c r="G28" i="6"/>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L59" i="15"/>
  <c r="N59" i="15"/>
  <c r="L58" i="15"/>
  <c r="M59" i="15"/>
  <c r="F66" i="15"/>
  <c r="Q71" i="67"/>
  <c r="F64" i="15"/>
  <c r="C27" i="67"/>
  <c r="F71" i="67"/>
  <c r="N59" i="67"/>
  <c r="L59" i="67"/>
  <c r="L58" i="67"/>
  <c r="M59" i="67"/>
  <c r="B13" i="70"/>
  <c r="M7" i="67"/>
  <c r="J6" i="67" s="1"/>
  <c r="F50" i="67"/>
  <c r="F68" i="67"/>
  <c r="F64" i="67"/>
  <c r="F68" i="15"/>
  <c r="D9" i="69"/>
  <c r="C36" i="69"/>
  <c r="C16" i="67"/>
  <c r="M8" i="15"/>
  <c r="J15" i="15"/>
  <c r="C76" i="15"/>
  <c r="M22" i="15"/>
  <c r="F43" i="15"/>
  <c r="M28" i="15"/>
  <c r="D9" i="68"/>
  <c r="D4" i="73"/>
  <c r="D3" i="73"/>
  <c r="D7" i="73"/>
  <c r="M6" i="15"/>
  <c r="D6" i="73"/>
  <c r="F37" i="15"/>
  <c r="M26" i="15"/>
  <c r="F13" i="15"/>
  <c r="M24" i="15"/>
  <c r="F8" i="15"/>
  <c r="F16" i="15"/>
  <c r="F9" i="15"/>
  <c r="F26" i="15"/>
  <c r="D5" i="73"/>
  <c r="M29" i="15"/>
  <c r="C36" i="68"/>
  <c r="I24" i="43" l="1"/>
  <c r="C24" i="43" s="1"/>
  <c r="C44" i="43"/>
  <c r="F71" i="15"/>
  <c r="Q71" i="15"/>
  <c r="F51" i="15"/>
  <c r="F31" i="15"/>
  <c r="C6" i="15"/>
  <c r="C32" i="15" s="1"/>
  <c r="K1" i="73"/>
  <c r="C27" i="15"/>
  <c r="F65" i="15"/>
  <c r="B15" i="71"/>
  <c r="B14" i="71" s="1"/>
  <c r="B13" i="71" s="1"/>
  <c r="B12" i="71" s="1"/>
  <c r="S16" i="71"/>
  <c r="J7" i="36"/>
  <c r="E441" i="3"/>
  <c r="E384" i="3"/>
  <c r="E210" i="3"/>
  <c r="E162" i="3"/>
  <c r="E447" i="3"/>
  <c r="AS6" i="3"/>
  <c r="E477" i="3"/>
  <c r="E478" i="3"/>
  <c r="E585" i="3"/>
  <c r="E271" i="3"/>
  <c r="E549" i="3"/>
  <c r="E31" i="3"/>
  <c r="E351" i="3"/>
  <c r="E150" i="3"/>
  <c r="E72" i="3"/>
  <c r="E450" i="3"/>
  <c r="E562" i="3"/>
  <c r="E527" i="3"/>
  <c r="E573" i="3"/>
  <c r="E193" i="3"/>
  <c r="E99" i="3"/>
  <c r="E314" i="3"/>
  <c r="E453" i="3"/>
  <c r="N67" i="71"/>
  <c r="B66" i="71"/>
  <c r="B27" i="71"/>
  <c r="B26" i="71" s="1"/>
  <c r="S28" i="71"/>
  <c r="C31" i="71"/>
  <c r="D30" i="71"/>
  <c r="C66" i="71"/>
  <c r="O67" i="71"/>
  <c r="D67" i="71"/>
  <c r="D35" i="71"/>
  <c r="C36" i="71"/>
  <c r="T44" i="71"/>
  <c r="D44" i="71"/>
  <c r="U39" i="37"/>
  <c r="AB39" i="37"/>
  <c r="AZ550" i="3"/>
  <c r="AB39" i="40"/>
  <c r="U39" i="40"/>
  <c r="AC27" i="34"/>
  <c r="W27" i="34"/>
  <c r="AB26" i="33"/>
  <c r="U26" i="33"/>
  <c r="AA30" i="33"/>
  <c r="S30" i="33"/>
  <c r="BL5" i="3"/>
  <c r="AA29" i="34"/>
  <c r="S29" i="34"/>
  <c r="U12" i="33"/>
  <c r="AB12" i="33"/>
  <c r="K56" i="43"/>
  <c r="M56" i="43"/>
  <c r="N56" i="43" s="1"/>
  <c r="K50" i="43"/>
  <c r="M50" i="43"/>
  <c r="N50" i="43" s="1"/>
  <c r="W44" i="39"/>
  <c r="AC44" i="39"/>
  <c r="AC39" i="37"/>
  <c r="W39" i="37"/>
  <c r="S26" i="37"/>
  <c r="AA26" i="37"/>
  <c r="AA14" i="40"/>
  <c r="S14" i="40"/>
  <c r="AC38" i="40"/>
  <c r="W38" i="40"/>
  <c r="AC25" i="37"/>
  <c r="W25" i="37"/>
  <c r="AA27" i="34"/>
  <c r="S27" i="34"/>
  <c r="AA26" i="33"/>
  <c r="S26" i="33"/>
  <c r="AA46" i="33"/>
  <c r="S46" i="33"/>
  <c r="AB14" i="21"/>
  <c r="U14" i="21"/>
  <c r="U45" i="34"/>
  <c r="AB45" i="34"/>
  <c r="AC30" i="33"/>
  <c r="W30" i="33"/>
  <c r="W29" i="34"/>
  <c r="AC29" i="34"/>
  <c r="AC12" i="33"/>
  <c r="W12" i="33"/>
  <c r="K57" i="43"/>
  <c r="J57" i="43" s="1"/>
  <c r="D57" i="43" s="1"/>
  <c r="M57" i="43"/>
  <c r="N57" i="43" s="1"/>
  <c r="K55" i="43"/>
  <c r="M55" i="43"/>
  <c r="N55" i="43" s="1"/>
  <c r="K51" i="43"/>
  <c r="M51" i="43"/>
  <c r="N51" i="43" s="1"/>
  <c r="E44" i="3"/>
  <c r="E331" i="3"/>
  <c r="E186" i="3"/>
  <c r="E27" i="3"/>
  <c r="E476" i="3"/>
  <c r="E505" i="3"/>
  <c r="E414" i="3"/>
  <c r="E515" i="3"/>
  <c r="E107" i="3"/>
  <c r="E269" i="3"/>
  <c r="E567" i="3"/>
  <c r="E318" i="3"/>
  <c r="E279" i="3"/>
  <c r="E111" i="3"/>
  <c r="E433" i="3"/>
  <c r="E571" i="3"/>
  <c r="E457" i="3"/>
  <c r="E458" i="3"/>
  <c r="E519" i="3"/>
  <c r="E45" i="3"/>
  <c r="E511" i="3"/>
  <c r="E85" i="3"/>
  <c r="F66" i="71"/>
  <c r="Q67" i="71"/>
  <c r="AZ145" i="3"/>
  <c r="AZ134" i="3"/>
  <c r="AZ5" i="3" s="1"/>
  <c r="AA44" i="39"/>
  <c r="S44" i="39"/>
  <c r="W23" i="35"/>
  <c r="AC23" i="35"/>
  <c r="AB26" i="37"/>
  <c r="U26" i="37"/>
  <c r="AA38" i="40"/>
  <c r="S38" i="40"/>
  <c r="AA25" i="37"/>
  <c r="S25" i="37"/>
  <c r="AC26" i="33"/>
  <c r="W26" i="33"/>
  <c r="C48" i="83"/>
  <c r="F48" i="83"/>
  <c r="C30" i="83"/>
  <c r="C19" i="71"/>
  <c r="D20" i="71"/>
  <c r="U20" i="71" s="1"/>
  <c r="T20" i="71"/>
  <c r="W14" i="21"/>
  <c r="AC14" i="21"/>
  <c r="S13" i="35"/>
  <c r="AA13" i="35"/>
  <c r="AB46" i="33"/>
  <c r="U46" i="33"/>
  <c r="J6" i="15"/>
  <c r="M53" i="43"/>
  <c r="N53" i="43" s="1"/>
  <c r="K53" i="43"/>
  <c r="M52" i="43"/>
  <c r="N52" i="43" s="1"/>
  <c r="K52" i="43"/>
  <c r="M58" i="43"/>
  <c r="N58" i="43" s="1"/>
  <c r="K58" i="43"/>
  <c r="D38" i="71"/>
  <c r="C39" i="71"/>
  <c r="AZ174" i="3"/>
  <c r="AZ462" i="3"/>
  <c r="AB44" i="39"/>
  <c r="U44" i="39"/>
  <c r="U23" i="35"/>
  <c r="AB23" i="35"/>
  <c r="W39" i="40"/>
  <c r="AC39" i="40"/>
  <c r="U25" i="37"/>
  <c r="AB25" i="37"/>
  <c r="BA5" i="3"/>
  <c r="W46" i="33"/>
  <c r="AC46" i="33"/>
  <c r="E15" i="71"/>
  <c r="E14" i="71" s="1"/>
  <c r="E13" i="71" s="1"/>
  <c r="E12" i="71" s="1"/>
  <c r="V16" i="71"/>
  <c r="M11" i="84"/>
  <c r="J10" i="84" s="1"/>
  <c r="F11" i="84"/>
  <c r="J26" i="43"/>
  <c r="N94" i="46"/>
  <c r="F26" i="43"/>
  <c r="N370" i="46"/>
  <c r="G26" i="4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22" i="3"/>
  <c r="E26" i="4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9" i="3"/>
  <c r="E292" i="3"/>
  <c r="E389" i="3"/>
  <c r="E76" i="3"/>
  <c r="E409" i="3"/>
  <c r="E467" i="3"/>
  <c r="E160" i="3"/>
  <c r="E267" i="3"/>
  <c r="E371" i="3"/>
  <c r="E492" i="3"/>
  <c r="E8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 i="3"/>
  <c r="E258" i="3"/>
  <c r="E349" i="3"/>
  <c r="E59" i="3"/>
  <c r="E425" i="3"/>
  <c r="E64" i="3"/>
  <c r="E103" i="3"/>
  <c r="E142" i="3"/>
  <c r="E249" i="3"/>
  <c r="E310" i="3"/>
  <c r="E23" i="3"/>
  <c r="E539" i="3"/>
  <c r="E536" i="3"/>
  <c r="E148" i="3"/>
  <c r="E212" i="3"/>
  <c r="E199" i="3"/>
  <c r="E286" i="3"/>
  <c r="E575" i="3"/>
  <c r="E499" i="3"/>
  <c r="R6" i="3"/>
  <c r="E502" i="3"/>
  <c r="E442" i="3"/>
  <c r="E466" i="3"/>
  <c r="E541" i="3"/>
  <c r="E430" i="3"/>
  <c r="E449" i="3"/>
  <c r="E255" i="3"/>
  <c r="I3" i="6"/>
  <c r="AP6" i="3"/>
  <c r="E554" i="3"/>
  <c r="E517" i="3"/>
  <c r="E435" i="3"/>
  <c r="E491" i="3"/>
  <c r="E417" i="3"/>
  <c r="E37" i="3"/>
  <c r="E95" i="3"/>
  <c r="E152" i="3"/>
  <c r="E132" i="3"/>
  <c r="E192" i="3"/>
  <c r="E241" i="3"/>
  <c r="E363" i="3"/>
  <c r="E544" i="3"/>
  <c r="E484" i="3"/>
  <c r="E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00" i="3"/>
  <c r="E67" i="3"/>
  <c r="E200" i="3"/>
  <c r="E233" i="3"/>
  <c r="E63" i="3"/>
  <c r="E283" i="3"/>
  <c r="E33" i="3"/>
  <c r="E355" i="3"/>
  <c r="E81" i="3"/>
  <c r="E309" i="3"/>
  <c r="E21" i="3"/>
  <c r="E144" i="3"/>
  <c r="E381" i="3"/>
  <c r="E118" i="3"/>
  <c r="E513" i="3"/>
  <c r="E184" i="3"/>
  <c r="E68" i="3"/>
  <c r="E264" i="3"/>
  <c r="P6" i="1"/>
  <c r="C13" i="12" s="1"/>
  <c r="D18" i="53"/>
  <c r="B35" i="72" s="1"/>
  <c r="J7" i="37"/>
  <c r="AC7" i="37" s="1"/>
  <c r="V42" i="37" s="1"/>
  <c r="I42" i="37" s="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F11" i="67"/>
  <c r="F1" i="15"/>
  <c r="Q52" i="15"/>
  <c r="J18" i="67"/>
  <c r="F1" i="67"/>
  <c r="Q52" i="67"/>
  <c r="Q60" i="15"/>
  <c r="Q73" i="15"/>
  <c r="Q61" i="67"/>
  <c r="Q74" i="67"/>
  <c r="Q74" i="15"/>
  <c r="Q61" i="15"/>
  <c r="AE11" i="1"/>
  <c r="AE9" i="1"/>
  <c r="AE8" i="1"/>
  <c r="AE12" i="1"/>
  <c r="AE10" i="1"/>
  <c r="M8" i="84"/>
  <c r="F40" i="84"/>
  <c r="F26" i="84"/>
  <c r="F8" i="84"/>
  <c r="F6" i="84"/>
  <c r="F36" i="84"/>
  <c r="M23" i="84"/>
  <c r="F41" i="67"/>
  <c r="F42" i="84"/>
  <c r="L48" i="84"/>
  <c r="F16" i="84"/>
  <c r="M28" i="84"/>
  <c r="F43" i="84"/>
  <c r="F27" i="68"/>
  <c r="C76" i="84"/>
  <c r="M29" i="84"/>
  <c r="L47" i="84"/>
  <c r="J15" i="84"/>
  <c r="F27" i="83"/>
  <c r="F37" i="84"/>
  <c r="M9" i="84"/>
  <c r="M22" i="84"/>
  <c r="G1" i="73"/>
  <c r="F13" i="84"/>
  <c r="M24" i="84"/>
  <c r="F9" i="84"/>
  <c r="M6" i="84"/>
  <c r="D9" i="83"/>
  <c r="M26" i="84"/>
  <c r="F7" i="84"/>
  <c r="C36" i="83"/>
  <c r="C16" i="15"/>
  <c r="AE6" i="1"/>
  <c r="F38" i="84"/>
  <c r="J5" i="15" l="1"/>
  <c r="J24" i="15" s="1"/>
  <c r="F65" i="84"/>
  <c r="Q71" i="84"/>
  <c r="M7" i="84"/>
  <c r="J6" i="84" s="1"/>
  <c r="J5" i="84" s="1"/>
  <c r="F50" i="84"/>
  <c r="F71" i="84"/>
  <c r="C6" i="84"/>
  <c r="C10" i="84" s="1"/>
  <c r="C5" i="84" s="1"/>
  <c r="F31" i="84"/>
  <c r="B40" i="1"/>
  <c r="F24" i="84" s="1"/>
  <c r="C24" i="84" s="1"/>
  <c r="C9" i="83"/>
  <c r="L56" i="84"/>
  <c r="L60" i="84"/>
  <c r="L57" i="84"/>
  <c r="J57" i="84"/>
  <c r="J55" i="84" s="1"/>
  <c r="J58" i="84" s="1"/>
  <c r="Q50" i="84" s="1"/>
  <c r="J53" i="84"/>
  <c r="I54" i="84"/>
  <c r="F51" i="84"/>
  <c r="C49" i="84" s="1"/>
  <c r="C61" i="84" s="1"/>
  <c r="F68" i="84"/>
  <c r="C27" i="84"/>
  <c r="C29" i="83"/>
  <c r="D27" i="83" s="1"/>
  <c r="F45" i="83"/>
  <c r="C47" i="83"/>
  <c r="D45" i="83" s="1"/>
  <c r="F64" i="84"/>
  <c r="F66" i="84"/>
  <c r="L58" i="84"/>
  <c r="M59" i="84"/>
  <c r="L59" i="84"/>
  <c r="N59" i="84"/>
  <c r="AY6" i="3"/>
  <c r="E3" i="6"/>
  <c r="Q66" i="71"/>
  <c r="Q65" i="71"/>
  <c r="J51" i="43"/>
  <c r="D51" i="43"/>
  <c r="C32" i="71"/>
  <c r="D31" i="71"/>
  <c r="C40" i="71"/>
  <c r="D39" i="71"/>
  <c r="J52" i="43"/>
  <c r="D52" i="43"/>
  <c r="J56" i="43"/>
  <c r="D56" i="43"/>
  <c r="C18" i="71"/>
  <c r="D19" i="71"/>
  <c r="J55" i="43"/>
  <c r="D55" i="43"/>
  <c r="T36" i="71"/>
  <c r="D36" i="71"/>
  <c r="O66" i="71"/>
  <c r="D66" i="71"/>
  <c r="O65" i="71"/>
  <c r="B11" i="71"/>
  <c r="B10" i="71" s="1"/>
  <c r="B9" i="71" s="1"/>
  <c r="B8" i="71" s="1"/>
  <c r="B7" i="71" s="1"/>
  <c r="B6" i="71" s="1"/>
  <c r="B5" i="71" s="1"/>
  <c r="S12" i="71"/>
  <c r="E11" i="71"/>
  <c r="E10" i="71" s="1"/>
  <c r="E9" i="71" s="1"/>
  <c r="E8" i="71" s="1"/>
  <c r="E7" i="71" s="1"/>
  <c r="E6" i="71" s="1"/>
  <c r="E5" i="71" s="1"/>
  <c r="V12" i="71"/>
  <c r="J58" i="43"/>
  <c r="D58" i="43"/>
  <c r="J53" i="43"/>
  <c r="D53" i="43"/>
  <c r="J50" i="43"/>
  <c r="D50" i="43"/>
  <c r="E50" i="43" s="1"/>
  <c r="B48" i="43" s="1"/>
  <c r="C28" i="43" s="1"/>
  <c r="N65" i="71"/>
  <c r="N66" i="71"/>
  <c r="C53" i="84"/>
  <c r="D26" i="43"/>
  <c r="C25"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9"/>
  <c r="F41" i="69" s="1"/>
  <c r="M27" i="15"/>
  <c r="M27" i="84"/>
  <c r="F41" i="15"/>
  <c r="C16" i="84"/>
  <c r="M27" i="67"/>
  <c r="F24" i="15" l="1"/>
  <c r="C24" i="15" s="1"/>
  <c r="C48" i="84"/>
  <c r="C66" i="84" s="1"/>
  <c r="F22" i="83"/>
  <c r="F41" i="83" s="1"/>
  <c r="F22" i="68"/>
  <c r="F41" i="68" s="1"/>
  <c r="F25" i="12"/>
  <c r="C26" i="12" s="1"/>
  <c r="D25" i="12" s="1"/>
  <c r="F22" i="11"/>
  <c r="C26" i="11" s="1"/>
  <c r="D22" i="11" s="1"/>
  <c r="F24" i="67"/>
  <c r="C24" i="67" s="1"/>
  <c r="L36" i="43"/>
  <c r="P36" i="43" s="1"/>
  <c r="J26" i="84"/>
  <c r="J24" i="84"/>
  <c r="M17" i="84"/>
  <c r="C33" i="43"/>
  <c r="E33" i="43" s="1"/>
  <c r="T9" i="43"/>
  <c r="V9" i="43" s="1"/>
  <c r="T12" i="43"/>
  <c r="V12" i="43" s="1"/>
  <c r="T3" i="43"/>
  <c r="V3" i="43" s="1"/>
  <c r="T15" i="43"/>
  <c r="V15" i="43" s="1"/>
  <c r="T7" i="43"/>
  <c r="V7" i="43" s="1"/>
  <c r="T10" i="43"/>
  <c r="V10" i="43" s="1"/>
  <c r="T2" i="43"/>
  <c r="V2" i="43" s="1"/>
  <c r="C40" i="43"/>
  <c r="G40" i="43" s="1"/>
  <c r="I40" i="43" s="1"/>
  <c r="C42" i="43"/>
  <c r="E42" i="43" s="1"/>
  <c r="C38" i="43"/>
  <c r="T13" i="43"/>
  <c r="V13" i="43" s="1"/>
  <c r="T16" i="43"/>
  <c r="V16" i="43" s="1"/>
  <c r="T8" i="43"/>
  <c r="V8" i="43" s="1"/>
  <c r="T6" i="43"/>
  <c r="V6" i="43" s="1"/>
  <c r="C37" i="43"/>
  <c r="G37" i="43" s="1"/>
  <c r="I37" i="43" s="1"/>
  <c r="T11" i="43"/>
  <c r="V11" i="43" s="1"/>
  <c r="C34" i="43" s="1"/>
  <c r="E34" i="43" s="1"/>
  <c r="T14" i="43"/>
  <c r="V14" i="43" s="1"/>
  <c r="T4" i="43"/>
  <c r="V4" i="43" s="1"/>
  <c r="T5" i="43"/>
  <c r="V5" i="43" s="1"/>
  <c r="C41" i="43"/>
  <c r="E41" i="43" s="1"/>
  <c r="C39" i="43"/>
  <c r="T32" i="71"/>
  <c r="D32" i="71"/>
  <c r="Q57" i="84"/>
  <c r="Q66" i="84"/>
  <c r="J18" i="84"/>
  <c r="J19" i="84"/>
  <c r="T40" i="71"/>
  <c r="D40" i="71"/>
  <c r="Q61" i="84"/>
  <c r="Q74" i="84"/>
  <c r="F1" i="84"/>
  <c r="Q52" i="84"/>
  <c r="C32" i="84"/>
  <c r="C33" i="84"/>
  <c r="C17" i="71"/>
  <c r="D18" i="71"/>
  <c r="Q60" i="84"/>
  <c r="Q73" i="84"/>
  <c r="F59" i="84"/>
  <c r="C38" i="84"/>
  <c r="D116"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F50" i="83" s="1"/>
  <c r="L16" i="1"/>
  <c r="G42" i="43"/>
  <c r="I42" i="43" s="1"/>
  <c r="H67" i="39"/>
  <c r="G69" i="39"/>
  <c r="G38" i="43"/>
  <c r="I38" i="43" s="1"/>
  <c r="E38" i="43"/>
  <c r="E40" i="43"/>
  <c r="E39" i="43"/>
  <c r="C6" i="83"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44" i="69"/>
  <c r="D41" i="69" s="1"/>
  <c r="C66" i="67"/>
  <c r="C60" i="67"/>
  <c r="D10" i="69"/>
  <c r="C34" i="69"/>
  <c r="C17" i="15"/>
  <c r="C14" i="67"/>
  <c r="C17" i="84"/>
  <c r="AE7" i="1"/>
  <c r="D10" i="83"/>
  <c r="C17" i="67"/>
  <c r="D10" i="68"/>
  <c r="E37" i="43" l="1"/>
  <c r="C60" i="84"/>
  <c r="C24" i="11"/>
  <c r="C44" i="83"/>
  <c r="D41" i="83" s="1"/>
  <c r="C24" i="83"/>
  <c r="Q36" i="43"/>
  <c r="O36" i="43"/>
  <c r="C44" i="11"/>
  <c r="D41" i="11" s="1"/>
  <c r="C23" i="11"/>
  <c r="C26" i="68"/>
  <c r="D22" i="68" s="1"/>
  <c r="C26" i="83"/>
  <c r="D22" i="83" s="1"/>
  <c r="M36" i="43"/>
  <c r="C44" i="68"/>
  <c r="D41" i="68" s="1"/>
  <c r="N36" i="43"/>
  <c r="L37" i="43"/>
  <c r="Q37" i="43" s="1"/>
  <c r="G41" i="43"/>
  <c r="I41" i="43" s="1"/>
  <c r="C10" i="83"/>
  <c r="C8" i="83" s="1"/>
  <c r="D19" i="83"/>
  <c r="D37" i="83" s="1"/>
  <c r="C37" i="83" s="1"/>
  <c r="E7" i="70"/>
  <c r="S20" i="6"/>
  <c r="L18" i="85"/>
  <c r="M19" i="85"/>
  <c r="C118" i="85" s="1"/>
  <c r="D17" i="71"/>
  <c r="C16" i="71"/>
  <c r="C25" i="11"/>
  <c r="C6" i="68"/>
  <c r="C7" i="68"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83"/>
  <c r="B6" i="76"/>
  <c r="C34" i="68"/>
  <c r="C14" i="84"/>
  <c r="E6" i="76"/>
  <c r="C14" i="15"/>
  <c r="F41" i="84"/>
  <c r="F69" i="84" l="1"/>
  <c r="J29" i="84"/>
  <c r="B29" i="1"/>
  <c r="C22" i="11"/>
  <c r="C31" i="11" s="1"/>
  <c r="M37" i="43"/>
  <c r="O37" i="43"/>
  <c r="N37" i="43"/>
  <c r="P37" i="43"/>
  <c r="C38" i="83"/>
  <c r="C35" i="83"/>
  <c r="C15" i="84"/>
  <c r="C18" i="84"/>
  <c r="C15" i="71"/>
  <c r="M23" i="43"/>
  <c r="T16" i="71"/>
  <c r="D16" i="71"/>
  <c r="U16" i="71" s="1"/>
  <c r="L19" i="85"/>
  <c r="C7" i="83"/>
  <c r="C5" i="83"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3" i="83" l="1"/>
  <c r="C42" i="83" s="1"/>
  <c r="C19" i="84"/>
  <c r="C20" i="84" s="1"/>
  <c r="C14" i="71"/>
  <c r="D15" i="71"/>
  <c r="C23" i="83"/>
  <c r="C20" i="83"/>
  <c r="C25" i="83"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9" i="83" l="1"/>
  <c r="C43" i="83" s="1"/>
  <c r="C41" i="83" s="1"/>
  <c r="C26" i="84"/>
  <c r="C23" i="84"/>
  <c r="D14" i="71"/>
  <c r="C13" i="71"/>
  <c r="C28" i="83"/>
  <c r="C27" i="83" s="1"/>
  <c r="C22" i="83"/>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84"/>
  <c r="M21" i="15"/>
  <c r="F35" i="15"/>
  <c r="F35" i="67"/>
  <c r="F35" i="84"/>
  <c r="C46" i="83" l="1"/>
  <c r="C45" i="83" s="1"/>
  <c r="C49" i="83" s="1"/>
  <c r="C51" i="83" s="1"/>
  <c r="C29" i="84"/>
  <c r="C36" i="84" s="1"/>
  <c r="C12" i="71"/>
  <c r="D13" i="71"/>
  <c r="J20" i="84"/>
  <c r="J17" i="84" s="1"/>
  <c r="F63" i="84"/>
  <c r="C62" i="84" s="1"/>
  <c r="C59" i="84" s="1"/>
  <c r="C34" i="84"/>
  <c r="C31" i="84" s="1"/>
  <c r="C31" i="8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9" i="84" l="1"/>
  <c r="C13" i="84"/>
  <c r="C56" i="84" s="1"/>
  <c r="C65" i="84" s="1"/>
  <c r="J59" i="84"/>
  <c r="J60" i="84" s="1"/>
  <c r="Q48" i="84" s="1"/>
  <c r="C57" i="84"/>
  <c r="C64" i="84" s="1"/>
  <c r="J14" i="84"/>
  <c r="J22" i="84" s="1"/>
  <c r="C52" i="83"/>
  <c r="C57" i="83" s="1"/>
  <c r="C56" i="8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75" i="84" l="1"/>
  <c r="L46" i="84"/>
  <c r="J13" i="84"/>
  <c r="J23" i="84" s="1"/>
  <c r="J16" i="84" s="1"/>
  <c r="J25" i="84" s="1"/>
  <c r="Q70" i="84"/>
  <c r="C58" i="84"/>
  <c r="C67" i="84" s="1"/>
  <c r="C68" i="84" s="1"/>
  <c r="C71" i="84" s="1"/>
  <c r="C37" i="84"/>
  <c r="C30" i="84" s="1"/>
  <c r="C39" i="84" s="1"/>
  <c r="Q69" i="84" s="1"/>
  <c r="B2" i="83"/>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3"/>
  <c r="Q68" i="84" l="1"/>
  <c r="C80" i="84"/>
  <c r="C79" i="84" s="1"/>
  <c r="C40" i="84"/>
  <c r="C43" i="84"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84"/>
  <c r="D2" i="37"/>
  <c r="L51" i="15"/>
  <c r="Q67" i="84" l="1"/>
  <c r="B2" i="84"/>
  <c r="B3" i="84" s="1"/>
  <c r="Q56" i="84"/>
  <c r="Q62" i="84" s="1"/>
  <c r="Q65" i="84"/>
  <c r="Q75" i="84" s="1"/>
  <c r="C46" i="84"/>
  <c r="Q47" i="84"/>
  <c r="Q53" i="84" s="1"/>
  <c r="C83" i="84"/>
  <c r="C82" i="84"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8" i="1"/>
  <c r="AO7" i="1"/>
  <c r="AO11" i="1"/>
  <c r="AO9" i="1"/>
  <c r="D8" i="71" l="1"/>
  <c r="C7"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9" i="85"/>
  <c r="AO6" i="1"/>
  <c r="D7" i="71" l="1"/>
  <c r="C6" i="71"/>
  <c r="D21" i="85"/>
  <c r="D102" i="85"/>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5"/>
  <c r="D20" i="9"/>
  <c r="C5" i="71" l="1"/>
  <c r="D5" i="71" s="1"/>
  <c r="M24" i="43" s="1"/>
  <c r="D6" i="71"/>
  <c r="D103" i="85"/>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l="1"/>
  <c r="C21" i="12" s="1"/>
  <c r="C22" i="12" s="1"/>
  <c r="C30" i="12" s="1"/>
  <c r="C28" i="12" s="1"/>
  <c r="C23" i="68"/>
  <c r="C20" i="68"/>
  <c r="C27" i="12" l="1"/>
  <c r="C25" i="12" s="1"/>
  <c r="C32" i="12" s="1"/>
  <c r="B2" i="12" s="1"/>
  <c r="B3" i="12" s="1"/>
  <c r="C28" i="68"/>
  <c r="C27" i="68" s="1"/>
  <c r="C25" i="68"/>
  <c r="C22" i="68" s="1"/>
  <c r="C31" i="68" l="1"/>
  <c r="C52" i="68" s="1"/>
  <c r="B2" i="68" s="1"/>
  <c r="C20" i="85"/>
  <c r="C19" i="85"/>
  <c r="C19" i="9"/>
  <c r="B3" i="68"/>
  <c r="G20" i="85" l="1"/>
  <c r="C103" i="85"/>
  <c r="C102" i="85"/>
  <c r="D22" i="85"/>
  <c r="G19" i="85"/>
  <c r="C21" i="85"/>
  <c r="D22" i="9"/>
  <c r="G19" i="9"/>
  <c r="G21" i="9" s="1"/>
  <c r="C102" i="9"/>
  <c r="C21" i="9"/>
  <c r="C57" i="68"/>
  <c r="C20" i="9"/>
  <c r="D35" i="9"/>
  <c r="D35" i="85"/>
  <c r="C103" i="9" l="1"/>
  <c r="G20" i="9"/>
  <c r="C32" i="85"/>
  <c r="G21" i="85"/>
  <c r="C32" i="9"/>
  <c r="C35" i="9" s="1"/>
  <c r="C34" i="9" s="1"/>
  <c r="C56" i="68"/>
  <c r="D34" i="85"/>
  <c r="D34" i="9"/>
  <c r="C35" i="85" l="1"/>
  <c r="F118" i="85" s="1"/>
  <c r="H118" i="85"/>
  <c r="C34" i="85" l="1"/>
  <c r="D118" i="85" s="1"/>
  <c r="D119" i="85" s="1"/>
  <c r="I118" i="85"/>
  <c r="H119" i="85"/>
  <c r="H101" i="85"/>
  <c r="D15" i="74" s="1"/>
  <c r="K15" i="74" s="1"/>
  <c r="C104" i="85"/>
  <c r="F119" i="85"/>
  <c r="G118" i="85"/>
  <c r="E15" i="74" l="1"/>
  <c r="F15" i="74"/>
  <c r="M48" i="85"/>
  <c r="D45" i="85"/>
  <c r="H107" i="85"/>
  <c r="G15" i="74" s="1"/>
  <c r="E118" i="85"/>
  <c r="C105" i="85"/>
  <c r="H102" i="85"/>
  <c r="D122" i="85" l="1"/>
  <c r="D123" i="85" s="1"/>
  <c r="H108" i="85"/>
  <c r="C72" i="85"/>
  <c r="C64" i="85"/>
  <c r="C63" i="85" s="1"/>
  <c r="C67" i="85" s="1"/>
  <c r="D53" i="85"/>
  <c r="C78" i="85"/>
  <c r="C73" i="85" s="1"/>
  <c r="D52" i="85"/>
  <c r="C93" i="85"/>
  <c r="C86" i="85" s="1"/>
  <c r="C85" i="85"/>
  <c r="D55" i="85"/>
  <c r="M53" i="85" s="1"/>
  <c r="C95" i="85" l="1"/>
  <c r="C96" i="85" s="1"/>
  <c r="E96" i="85" s="1"/>
  <c r="E97" i="85" s="1"/>
  <c r="D59" i="85"/>
  <c r="M55" i="85" s="1"/>
  <c r="C68" i="85"/>
  <c r="D54" i="85" s="1"/>
  <c r="C79" i="85"/>
  <c r="C80" i="85" l="1"/>
  <c r="E80" i="85" s="1"/>
  <c r="E81" i="85" s="1"/>
  <c r="C97" i="85"/>
  <c r="D58" i="85" s="1"/>
  <c r="D56" i="85" s="1"/>
  <c r="M54" i="85" s="1"/>
  <c r="N57" i="85" s="1"/>
  <c r="C81" i="85" l="1"/>
  <c r="N58" i="85"/>
  <c r="P57" i="85"/>
  <c r="N59" i="85"/>
  <c r="N61" i="85" l="1"/>
  <c r="N60" i="85"/>
  <c r="D118" i="9" l="1"/>
  <c r="D119" i="9" s="1"/>
  <c r="D5" i="52" s="1"/>
  <c r="B49" i="72" s="1"/>
  <c r="F118" i="9"/>
  <c r="F4" i="52" s="1"/>
  <c r="B51" i="72" s="1"/>
  <c r="H118" i="9"/>
  <c r="H4" i="52" s="1"/>
  <c r="H101" i="9" l="1"/>
  <c r="H119" i="9"/>
  <c r="H5" i="52" s="1"/>
  <c r="F119" i="9"/>
  <c r="F5" i="52" s="1"/>
  <c r="B53" i="72" s="1"/>
  <c r="D4" i="52"/>
  <c r="B47" i="72" s="1"/>
  <c r="C104" i="9"/>
  <c r="I118" i="9"/>
  <c r="G118" i="9"/>
  <c r="G4" i="52" s="1"/>
  <c r="B52" i="72" s="1"/>
  <c r="D45" i="9" l="1"/>
  <c r="C64" i="9" s="1"/>
  <c r="C63" i="9" s="1"/>
  <c r="C67" i="9" s="1"/>
  <c r="D59" i="9" s="1"/>
  <c r="M55" i="9" s="1"/>
  <c r="D14" i="74"/>
  <c r="K14" i="74" s="1"/>
  <c r="M48" i="9"/>
  <c r="H107" i="9"/>
  <c r="D5" i="53"/>
  <c r="B20" i="72" s="1"/>
  <c r="I4" i="52"/>
  <c r="C105" i="9"/>
  <c r="H102" i="9"/>
  <c r="E118" i="9"/>
  <c r="E4" i="52" s="1"/>
  <c r="B48" i="72" s="1"/>
  <c r="C68" i="9" l="1"/>
  <c r="D54" i="9" s="1"/>
  <c r="C72" i="9"/>
  <c r="C85" i="9"/>
  <c r="D6" i="53"/>
  <c r="B22" i="72" s="1"/>
  <c r="D53" i="9"/>
  <c r="D13" i="53"/>
  <c r="D14" i="53" s="1"/>
  <c r="B32" i="72" s="1"/>
  <c r="G14" i="74"/>
  <c r="C93" i="9"/>
  <c r="C86" i="9" s="1"/>
  <c r="D52" i="9"/>
  <c r="C78" i="9"/>
  <c r="C73" i="9" s="1"/>
  <c r="D55" i="9"/>
  <c r="M53" i="9" s="1"/>
  <c r="E14" i="74"/>
  <c r="F14" i="74"/>
  <c r="H108" i="9"/>
  <c r="D15" i="53" s="1"/>
  <c r="B31" i="72" s="1"/>
  <c r="D122" i="9"/>
  <c r="D8" i="52" s="1"/>
  <c r="D7" i="53"/>
  <c r="B21" i="72" s="1"/>
  <c r="C79" i="9" l="1"/>
  <c r="C80" i="9" s="1"/>
  <c r="E80" i="9" s="1"/>
  <c r="E81" i="9" s="1"/>
  <c r="G12" i="74"/>
  <c r="C95" i="9"/>
  <c r="C96" i="9" s="1"/>
  <c r="E96" i="9" s="1"/>
  <c r="E97" i="9" s="1"/>
  <c r="B30" i="72"/>
  <c r="D123" i="9"/>
  <c r="D9" i="52" s="1"/>
  <c r="C81" i="9" l="1"/>
  <c r="C97" i="9"/>
  <c r="D58" i="9" s="1"/>
  <c r="D56" i="9" s="1"/>
  <c r="M54" i="9" s="1"/>
  <c r="N57" i="9" s="1"/>
  <c r="P57" i="9" s="1"/>
  <c r="N58" i="9" l="1"/>
  <c r="N59" i="9"/>
  <c r="N60" i="9" s="1"/>
  <c r="N61" i="9" l="1"/>
  <c r="K16" i="74" l="1"/>
  <c r="E16" i="74" l="1"/>
  <c r="F16" i="74"/>
  <c r="B5" i="74"/>
  <c r="B6" i="74"/>
  <c r="K12" i="74" s="1"/>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作者</author>
  </authors>
  <commentList>
    <comment ref="C104" authorId="0">
      <text>
        <r>
          <rPr>
            <b/>
            <sz val="9"/>
            <rFont val="宋体"/>
            <family val="3"/>
            <charset val="134"/>
          </rPr>
          <t>作者:</t>
        </r>
        <r>
          <rPr>
            <sz val="9"/>
            <rFont val="宋体"/>
            <family val="3"/>
            <charset val="134"/>
          </rPr>
          <t xml:space="preserve">
原北京麒艺果教育咨询有限公司</t>
        </r>
      </text>
    </comment>
    <comment ref="C116" authorId="0">
      <text>
        <r>
          <rPr>
            <b/>
            <sz val="9"/>
            <rFont val="宋体"/>
            <family val="3"/>
            <charset val="134"/>
          </rPr>
          <t>作者:</t>
        </r>
        <r>
          <rPr>
            <sz val="9"/>
            <rFont val="宋体"/>
            <family val="3"/>
            <charset val="134"/>
          </rPr>
          <t xml:space="preserve">
原北京博熙泽科技有限公司</t>
        </r>
      </text>
    </comment>
    <comment ref="C128" authorId="0">
      <text>
        <r>
          <rPr>
            <b/>
            <sz val="9"/>
            <rFont val="宋体"/>
            <family val="3"/>
            <charset val="134"/>
          </rPr>
          <t>作者:</t>
        </r>
        <r>
          <rPr>
            <sz val="9"/>
            <rFont val="宋体"/>
            <family val="3"/>
            <charset val="134"/>
          </rPr>
          <t xml:space="preserve">
原朴圣默</t>
        </r>
      </text>
    </comment>
    <comment ref="C197" authorId="0">
      <text>
        <r>
          <rPr>
            <b/>
            <sz val="9"/>
            <rFont val="宋体"/>
            <family val="3"/>
            <charset val="134"/>
          </rPr>
          <t>作者:</t>
        </r>
        <r>
          <rPr>
            <sz val="9"/>
            <rFont val="宋体"/>
            <family val="3"/>
            <charset val="134"/>
          </rPr>
          <t xml:space="preserve">
原北京马一兰鸿运餐饮管理有限公司</t>
        </r>
      </text>
    </comment>
    <comment ref="C238" authorId="0">
      <text>
        <r>
          <rPr>
            <b/>
            <sz val="9"/>
            <rFont val="宋体"/>
            <family val="3"/>
            <charset val="134"/>
          </rPr>
          <t>作者:</t>
        </r>
        <r>
          <rPr>
            <sz val="9"/>
            <rFont val="宋体"/>
            <family val="3"/>
            <charset val="134"/>
          </rPr>
          <t xml:space="preserve">
原谢宏儒</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<sst xmlns="http://schemas.openxmlformats.org/spreadsheetml/2006/main" count="11854" uniqueCount="4672">
  <si>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</si>
  <si>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</si>
  <si>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</si>
  <si>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</si>
  <si>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</si>
  <si>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</si>
  <si>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</si>
  <si>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</si>
  <si>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</si>
  <si>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</si>
  <si>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</si>
  <si>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</si>
  <si>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</si>
  <si>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</si>
  <si>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</si>
  <si>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</si>
  <si>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</si>
  <si>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</si>
  <si>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</si>
  <si>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</si>
  <si>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</si>
  <si>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</si>
  <si>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</si>
  <si>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</si>
  <si>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</si>
  <si>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</si>
  <si>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</si>
  <si>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</si>
  <si>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</si>
  <si>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</si>
  <si>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</si>
  <si>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</si>
  <si>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</si>
  <si>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</si>
  <si>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</si>
  <si>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</si>
  <si>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</si>
  <si>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</si>
  <si>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</si>
  <si>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</si>
  <si>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</si>
  <si>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</si>
  <si>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</si>
  <si>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</si>
  <si>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</si>
  <si>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</si>
  <si>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</si>
  <si>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</si>
  <si>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</si>
  <si>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</si>
  <si>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</si>
  <si>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</si>
  <si>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</si>
  <si>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</si>
  <si>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</si>
  <si>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</si>
  <si>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</si>
  <si>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</si>
  <si>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</si>
  <si>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</si>
  <si>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</si>
  <si>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</si>
  <si>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</si>
  <si>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</si>
  <si>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</si>
  <si>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</si>
  <si>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</si>
  <si>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</si>
  <si>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</si>
  <si>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</si>
  <si>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</si>
  <si>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</si>
  <si>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</si>
  <si>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</si>
  <si>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</si>
  <si>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</si>
  <si>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</si>
  <si>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</si>
  <si>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</si>
  <si>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</si>
  <si>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</si>
  <si>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</si>
  <si>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</si>
  <si>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</si>
  <si>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</si>
  <si>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</si>
  <si>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</si>
  <si>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</si>
  <si>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</si>
  <si>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</si>
  <si>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</si>
  <si>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</si>
  <si>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</si>
  <si>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</si>
  <si>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</si>
  <si>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</si>
  <si>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</si>
  <si>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</si>
  <si>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</si>
  <si>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</si>
  <si>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</si>
  <si>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</si>
  <si>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</si>
  <si>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</si>
  <si>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</si>
  <si>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</si>
  <si>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</si>
  <si>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</si>
  <si>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</si>
  <si>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</si>
  <si>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</si>
  <si>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</si>
  <si>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</si>
  <si>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</si>
  <si>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</si>
  <si>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</si>
  <si>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</si>
  <si>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</si>
  <si>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</si>
  <si>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</si>
  <si>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</si>
  <si>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</si>
  <si>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</si>
  <si>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</si>
  <si>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</si>
  <si>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</si>
  <si>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</si>
  <si>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</si>
  <si>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</si>
  <si>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</si>
  <si>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</si>
  <si>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</si>
  <si>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</si>
  <si>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</si>
  <si>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</si>
  <si>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</si>
  <si>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</si>
  <si>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</si>
  <si>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</si>
  <si>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</si>
  <si>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</si>
  <si>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</si>
  <si>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</si>
  <si>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</si>
  <si>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</si>
  <si>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</si>
  <si>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</si>
  <si>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</si>
  <si>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</si>
  <si>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</si>
  <si>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</si>
  <si>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</si>
  <si>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</si>
  <si>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</si>
  <si>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</si>
  <si>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</si>
  <si>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</si>
  <si>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</si>
  <si>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</si>
  <si>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</si>
  <si>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</si>
  <si>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</si>
  <si>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</si>
  <si>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</si>
  <si>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</si>
  <si>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</si>
  <si>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</si>
  <si>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</si>
  <si>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</si>
  <si>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</si>
  <si>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</si>
  <si>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</si>
  <si>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</si>
  <si>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</si>
  <si>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</si>
  <si>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</si>
  <si>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</si>
  <si>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</si>
  <si>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</si>
  <si>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</si>
  <si>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</si>
  <si>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</si>
  <si>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</si>
  <si>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</si>
  <si>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</si>
  <si>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</si>
  <si>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</si>
  <si>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</si>
  <si>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</si>
  <si>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</si>
  <si>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</si>
  <si>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</si>
  <si>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</si>
  <si>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</si>
  <si>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</si>
  <si>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</si>
  <si>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</si>
  <si>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</si>
  <si>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</si>
  <si>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</si>
  <si>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</si>
  <si>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</si>
  <si>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</si>
  <si>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</si>
  <si>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</si>
  <si>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</si>
  <si>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</si>
  <si>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</si>
  <si>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</si>
  <si>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</si>
  <si>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</si>
  <si>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</si>
  <si>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</si>
  <si>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</si>
  <si>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</si>
  <si>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</si>
  <si>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</si>
  <si>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</si>
  <si>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</si>
  <si>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</si>
  <si>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</si>
  <si>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</si>
  <si>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</si>
  <si>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</si>
  <si>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</si>
  <si>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</si>
  <si>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</si>
  <si>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</si>
  <si>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</si>
  <si>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</si>
  <si>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</si>
  <si>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</si>
  <si>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</si>
  <si>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</si>
  <si>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</si>
  <si>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</si>
  <si>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</si>
  <si>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</si>
  <si>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</si>
  <si>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</si>
  <si>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</si>
  <si>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</si>
  <si>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</si>
  <si>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</si>
  <si>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</si>
  <si>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</si>
  <si>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</si>
  <si>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</si>
  <si>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</si>
  <si>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</si>
  <si>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</si>
  <si>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</si>
  <si>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</si>
  <si>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</si>
  <si>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</si>
  <si>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</si>
  <si>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</si>
  <si>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</si>
  <si>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</si>
  <si>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</si>
  <si>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</si>
  <si>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</si>
  <si>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</si>
  <si>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</si>
  <si>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</si>
  <si>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</si>
  <si>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</si>
  <si>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</si>
  <si>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</si>
  <si>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</si>
  <si>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</si>
  <si>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</si>
  <si>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</si>
  <si>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</si>
  <si>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</si>
  <si>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</si>
  <si>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</si>
  <si>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</si>
  <si>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</si>
  <si>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</si>
  <si>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</si>
  <si>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</si>
  <si>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</si>
  <si>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</si>
  <si>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</si>
  <si>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</si>
  <si>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</si>
  <si>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</si>
  <si>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</si>
  <si>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</si>
  <si>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</si>
  <si>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</si>
  <si>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</si>
  <si>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</si>
  <si>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</si>
  <si>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</si>
  <si>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</si>
  <si>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</si>
  <si>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</si>
  <si>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</si>
  <si>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</si>
  <si>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</si>
  <si>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</si>
  <si>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</si>
  <si>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</si>
  <si>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</si>
  <si>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</si>
  <si>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</si>
  <si>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</si>
  <si>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</si>
  <si>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</si>
  <si>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</si>
  <si>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</si>
  <si>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</si>
  <si>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</si>
  <si>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</si>
  <si>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</si>
  <si>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</si>
  <si>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</si>
  <si>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</si>
  <si>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</si>
  <si>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</si>
  <si>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</si>
  <si>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</si>
  <si>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</si>
  <si>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</si>
  <si>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</si>
  <si>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</si>
  <si>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</si>
  <si>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</si>
  <si>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</si>
  <si>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</si>
  <si>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</si>
  <si>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</si>
  <si>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</si>
  <si>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</si>
  <si>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</si>
  <si>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</si>
  <si>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</si>
  <si>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</si>
  <si>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</si>
  <si>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</si>
  <si>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</si>
  <si>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</si>
  <si>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</si>
  <si>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</si>
  <si>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</si>
  <si>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</si>
  <si>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</si>
  <si>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</si>
  <si>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</si>
  <si>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</si>
  <si>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</si>
  <si>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</si>
  <si>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</si>
  <si>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</si>
  <si>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</si>
  <si>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</si>
  <si>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</si>
  <si>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</si>
  <si>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</si>
  <si>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</si>
  <si>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</si>
  <si>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</si>
  <si>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</si>
  <si>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</si>
  <si>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</si>
  <si>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</si>
  <si>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</si>
  <si>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</si>
  <si>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</si>
  <si>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</si>
  <si>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</si>
  <si>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</si>
  <si>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</si>
  <si>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</si>
  <si>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</si>
  <si>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</si>
  <si>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</si>
  <si>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</si>
  <si>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</si>
  <si>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</si>
  <si>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</si>
  <si>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</si>
  <si>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</si>
  <si>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</si>
  <si>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</si>
  <si>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</si>
  <si>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</si>
  <si>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</si>
  <si>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</si>
  <si>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</si>
  <si>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</si>
  <si>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</si>
  <si>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</si>
  <si>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</si>
  <si>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</si>
  <si>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</si>
  <si>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</si>
  <si>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</si>
  <si>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</si>
  <si>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</si>
  <si>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</si>
  <si>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</si>
  <si>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</si>
  <si>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</si>
  <si>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</si>
  <si>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</si>
  <si>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</si>
  <si>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</si>
  <si>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</si>
  <si>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</si>
  <si>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</si>
  <si>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</si>
  <si>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</si>
  <si>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</si>
  <si>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</si>
  <si>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</si>
  <si>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</si>
  <si>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</si>
  <si>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</si>
  <si>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</si>
  <si>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</si>
  <si>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</si>
  <si>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</si>
  <si>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</si>
  <si>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</si>
  <si>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</si>
  <si>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</si>
  <si>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</si>
  <si>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</si>
  <si>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</si>
  <si>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</si>
  <si>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</si>
  <si>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</si>
  <si>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</si>
  <si>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</si>
  <si>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</si>
  <si>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</si>
  <si>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</si>
  <si>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</si>
  <si>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</si>
  <si>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</si>
  <si>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</si>
  <si>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</si>
  <si>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</si>
  <si>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</si>
  <si>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</si>
  <si>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</si>
  <si>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</si>
  <si>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</si>
  <si>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</si>
  <si>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</si>
  <si>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</si>
  <si>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</si>
  <si>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</si>
  <si>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</si>
  <si>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</si>
  <si>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</si>
  <si>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</si>
  <si>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</si>
  <si>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</si>
  <si>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</si>
  <si>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</si>
  <si>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</si>
  <si>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</si>
  <si>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</si>
  <si>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</si>
  <si>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</si>
  <si>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</si>
  <si>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</si>
  <si>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</si>
  <si>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</si>
  <si>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</si>
  <si>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</si>
  <si>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</si>
  <si>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</si>
  <si>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</si>
  <si>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</si>
  <si>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</si>
  <si>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</si>
  <si>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</si>
  <si>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</si>
  <si>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</si>
  <si>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</si>
  <si>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</si>
  <si>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</si>
  <si>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</si>
  <si>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</si>
  <si>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</si>
  <si>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</si>
  <si>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</si>
  <si>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</si>
  <si>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</si>
  <si>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</si>
  <si>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</si>
  <si>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</si>
  <si>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</si>
  <si>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</si>
  <si>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</si>
  <si>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</si>
  <si>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</si>
  <si>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</si>
  <si>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</si>
  <si>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</si>
  <si>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</si>
  <si>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</si>
  <si>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</si>
  <si>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</si>
  <si>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</si>
  <si>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</si>
  <si>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</si>
  <si>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</si>
  <si>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</si>
  <si>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</si>
  <si>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</si>
  <si>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</si>
  <si>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</si>
  <si>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</si>
  <si>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</si>
  <si>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</si>
  <si>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</si>
  <si>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</si>
  <si>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</si>
  <si>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</si>
  <si>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</si>
  <si>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</si>
  <si>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</si>
  <si>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</si>
  <si>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</si>
  <si>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</si>
  <si>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</si>
  <si>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</si>
  <si>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</si>
  <si>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</si>
  <si>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</si>
  <si>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</si>
  <si>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</si>
  <si>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</si>
  <si>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</si>
  <si>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</si>
  <si>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</si>
  <si>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</si>
  <si>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</si>
  <si>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</si>
  <si>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</si>
  <si>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</si>
  <si>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</si>
  <si>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</si>
  <si>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</si>
  <si>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</si>
  <si>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</si>
  <si>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</si>
  <si>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</si>
  <si>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</si>
  <si>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</si>
  <si>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</si>
  <si>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</si>
  <si>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</si>
  <si>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</si>
  <si>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</si>
  <si>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</si>
  <si>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</si>
  <si>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</si>
  <si>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</si>
  <si>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</si>
  <si>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</si>
  <si>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</si>
  <si>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</si>
  <si>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</si>
  <si>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</si>
  <si>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</si>
  <si>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</si>
  <si>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</si>
  <si>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</si>
  <si>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</si>
  <si>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</si>
  <si>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</si>
  <si>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</si>
  <si>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</si>
  <si>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</si>
  <si>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</si>
  <si>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</si>
  <si>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</si>
  <si>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</si>
  <si>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</si>
  <si>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</si>
  <si>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</si>
  <si>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</si>
  <si>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</si>
  <si>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</si>
  <si>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</si>
  <si>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</si>
  <si>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</si>
  <si>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</si>
  <si>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</si>
  <si>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</si>
  <si>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</si>
  <si>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</si>
  <si>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</si>
  <si>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</si>
  <si>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</si>
  <si>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</si>
  <si>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</si>
  <si>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</si>
  <si>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</si>
  <si>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</si>
  <si>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</si>
  <si>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</si>
  <si>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</si>
  <si>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</si>
  <si>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</si>
  <si>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</si>
  <si>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</si>
  <si>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</si>
  <si>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</si>
  <si>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</si>
  <si>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</si>
  <si>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</si>
  <si>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</si>
  <si>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</si>
  <si>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</si>
  <si>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</si>
  <si>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</si>
  <si>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</si>
  <si>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</si>
  <si>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</si>
  <si>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</si>
  <si>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</si>
  <si>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</si>
  <si>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</si>
  <si>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</si>
  <si>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</si>
  <si>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</si>
  <si>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</si>
  <si>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</si>
  <si>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</si>
  <si>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</si>
  <si>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</si>
  <si>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</si>
  <si>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</si>
  <si>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</si>
  <si>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</si>
  <si>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</si>
  <si>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</si>
  <si>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</si>
  <si>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</si>
  <si>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</si>
  <si>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</si>
  <si>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</si>
  <si>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</si>
  <si>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</si>
  <si>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</si>
  <si>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</si>
  <si>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</si>
  <si>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</si>
  <si>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</si>
  <si>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</si>
  <si>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</si>
  <si>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</si>
  <si>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</si>
  <si>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</si>
  <si>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</si>
  <si>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</si>
  <si>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</si>
  <si>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</si>
  <si>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</si>
  <si>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</si>
  <si>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</si>
  <si>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</si>
  <si>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</si>
  <si>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</si>
  <si>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</si>
  <si>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</si>
  <si>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</si>
  <si>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</si>
  <si>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</si>
  <si>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</si>
  <si>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</si>
  <si>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</si>
  <si>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</si>
  <si>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</si>
  <si>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</si>
  <si>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</si>
  <si>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</si>
  <si>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</si>
  <si>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</si>
  <si>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</si>
  <si>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</si>
  <si>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</si>
  <si>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</si>
  <si>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</si>
  <si>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</si>
  <si>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</si>
  <si>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</si>
  <si>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</si>
  <si>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</si>
  <si>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</si>
  <si>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</si>
  <si>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</si>
  <si>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</si>
  <si>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</si>
  <si>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</si>
  <si>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</si>
  <si>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</si>
  <si>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</si>
  <si>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</si>
  <si>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</si>
  <si>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</si>
  <si>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</si>
  <si>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</si>
  <si>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</si>
  <si>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</si>
  <si>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</si>
  <si>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</si>
  <si>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</si>
  <si>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</si>
  <si>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</si>
  <si>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</si>
  <si>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</si>
  <si>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</si>
  <si>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</si>
  <si>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</si>
  <si>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</si>
  <si>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</si>
  <si>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</si>
  <si>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</si>
  <si>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</si>
  <si>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</si>
  <si>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</si>
  <si>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</si>
  <si>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</si>
  <si>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</si>
  <si>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</si>
  <si>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</si>
  <si>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</si>
  <si>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</si>
  <si>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</si>
  <si>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</si>
  <si>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</si>
  <si>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</si>
  <si>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</si>
  <si>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</si>
  <si>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</si>
  <si>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</si>
  <si>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</si>
  <si>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</si>
  <si>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</si>
  <si>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</si>
  <si>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</si>
  <si>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</si>
  <si>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</si>
  <si>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</si>
  <si>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</si>
  <si>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</si>
  <si>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</si>
  <si>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</si>
  <si>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</si>
  <si>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</si>
  <si>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</si>
  <si>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</si>
  <si>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</si>
  <si>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</si>
  <si>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</si>
  <si>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</si>
  <si>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</si>
  <si>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</si>
  <si>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</si>
  <si>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</si>
  <si>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</si>
  <si>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</si>
  <si>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</si>
  <si>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</si>
  <si>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</si>
  <si>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</si>
  <si>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</si>
  <si>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</si>
  <si>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</si>
  <si>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</si>
  <si>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</si>
  <si>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</si>
  <si>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</si>
  <si>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</si>
  <si>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</si>
  <si>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</si>
  <si>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</si>
  <si>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</si>
  <si>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</si>
  <si>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</si>
  <si>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</si>
  <si>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</si>
  <si>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</si>
  <si>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</si>
  <si>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</si>
  <si>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</si>
  <si>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</si>
  <si>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</si>
  <si>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</si>
  <si>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</si>
  <si>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</si>
  <si>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</si>
  <si>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</si>
  <si>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</si>
  <si>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</si>
  <si>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</si>
  <si>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</si>
  <si>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</si>
  <si>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</si>
  <si>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</si>
  <si>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</si>
  <si>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</si>
  <si>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</si>
  <si>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</si>
  <si>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</si>
  <si>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</si>
  <si>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</si>
  <si>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</si>
  <si>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</si>
  <si>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</si>
  <si>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</si>
  <si>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</si>
  <si>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</si>
  <si>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</si>
  <si>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</si>
  <si>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</si>
  <si>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</si>
  <si>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</si>
  <si>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</si>
  <si>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</si>
  <si>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</si>
  <si>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</si>
  <si>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</si>
  <si>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</si>
  <si>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</si>
  <si>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</si>
  <si>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</si>
  <si>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</si>
  <si>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</si>
  <si>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</si>
  <si>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</si>
  <si>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</si>
  <si>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</si>
  <si>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</si>
  <si>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</si>
  <si>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</si>
  <si>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</si>
  <si>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</si>
  <si>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</si>
  <si>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</si>
  <si>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</si>
  <si>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</si>
  <si>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</si>
  <si>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</si>
  <si>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</si>
  <si>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</si>
  <si>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</si>
  <si>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</si>
  <si>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</si>
  <si>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</si>
  <si>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</si>
  <si>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</si>
  <si>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</si>
  <si>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</si>
  <si>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</si>
  <si>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</si>
  <si>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</si>
  <si>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</si>
  <si>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</si>
  <si>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</si>
  <si>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</si>
  <si>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</si>
  <si>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</si>
  <si>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</si>
  <si>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</si>
  <si>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</si>
  <si>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</si>
  <si>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</si>
  <si>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</si>
  <si>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</si>
  <si>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</si>
  <si>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</si>
  <si>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</si>
  <si>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</si>
  <si>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</si>
  <si>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</si>
  <si>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</si>
  <si>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</si>
  <si>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</si>
  <si>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</si>
  <si>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</si>
  <si>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</si>
  <si>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</si>
  <si>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</si>
  <si>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</si>
  <si>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</si>
  <si>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</si>
  <si>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</si>
  <si>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</si>
  <si>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</si>
  <si>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</si>
  <si>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</si>
  <si>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</si>
  <si>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</si>
  <si>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</si>
  <si>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</si>
  <si>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</si>
  <si>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</si>
  <si>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</si>
  <si>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</si>
  <si>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</si>
  <si>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</si>
  <si>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</si>
  <si>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</si>
  <si>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</si>
  <si>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</si>
  <si>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</si>
  <si>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</si>
  <si>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</si>
  <si>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</si>
  <si>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</si>
  <si>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</si>
  <si>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</si>
  <si>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</si>
  <si>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</si>
  <si>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</si>
  <si>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</si>
  <si>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</si>
  <si>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</si>
  <si>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</si>
  <si>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</si>
  <si>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</si>
  <si>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</si>
  <si>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</si>
  <si>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</si>
  <si>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</si>
  <si>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</si>
  <si>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</si>
  <si>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</si>
  <si>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</si>
  <si>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</si>
  <si>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</si>
  <si>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</si>
  <si>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</si>
  <si>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</si>
  <si>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</si>
  <si>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</si>
  <si>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</si>
  <si>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</si>
  <si>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</si>
  <si>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</si>
  <si>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</si>
  <si>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</si>
  <si>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</si>
  <si>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</si>
  <si>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</si>
  <si>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</si>
  <si>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</si>
  <si>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</si>
  <si>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</si>
  <si>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</si>
  <si>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</si>
  <si>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</si>
  <si>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</si>
  <si>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</si>
  <si>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</si>
  <si>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</si>
  <si>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</si>
  <si>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</si>
  <si>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</si>
  <si>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</si>
  <si>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</si>
  <si>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</si>
  <si>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</si>
  <si>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</si>
  <si>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</si>
  <si>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</si>
  <si>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</si>
  <si>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</si>
  <si>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</si>
  <si>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</si>
  <si>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</si>
  <si>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</si>
  <si>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</si>
  <si>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</si>
  <si>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</si>
  <si>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</si>
  <si>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</si>
  <si>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</si>
  <si>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</si>
  <si>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</si>
  <si>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</si>
  <si>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</si>
  <si>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</si>
  <si>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</si>
  <si>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</si>
  <si>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</si>
  <si>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</si>
  <si>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</si>
  <si>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</si>
  <si>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</si>
  <si>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</si>
  <si>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</si>
  <si>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</si>
  <si>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</si>
  <si>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</si>
  <si>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</si>
  <si>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</si>
  <si>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</si>
  <si>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</si>
  <si>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</si>
  <si>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</si>
  <si>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</si>
  <si>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</si>
  <si>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</si>
  <si>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</si>
  <si>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</si>
  <si>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</si>
  <si>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</si>
  <si>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</si>
  <si>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</si>
  <si>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</si>
  <si>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</si>
  <si>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</si>
  <si>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</si>
  <si>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</si>
  <si>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</si>
  <si>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</si>
  <si>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</si>
  <si>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</si>
  <si>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</si>
  <si>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</si>
  <si>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</si>
  <si>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</si>
  <si>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</si>
  <si>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</si>
  <si>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</si>
  <si>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</si>
  <si>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</si>
  <si>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</si>
  <si>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</si>
  <si>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</si>
  <si>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</si>
  <si>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</si>
  <si>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</si>
  <si>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</si>
  <si>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</si>
  <si>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</si>
  <si>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</si>
  <si>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</si>
  <si>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</si>
  <si>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</si>
  <si>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</si>
  <si>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</si>
  <si>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</si>
  <si>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</si>
  <si>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</si>
  <si>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</si>
  <si>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</si>
  <si>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</si>
  <si>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</si>
  <si>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</si>
  <si>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</si>
  <si>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</si>
  <si>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</si>
  <si>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</si>
  <si>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</si>
  <si>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</si>
  <si>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</si>
  <si>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</si>
  <si>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</si>
  <si>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</si>
  <si>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</si>
  <si>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</si>
  <si>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</si>
  <si>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</si>
  <si>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</si>
  <si>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</si>
  <si>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</si>
  <si>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</si>
  <si>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</si>
  <si>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</si>
  <si>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</si>
  <si>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</si>
  <si>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</si>
  <si>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</si>
  <si>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</si>
  <si>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</si>
  <si>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</si>
  <si>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</si>
  <si>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</si>
  <si>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</si>
  <si>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</si>
  <si>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</si>
  <si>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</si>
  <si>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</si>
  <si>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</si>
  <si>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</si>
  <si>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</si>
  <si>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</si>
  <si>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</si>
  <si>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</si>
  <si>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</si>
  <si>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</si>
  <si>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</si>
  <si>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</si>
  <si>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</si>
  <si>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</si>
  <si>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</si>
  <si>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</si>
  <si>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</si>
  <si>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</si>
  <si>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</si>
  <si>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</si>
  <si>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</si>
  <si>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</si>
  <si>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</si>
  <si>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</si>
  <si>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</si>
  <si>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</si>
  <si>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</si>
  <si>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</si>
  <si>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</si>
  <si>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</si>
  <si>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</si>
  <si>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</si>
  <si>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</si>
  <si>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</si>
  <si>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</si>
  <si>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</si>
  <si>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</si>
  <si>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</si>
  <si>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</si>
  <si>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</si>
  <si>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</si>
  <si>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</si>
  <si>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</si>
  <si>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</si>
  <si>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</si>
  <si>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</si>
  <si>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</si>
  <si>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</si>
  <si>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</si>
  <si>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</si>
  <si>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</si>
  <si>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</si>
  <si>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</si>
  <si>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</si>
  <si>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</si>
  <si>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</si>
  <si>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</si>
  <si>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</si>
  <si>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</si>
  <si>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</si>
  <si>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</si>
  <si>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</si>
  <si>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</si>
  <si>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</si>
  <si>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</si>
  <si>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</si>
  <si>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</si>
  <si>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</si>
  <si>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</si>
  <si>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</si>
  <si>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</si>
  <si>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</si>
  <si>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</si>
  <si>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</si>
  <si>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</si>
  <si>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</si>
  <si>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</si>
  <si>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</si>
  <si>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</si>
  <si>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</si>
  <si>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</si>
  <si>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</si>
  <si>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</si>
  <si>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</si>
  <si>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</si>
  <si>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</si>
  <si>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</si>
  <si>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</si>
  <si>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</si>
  <si>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</si>
  <si>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</si>
  <si>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</si>
  <si>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</si>
  <si>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</si>
  <si>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</si>
  <si>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</si>
  <si>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</si>
  <si>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</si>
  <si>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</si>
  <si>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</si>
  <si>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</si>
  <si>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</si>
  <si>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</si>
  <si>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</si>
  <si>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</si>
  <si>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</si>
  <si>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</si>
  <si>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</si>
  <si>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</si>
  <si>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</si>
  <si>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</si>
  <si>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</si>
  <si>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</si>
  <si>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</si>
  <si>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</si>
  <si>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</si>
  <si>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</si>
  <si>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</si>
  <si>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</si>
  <si>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</si>
  <si>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</si>
  <si>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</si>
  <si>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</si>
  <si>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</si>
  <si>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</si>
  <si>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</si>
  <si>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</si>
  <si>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</si>
  <si>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</si>
  <si>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</si>
  <si>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</si>
  <si>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</si>
  <si>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</si>
  <si>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</si>
  <si>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</si>
  <si>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</si>
  <si>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</si>
  <si>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</si>
  <si>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</si>
  <si>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</si>
  <si>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</si>
  <si>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</si>
  <si>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</si>
  <si>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</si>
  <si>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</si>
  <si>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</si>
  <si>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</si>
  <si>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</si>
  <si>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</si>
  <si>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</si>
  <si>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</si>
  <si>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</si>
  <si>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</si>
  <si>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</si>
  <si>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</si>
  <si>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</si>
  <si>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</si>
  <si>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</si>
  <si>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</si>
  <si>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</si>
  <si>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</si>
  <si>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</si>
  <si>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</si>
  <si>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</si>
  <si>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</si>
  <si>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</si>
  <si>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</si>
  <si>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</si>
  <si>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</si>
  <si>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</si>
  <si>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</si>
  <si>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</si>
  <si>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</si>
  <si>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</si>
  <si>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</si>
  <si>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</si>
  <si>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</si>
  <si>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</si>
  <si>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</si>
  <si>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</si>
  <si>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</si>
  <si>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</si>
  <si>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</si>
  <si>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</si>
  <si>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</si>
  <si>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</si>
  <si>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</si>
  <si>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</si>
  <si>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</si>
  <si>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</si>
  <si>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</si>
  <si>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</si>
  <si>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</si>
  <si>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</si>
  <si>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</si>
  <si>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</si>
  <si>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</si>
  <si>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</si>
  <si>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</si>
  <si>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</si>
  <si>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</si>
  <si>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</si>
  <si>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</si>
  <si>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</si>
  <si>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</si>
  <si>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</si>
  <si>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</si>
  <si>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</si>
  <si>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</si>
  <si>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</si>
  <si>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</si>
  <si>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</si>
  <si>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</si>
  <si>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</si>
  <si>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</si>
  <si>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</si>
  <si>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</si>
  <si>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</si>
  <si>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</si>
  <si>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</si>
  <si>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</si>
  <si>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</si>
  <si>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</si>
  <si>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</si>
  <si>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</si>
  <si>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</si>
  <si>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</si>
  <si>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</si>
  <si>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</si>
  <si>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</si>
  <si>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</si>
  <si>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</si>
  <si>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</si>
  <si>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</si>
  <si>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</si>
  <si>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</si>
  <si>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</si>
  <si>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</si>
  <si>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</si>
  <si>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</si>
  <si>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</si>
  <si>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</si>
  <si>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</si>
  <si>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</si>
  <si>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</si>
  <si>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</si>
  <si>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</si>
  <si>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</si>
  <si>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</si>
  <si>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</si>
  <si>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</si>
  <si>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</si>
  <si>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</si>
  <si>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</si>
  <si>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</si>
  <si>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</si>
  <si>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</si>
  <si>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</si>
  <si>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</si>
  <si>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</si>
  <si>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</si>
  <si>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</si>
  <si>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</si>
  <si>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</si>
  <si>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</si>
  <si>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</si>
  <si>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</si>
  <si>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</si>
  <si>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</si>
  <si>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</si>
  <si>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</si>
  <si>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</si>
  <si>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</si>
  <si>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</si>
  <si>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</si>
  <si>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</si>
  <si>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</si>
  <si>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</si>
  <si>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</si>
  <si>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</si>
  <si>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</si>
  <si>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</si>
  <si>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</si>
  <si>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</si>
  <si>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</si>
  <si>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</si>
  <si>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</si>
  <si>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</si>
  <si>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</si>
  <si>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</si>
  <si>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</si>
  <si>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</si>
  <si>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</si>
  <si>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</si>
  <si>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</si>
  <si>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</si>
  <si>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</si>
  <si>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</si>
  <si>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</si>
  <si>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</si>
  <si>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</si>
  <si>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</si>
  <si>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</si>
  <si>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</si>
  <si>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</si>
  <si>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</si>
  <si>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</si>
  <si>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</si>
  <si>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</si>
  <si>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</si>
  <si>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</si>
  <si>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</si>
  <si>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</si>
  <si>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</si>
  <si>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</si>
  <si>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</si>
  <si>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</si>
  <si>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</si>
  <si>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</si>
  <si>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</si>
  <si>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</si>
  <si>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</si>
  <si>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</si>
  <si>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</si>
  <si>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</si>
  <si>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</si>
  <si>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</si>
  <si>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</si>
  <si>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</si>
  <si>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</si>
  <si>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</si>
  <si>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</si>
  <si>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</si>
  <si>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</si>
  <si>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</si>
  <si>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</si>
  <si>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</si>
  <si>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</si>
  <si>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</si>
  <si>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</si>
  <si>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</si>
  <si>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</si>
  <si>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</si>
  <si>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</si>
  <si>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</si>
  <si>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</si>
  <si>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</si>
  <si>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</si>
  <si>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</si>
  <si>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</si>
  <si>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</si>
  <si>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</si>
  <si>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</si>
  <si>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</si>
  <si>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</si>
  <si>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</si>
  <si>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</si>
  <si>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</si>
  <si>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</si>
  <si>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</si>
  <si>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</si>
  <si>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</si>
  <si>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</si>
  <si>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</si>
  <si>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</si>
  <si>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</si>
  <si>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</si>
  <si>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</si>
  <si>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</si>
  <si>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</si>
  <si>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</si>
  <si>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</si>
  <si>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</si>
  <si>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</si>
  <si>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</si>
  <si>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</si>
  <si>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</si>
  <si>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</si>
  <si>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</si>
  <si>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</si>
  <si>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</si>
  <si>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</si>
  <si>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</si>
  <si>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</si>
  <si>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</si>
  <si>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</si>
  <si>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</si>
  <si>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</si>
  <si>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</si>
  <si>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</si>
  <si>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</si>
  <si>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</si>
  <si>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</si>
  <si>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</si>
  <si>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</si>
  <si>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</si>
  <si>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</si>
  <si>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</si>
  <si>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</si>
  <si>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</si>
  <si>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</si>
  <si>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</si>
  <si>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</si>
  <si>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</si>
  <si>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</si>
  <si>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</si>
  <si>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</si>
  <si>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</si>
  <si>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</si>
  <si>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</si>
  <si>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</si>
  <si>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</si>
  <si>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</si>
  <si>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</si>
  <si>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</si>
  <si>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</si>
  <si>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</si>
  <si>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</si>
  <si>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</si>
  <si>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</si>
  <si>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</si>
  <si>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</si>
  <si>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</si>
  <si>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</si>
  <si>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</si>
  <si>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</si>
  <si>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</si>
  <si>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</si>
  <si>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</si>
  <si>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</si>
  <si>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</si>
  <si>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</si>
  <si>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</si>
  <si>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</si>
  <si>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</si>
  <si>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</si>
  <si>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</si>
  <si>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</si>
  <si>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</si>
  <si>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</si>
  <si>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</si>
  <si>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</si>
  <si>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</si>
  <si>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</si>
  <si>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</si>
  <si>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</si>
  <si>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</si>
  <si>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</si>
  <si>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</si>
  <si>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</si>
  <si>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</si>
  <si>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</si>
  <si>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</si>
  <si>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</si>
  <si>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</si>
  <si>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</si>
  <si>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</si>
  <si>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</si>
  <si>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</si>
  <si>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</si>
  <si>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</si>
  <si>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</si>
  <si>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</si>
  <si>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</si>
  <si>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</si>
  <si>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</si>
  <si>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</si>
  <si>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</si>
  <si>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</si>
  <si>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</si>
  <si>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</si>
  <si>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</si>
  <si>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</si>
  <si>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</si>
  <si>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</si>
  <si>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</si>
  <si>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</si>
  <si>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</si>
  <si>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</si>
  <si>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</si>
  <si>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</si>
  <si>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</si>
  <si>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</si>
  <si>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</si>
  <si>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</si>
  <si>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</si>
  <si>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</si>
  <si>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</si>
  <si>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</si>
  <si>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</si>
  <si>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</si>
  <si>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</si>
  <si>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</si>
  <si>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</si>
  <si>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</si>
  <si>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</si>
  <si>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</si>
  <si>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</si>
  <si>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</si>
  <si>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</si>
  <si>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</si>
  <si>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</si>
  <si>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</si>
  <si>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</si>
  <si>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</si>
  <si>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</si>
  <si>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</si>
  <si>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</si>
  <si>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</si>
  <si>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</si>
  <si>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</si>
  <si>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</si>
  <si>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</si>
  <si>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</si>
  <si>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</si>
  <si>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</si>
  <si>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</si>
  <si>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</si>
  <si>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</si>
  <si>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</si>
  <si>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</si>
  <si>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</si>
  <si>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</si>
  <si>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</si>
  <si>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</si>
  <si>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</si>
  <si>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</si>
  <si>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</si>
  <si>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</si>
  <si>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</si>
  <si>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</si>
  <si>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</si>
  <si>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</si>
  <si>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</si>
  <si>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</si>
  <si>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</si>
  <si>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</si>
  <si>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</si>
  <si>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</si>
  <si>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</si>
  <si>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</si>
  <si>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</si>
  <si>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</si>
  <si>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</si>
  <si>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</si>
  <si>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</si>
  <si>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</si>
  <si>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</si>
  <si>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</si>
  <si>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</si>
  <si>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</si>
  <si>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</si>
  <si>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</si>
  <si>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</si>
  <si>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</si>
  <si>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</si>
  <si>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</si>
  <si>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</si>
  <si>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</si>
  <si>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</si>
  <si>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</si>
  <si>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</si>
  <si>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</si>
  <si>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</si>
  <si>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</si>
  <si>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</si>
  <si>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</si>
  <si>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</si>
  <si>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</si>
  <si>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</si>
  <si>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</si>
  <si>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</si>
  <si>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</si>
  <si>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</si>
  <si>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</si>
  <si>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</si>
  <si>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</si>
  <si>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</si>
  <si>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</si>
  <si>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</si>
  <si>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</si>
  <si>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</si>
  <si>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</si>
  <si>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</si>
  <si>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</si>
  <si>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</si>
  <si>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</si>
  <si>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</si>
  <si>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</si>
  <si>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</si>
  <si>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</si>
  <si>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</si>
  <si>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</si>
  <si>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</si>
  <si>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</si>
  <si>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</si>
  <si>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</si>
  <si>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</si>
  <si>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</si>
  <si>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</si>
  <si>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</si>
  <si>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</si>
  <si>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</si>
  <si>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</si>
  <si>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</si>
  <si>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</si>
  <si>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</si>
  <si>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</si>
  <si>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</si>
  <si>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</si>
  <si>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</si>
  <si>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</si>
  <si>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</si>
  <si>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</si>
  <si>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</si>
  <si>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</si>
  <si>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</si>
  <si>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</si>
  <si>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</si>
  <si>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</si>
  <si>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</si>
  <si>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</si>
  <si>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</si>
  <si>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</si>
  <si>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</si>
  <si>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</si>
  <si>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</si>
  <si>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</si>
  <si>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</si>
  <si>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</si>
  <si>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</si>
  <si>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</si>
  <si>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</si>
  <si>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</si>
  <si>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</si>
  <si>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</si>
  <si>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</si>
  <si>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</si>
  <si>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</si>
  <si>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</si>
  <si>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</si>
  <si>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</si>
  <si>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</si>
  <si>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</si>
  <si>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</si>
  <si>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</si>
  <si>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</si>
  <si>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</si>
  <si>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</si>
  <si>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</si>
  <si>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</si>
  <si>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</si>
  <si>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</si>
  <si>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</si>
  <si>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</si>
  <si>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</si>
  <si>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</si>
  <si>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</si>
  <si>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</si>
  <si>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</si>
  <si>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</si>
  <si>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</si>
  <si>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</si>
  <si>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</si>
  <si>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</si>
  <si>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</si>
  <si>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</si>
  <si>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</si>
  <si>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</si>
  <si>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</si>
  <si>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</si>
  <si>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</si>
  <si>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</si>
  <si>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</si>
  <si>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</si>
  <si>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</si>
  <si>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</si>
  <si>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</si>
  <si>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</si>
  <si>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</si>
  <si>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</si>
  <si>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</si>
  <si>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</si>
  <si>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</si>
  <si>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</si>
  <si>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</si>
  <si>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</si>
  <si>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</si>
  <si>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</si>
  <si>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</si>
  <si>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</si>
  <si>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</si>
  <si>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</si>
  <si>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</si>
  <si>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</si>
  <si>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</si>
  <si>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</si>
  <si>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</si>
  <si>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</si>
  <si>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</si>
  <si>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</si>
  <si>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</si>
  <si>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</si>
  <si>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</si>
  <si>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</si>
  <si>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</si>
  <si>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</si>
  <si>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</si>
  <si>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</si>
  <si>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</si>
  <si>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</si>
  <si>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</si>
  <si>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</si>
  <si>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</si>
  <si>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</si>
  <si>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</si>
  <si>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</si>
  <si>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</si>
  <si>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</si>
  <si>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</si>
  <si>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</si>
  <si>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</si>
  <si>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</si>
  <si>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</si>
  <si>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</si>
  <si>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</si>
  <si>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</si>
  <si>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</si>
  <si>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</si>
  <si>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</si>
  <si>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</si>
  <si>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</si>
  <si>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</si>
  <si>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</si>
  <si>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</si>
  <si>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</si>
  <si>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</si>
  <si>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</si>
  <si>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</si>
  <si>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</si>
  <si>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</si>
  <si>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</si>
  <si>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</si>
  <si>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</si>
  <si>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</si>
  <si>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</si>
  <si>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</si>
  <si>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</si>
  <si>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</si>
  <si>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</si>
  <si>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</si>
  <si>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</si>
  <si>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</si>
  <si>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</si>
  <si>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</si>
  <si>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</si>
  <si>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</si>
  <si>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</si>
  <si>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</si>
  <si>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</si>
  <si>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</si>
  <si>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</si>
  <si>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</si>
  <si>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</si>
  <si>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</si>
  <si>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</si>
  <si>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</si>
  <si>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</si>
  <si>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</si>
  <si>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</si>
  <si>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</si>
  <si>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</si>
  <si>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</si>
  <si>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</si>
  <si>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</si>
  <si>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</si>
  <si>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</si>
  <si>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</si>
  <si>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</si>
  <si>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</si>
  <si>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</si>
  <si>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</si>
  <si>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</si>
  <si>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</si>
  <si>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</si>
  <si>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</si>
  <si>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</si>
  <si>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</si>
  <si>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</si>
  <si>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</si>
  <si>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</si>
  <si>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</si>
  <si>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</si>
  <si>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</si>
  <si>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</si>
  <si>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</si>
  <si>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</si>
  <si>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</si>
  <si>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</si>
  <si>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</si>
  <si>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</si>
  <si>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</si>
  <si>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</si>
  <si>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</si>
  <si>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</si>
  <si>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</si>
  <si>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</si>
  <si>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</si>
  <si>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</si>
  <si>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</si>
  <si>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</si>
  <si>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</si>
  <si>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</si>
  <si>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</si>
  <si>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</si>
  <si>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</si>
  <si>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</si>
  <si>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</si>
  <si>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</si>
  <si>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</si>
  <si>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</si>
  <si>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</si>
  <si>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</si>
  <si>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</si>
  <si>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</si>
  <si>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</si>
  <si>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</si>
  <si>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</si>
  <si>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</si>
  <si>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</si>
  <si>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</si>
  <si>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</si>
  <si>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</si>
  <si>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</si>
  <si>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</si>
  <si>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</si>
  <si>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</si>
  <si>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</si>
  <si>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</si>
  <si>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</si>
  <si>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</si>
  <si>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</si>
  <si>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</si>
  <si>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</si>
  <si>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</si>
  <si>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</si>
  <si>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</si>
  <si>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</si>
  <si>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</si>
  <si>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</si>
  <si>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</si>
  <si>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</si>
  <si>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</si>
  <si>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</si>
  <si>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</si>
  <si>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</si>
  <si>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</si>
  <si>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</si>
  <si>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</si>
  <si>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</si>
  <si>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</si>
  <si>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</si>
  <si>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</si>
  <si>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</si>
  <si>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</si>
  <si>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</si>
  <si>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</si>
  <si>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</si>
  <si>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</si>
  <si>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</si>
  <si>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</si>
  <si>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</si>
  <si>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</si>
  <si>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</si>
  <si>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</si>
  <si>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</si>
  <si>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</si>
  <si>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</si>
  <si>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</si>
  <si>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</si>
  <si>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</si>
  <si>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</si>
  <si>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</si>
  <si>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</si>
  <si>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</si>
  <si>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</si>
  <si>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</si>
  <si>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</si>
  <si>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</si>
  <si>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</si>
  <si>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</si>
  <si>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</si>
  <si>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</si>
  <si>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</si>
  <si>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</si>
  <si>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</si>
  <si>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</si>
  <si>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</si>
  <si>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</si>
  <si>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</si>
  <si>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</si>
  <si>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</si>
  <si>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</si>
  <si>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</si>
  <si>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</si>
  <si>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</si>
  <si>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</si>
  <si>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</si>
  <si>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</si>
  <si>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</si>
  <si>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</si>
  <si>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</si>
  <si>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</si>
  <si>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</si>
  <si>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</si>
  <si>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</si>
  <si>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</si>
  <si>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</si>
  <si>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</si>
  <si>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</si>
  <si>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</si>
  <si>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</si>
  <si>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</si>
  <si>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</si>
  <si>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</si>
  <si>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</si>
  <si>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</si>
  <si>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</si>
  <si>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</si>
  <si>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</si>
  <si>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</si>
  <si>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</si>
  <si>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</si>
  <si>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</si>
  <si>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</si>
  <si>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</si>
  <si>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</si>
  <si>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</si>
  <si>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</si>
  <si>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</si>
  <si>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</si>
  <si>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</si>
  <si>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</si>
  <si>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</si>
  <si>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</si>
  <si>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</si>
  <si>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</si>
  <si>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</si>
  <si>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</si>
  <si>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</si>
  <si>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</si>
  <si>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</si>
  <si>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</si>
  <si>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</si>
  <si>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</si>
  <si>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</si>
  <si>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</si>
  <si>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</si>
  <si>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</si>
  <si>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</si>
  <si>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</si>
  <si>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</si>
  <si>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</si>
  <si>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</si>
  <si>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</si>
  <si>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</si>
  <si>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</si>
  <si>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</si>
  <si>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</si>
  <si>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</si>
  <si>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</si>
  <si>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</si>
  <si>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</si>
  <si>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</si>
  <si>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</si>
  <si>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</si>
  <si>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</si>
  <si>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</si>
  <si>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</si>
  <si>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</si>
  <si>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</si>
  <si>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</si>
  <si>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</si>
  <si>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</si>
  <si>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</si>
  <si>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</si>
  <si>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</si>
  <si>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</si>
  <si>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</si>
  <si>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</si>
  <si>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</si>
  <si>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</si>
  <si>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</si>
  <si>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</si>
  <si>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</si>
  <si>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</si>
  <si>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</si>
  <si>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</si>
  <si>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</si>
  <si>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</si>
  <si>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</si>
  <si>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</si>
  <si>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</si>
  <si>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</si>
  <si>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</si>
  <si>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</si>
  <si>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</si>
  <si>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</si>
  <si>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</si>
  <si>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</si>
  <si>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</si>
  <si>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</si>
  <si>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</si>
  <si>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</si>
  <si>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</si>
  <si>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</si>
  <si>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</si>
  <si>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</si>
  <si>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</si>
  <si>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</si>
  <si>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</si>
  <si>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</si>
  <si>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</si>
  <si>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</si>
  <si>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</si>
  <si>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</si>
  <si>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</si>
  <si>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</si>
  <si>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</si>
  <si>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</si>
  <si>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</si>
  <si>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</si>
  <si>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</si>
  <si>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</si>
  <si>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</si>
  <si>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</si>
  <si>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</si>
  <si>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</si>
  <si>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</si>
  <si>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</si>
  <si>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</si>
  <si>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</si>
  <si>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</si>
  <si>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</si>
  <si>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</si>
  <si>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</si>
  <si>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</si>
  <si>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</si>
  <si>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</si>
  <si>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</si>
  <si>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</si>
  <si>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</si>
  <si>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</si>
  <si>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</si>
  <si>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</si>
  <si>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</si>
  <si>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</si>
  <si>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</si>
  <si>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</si>
  <si>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</si>
  <si>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</si>
  <si>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</si>
  <si>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</si>
  <si>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</si>
  <si>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</si>
  <si>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</si>
  <si>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</si>
  <si>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</si>
  <si>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</si>
  <si>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</si>
  <si>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</si>
  <si>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</si>
  <si>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</si>
  <si>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</si>
  <si>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</si>
  <si>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</si>
  <si>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</si>
  <si>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</si>
  <si>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</si>
  <si>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</si>
  <si>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</si>
  <si>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</si>
  <si>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</si>
  <si>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</si>
  <si>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</si>
  <si>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</si>
  <si>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</si>
  <si>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</si>
  <si>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</si>
  <si>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</si>
  <si>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</si>
  <si>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</si>
  <si>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</si>
  <si>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</si>
  <si>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</si>
  <si>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</si>
  <si>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</si>
  <si>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</si>
  <si>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</si>
  <si>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</si>
  <si>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</si>
  <si>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</si>
  <si>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</si>
  <si>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</si>
  <si>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</si>
  <si>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</si>
  <si>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</si>
  <si>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</si>
  <si>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</si>
  <si>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</si>
  <si>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</si>
  <si>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</si>
  <si>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</si>
  <si>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</si>
  <si>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</si>
  <si>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</si>
  <si>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</si>
  <si>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</si>
  <si>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</si>
  <si>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</si>
  <si>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</si>
  <si>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</si>
  <si>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</si>
  <si>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</si>
  <si>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</si>
  <si>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</si>
  <si>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</si>
  <si>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</si>
  <si>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</si>
  <si>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</si>
  <si>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</si>
  <si>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</si>
  <si>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</si>
  <si>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</si>
  <si>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</si>
  <si>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</si>
  <si>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</si>
  <si>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</si>
  <si>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</si>
  <si>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</si>
  <si>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</si>
  <si>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</si>
  <si>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</si>
  <si>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</si>
  <si>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</si>
  <si>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</si>
  <si>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</si>
  <si>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</si>
  <si>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</si>
  <si>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</si>
  <si>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</si>
  <si>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</si>
  <si>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</si>
  <si>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</si>
  <si>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</si>
  <si>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</si>
  <si>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</si>
  <si>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</si>
  <si>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</si>
  <si>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</si>
  <si>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</si>
  <si>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</si>
  <si>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</si>
  <si>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</si>
  <si>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</si>
  <si>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</si>
  <si>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</si>
  <si>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</si>
  <si>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</si>
  <si>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</si>
  <si>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</si>
  <si>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</si>
  <si>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</si>
  <si>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</si>
  <si>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</si>
  <si>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</si>
  <si>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</si>
  <si>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</si>
  <si>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</si>
  <si>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</si>
  <si>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</si>
  <si>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</si>
  <si>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</si>
  <si>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</si>
  <si>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</si>
  <si>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</si>
  <si>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</si>
  <si>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</si>
  <si>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</si>
  <si>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</si>
  <si>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</si>
  <si>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</si>
  <si>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</si>
  <si>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</si>
  <si>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</si>
  <si>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</si>
  <si>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</si>
  <si>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</si>
  <si>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</si>
  <si>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</si>
  <si>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</si>
  <si>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</si>
  <si>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</si>
  <si>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</si>
  <si>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</si>
  <si>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</si>
  <si>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</si>
  <si>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</si>
  <si>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</si>
  <si>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</si>
  <si>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</si>
  <si>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</si>
  <si>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</si>
  <si>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</si>
  <si>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</si>
  <si>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</si>
  <si>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</si>
  <si>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</si>
  <si>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</si>
  <si>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</si>
  <si>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</si>
  <si>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</si>
  <si>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</si>
  <si>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</si>
  <si>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</si>
  <si>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</si>
  <si>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</si>
  <si>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</si>
  <si>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</si>
  <si>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</si>
  <si>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</si>
  <si>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</si>
  <si>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</si>
  <si>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</si>
  <si>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</si>
  <si>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</si>
  <si>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</si>
  <si>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</si>
  <si>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</si>
  <si>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</si>
  <si>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</si>
  <si>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</si>
  <si>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</si>
  <si>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</si>
  <si>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</si>
  <si>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</si>
  <si>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</si>
  <si>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</si>
  <si>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</si>
  <si>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</si>
  <si>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</si>
  <si>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</si>
  <si>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</si>
  <si>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</si>
  <si>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</si>
  <si>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</si>
  <si>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</si>
  <si>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</si>
  <si>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</si>
  <si>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</si>
  <si>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</si>
  <si>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</si>
  <si>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</si>
  <si>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</si>
  <si>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</si>
  <si>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</si>
  <si>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</si>
  <si>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</si>
  <si>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</si>
  <si>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</si>
  <si>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</si>
  <si>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</si>
  <si>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</si>
  <si>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</si>
  <si>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</si>
  <si>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</si>
  <si>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</si>
  <si>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</si>
  <si>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</si>
  <si>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</si>
  <si>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</si>
  <si>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</si>
  <si>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</si>
  <si>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</si>
  <si>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</si>
  <si>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</si>
  <si>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</si>
  <si>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</si>
  <si>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</si>
  <si>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</si>
  <si>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</si>
  <si>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</si>
  <si>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</si>
  <si>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</si>
  <si>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</si>
  <si>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</si>
  <si>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</si>
  <si>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</si>
  <si>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</si>
  <si>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</si>
  <si>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</si>
  <si>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</si>
  <si>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</si>
  <si>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</si>
  <si>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</si>
  <si>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</si>
  <si>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</si>
  <si>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</si>
  <si>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</si>
  <si>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</si>
  <si>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</si>
  <si>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</si>
  <si>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</si>
  <si>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</si>
  <si>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</si>
  <si>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</si>
  <si>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</si>
  <si>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</si>
  <si>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</si>
  <si>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</si>
  <si>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</si>
  <si>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</si>
  <si>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</si>
  <si>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</si>
  <si>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</si>
  <si>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</si>
  <si>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</si>
  <si>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</si>
  <si>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</si>
  <si>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</si>
  <si>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</si>
  <si>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</si>
  <si>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</si>
  <si>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</si>
  <si>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</si>
  <si>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</si>
  <si>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</si>
  <si>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</si>
  <si>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</si>
  <si>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</si>
  <si>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</si>
  <si>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</si>
  <si>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</si>
  <si>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</si>
  <si>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</si>
  <si>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</si>
  <si>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</si>
  <si>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</si>
  <si>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</si>
  <si>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</si>
  <si>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</si>
  <si>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</si>
  <si>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</si>
  <si>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</si>
  <si>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</si>
  <si>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</si>
  <si>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</si>
  <si>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</si>
  <si>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</si>
  <si>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</si>
  <si>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</si>
  <si>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</si>
  <si>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</si>
  <si>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</si>
  <si>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</si>
  <si>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</si>
  <si>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</si>
  <si>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</si>
  <si>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</si>
  <si>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</si>
  <si>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</si>
  <si>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</si>
  <si>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</si>
  <si>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</si>
  <si>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</si>
  <si>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</si>
  <si>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</si>
  <si>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</si>
  <si>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</si>
  <si>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</si>
  <si>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</si>
  <si>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</si>
  <si>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</si>
  <si>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</si>
  <si>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</si>
  <si>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</si>
  <si>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</si>
  <si>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</si>
  <si>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</si>
  <si>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</si>
  <si>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</si>
  <si>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</si>
  <si>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</si>
  <si>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</si>
  <si>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</si>
  <si>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</si>
  <si>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</si>
  <si>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</si>
  <si>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</si>
  <si>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</si>
  <si>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</si>
  <si>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</si>
  <si>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</si>
  <si>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</si>
  <si>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</si>
  <si>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</si>
  <si>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</si>
  <si>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</si>
  <si>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</si>
  <si>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</si>
  <si>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</si>
  <si>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</si>
  <si>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</si>
  <si>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</si>
  <si>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</si>
  <si>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</si>
  <si>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</si>
  <si>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</si>
  <si>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</si>
  <si>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</si>
  <si>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</si>
  <si>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</si>
  <si>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</si>
  <si>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</si>
  <si>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</si>
  <si>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</si>
  <si>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</si>
  <si>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</si>
  <si>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</si>
  <si>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</si>
  <si>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</si>
  <si>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</si>
  <si>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</si>
  <si>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</si>
  <si>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</si>
  <si>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</si>
  <si>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</si>
  <si>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</si>
  <si>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</si>
  <si>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</si>
  <si>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</si>
  <si>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</si>
  <si>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</si>
  <si>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</si>
  <si>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</si>
  <si>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</si>
  <si>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</si>
  <si>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</si>
  <si>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</si>
  <si>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</si>
  <si>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</si>
  <si>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</si>
  <si>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</si>
  <si>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</si>
  <si>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</si>
  <si>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</si>
  <si>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</si>
  <si>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</si>
  <si>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</si>
  <si>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</si>
  <si>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</si>
  <si>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</si>
  <si>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</si>
  <si>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</si>
  <si>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</si>
  <si>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</si>
  <si>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</si>
  <si>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</si>
  <si>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</si>
  <si>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</si>
  <si>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</si>
  <si>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</si>
  <si>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</si>
  <si>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</si>
  <si>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</si>
  <si>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</si>
  <si>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</si>
  <si>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</si>
  <si>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</si>
  <si>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</si>
  <si>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</si>
  <si>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</si>
  <si>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</si>
  <si>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</si>
  <si>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</si>
  <si>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</si>
  <si>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</si>
  <si>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</si>
  <si>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</si>
  <si>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</si>
  <si>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</si>
  <si>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</si>
  <si>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</si>
  <si>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</si>
  <si>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</si>
  <si>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</si>
  <si>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</si>
  <si>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</si>
  <si>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</si>
  <si>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</si>
  <si>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</si>
  <si>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</si>
  <si>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</si>
  <si>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</si>
  <si>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</si>
  <si>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</si>
  <si>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</si>
  <si>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</si>
  <si>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</si>
  <si>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</si>
  <si>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</si>
  <si>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</si>
  <si>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</si>
  <si>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</si>
  <si>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</si>
  <si>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</si>
  <si>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</si>
  <si>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</si>
  <si>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</si>
  <si>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</si>
  <si>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</si>
  <si>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</si>
  <si>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</si>
  <si>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</si>
  <si>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</si>
  <si>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</si>
  <si>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</si>
  <si>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</si>
  <si>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</si>
  <si>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</si>
  <si>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</si>
  <si>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</si>
  <si>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</si>
  <si>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</si>
  <si>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</si>
  <si>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</si>
  <si>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</si>
  <si>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</si>
  <si>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</si>
  <si>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</si>
  <si>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</si>
  <si>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</si>
  <si>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</si>
  <si>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</si>
  <si>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</si>
  <si>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</si>
  <si>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</si>
  <si>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</si>
  <si>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</si>
  <si>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</si>
  <si>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</si>
  <si>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</si>
  <si>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</si>
  <si>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</si>
  <si>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</si>
  <si>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</si>
  <si>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</si>
  <si>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</si>
  <si>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</si>
  <si>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</si>
  <si>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</si>
  <si>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</si>
  <si>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</si>
  <si>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</si>
  <si>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</si>
  <si>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</si>
  <si>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</si>
  <si>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</si>
  <si>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</si>
  <si>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</si>
  <si>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</si>
  <si>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</si>
  <si>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</si>
  <si>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</si>
  <si>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</si>
  <si>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</si>
  <si>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</si>
  <si>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</si>
  <si>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</si>
  <si>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</si>
  <si>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</si>
  <si>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</si>
  <si>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</si>
  <si>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</si>
  <si>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</si>
  <si>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</si>
  <si>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</si>
  <si>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</si>
  <si>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</si>
  <si>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</si>
  <si>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</si>
  <si>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</si>
  <si>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</si>
  <si>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</si>
  <si>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</si>
  <si>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</si>
  <si>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</si>
  <si>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</si>
  <si>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</si>
  <si>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</si>
  <si>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</si>
  <si>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</si>
  <si>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</si>
  <si>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</si>
  <si>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</si>
  <si>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</si>
  <si>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</si>
  <si>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</si>
  <si>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</si>
  <si>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</si>
  <si>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</si>
  <si>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</si>
  <si>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</si>
  <si>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</si>
  <si>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</si>
  <si>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</si>
  <si>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</si>
  <si>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</si>
  <si>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</si>
  <si>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</si>
  <si>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</si>
  <si>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</si>
  <si>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</si>
  <si>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</si>
  <si>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</si>
  <si>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</si>
  <si>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</si>
  <si>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</si>
  <si>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</si>
  <si>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</si>
  <si>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</si>
  <si>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</si>
  <si>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</si>
  <si>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</si>
  <si>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</si>
  <si>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</si>
  <si>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</si>
  <si>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</si>
  <si>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</si>
  <si>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</si>
  <si>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</si>
  <si>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</si>
  <si>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</si>
  <si>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</si>
  <si>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</si>
  <si>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</si>
  <si>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</si>
  <si>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</si>
  <si>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</si>
  <si>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</si>
  <si>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</si>
  <si>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</si>
  <si>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</si>
  <si>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</si>
  <si>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</si>
  <si>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</si>
  <si>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</si>
  <si>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</si>
  <si>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</si>
  <si>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</si>
  <si>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</si>
  <si>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</si>
  <si>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</si>
  <si>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</si>
  <si>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</si>
  <si>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</si>
  <si>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</si>
  <si>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</si>
  <si>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</si>
  <si>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</si>
  <si>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</si>
  <si>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</si>
  <si>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</si>
  <si>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</si>
  <si>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</si>
  <si>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</si>
  <si>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</si>
  <si>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</si>
  <si>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</si>
  <si>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</si>
  <si>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</si>
  <si>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</si>
  <si>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</si>
  <si>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</si>
  <si>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</si>
  <si>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</si>
  <si>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</si>
  <si>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</si>
  <si>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</si>
  <si>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</si>
  <si>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</si>
  <si>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</si>
  <si>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</si>
  <si>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</si>
  <si>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</si>
  <si>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</si>
  <si>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</si>
  <si>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</si>
  <si>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</si>
  <si>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</si>
  <si>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</si>
  <si>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</si>
  <si>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</si>
  <si>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</si>
  <si>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</si>
  <si>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</si>
  <si>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</si>
  <si>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</si>
  <si>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</si>
  <si>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</si>
  <si>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</si>
  <si>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</si>
  <si>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</si>
  <si>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</si>
  <si>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</si>
  <si>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</si>
  <si>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</si>
  <si>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</si>
  <si>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</si>
  <si>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</si>
  <si>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</si>
  <si>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</si>
  <si>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</si>
  <si>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</si>
  <si>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</si>
  <si>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</si>
  <si>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</si>
  <si>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</si>
  <si>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</si>
  <si>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</si>
  <si>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</si>
  <si>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</si>
  <si>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</si>
  <si>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</si>
  <si>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</si>
  <si>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</si>
  <si>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</si>
  <si>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</si>
  <si>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</si>
  <si>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</si>
  <si>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</si>
  <si>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</si>
  <si>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</si>
  <si>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</si>
  <si>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</si>
  <si>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</si>
  <si>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</si>
  <si>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</si>
  <si>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</si>
  <si>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</si>
  <si>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</si>
  <si>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</si>
  <si>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</si>
  <si>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</si>
  <si>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</si>
  <si>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</si>
  <si>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</si>
  <si>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</si>
  <si>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</si>
  <si>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</si>
  <si>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</si>
  <si>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</si>
  <si>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</si>
  <si>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</si>
  <si>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</si>
  <si>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</si>
  <si>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</si>
  <si>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</si>
  <si>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</si>
  <si>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</si>
  <si>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</si>
  <si>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</si>
  <si>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</si>
  <si>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</si>
  <si>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</si>
  <si>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</si>
  <si>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</si>
  <si>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</si>
  <si>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</si>
  <si>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</si>
  <si>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</si>
  <si>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</si>
  <si>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</si>
  <si>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</si>
  <si>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</si>
  <si>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</si>
  <si>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</si>
  <si>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</si>
  <si>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</si>
  <si>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</si>
  <si>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</si>
  <si>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</si>
  <si>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</si>
  <si>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</si>
  <si>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</si>
  <si>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</si>
  <si>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</si>
  <si>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</si>
  <si>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</si>
  <si>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</si>
  <si>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</si>
  <si>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</si>
  <si>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</si>
  <si>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</si>
  <si>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</si>
  <si>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</si>
  <si>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</si>
  <si>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</si>
  <si>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</si>
  <si>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</si>
  <si>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</si>
  <si>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</si>
  <si>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</si>
  <si>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</si>
  <si>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</si>
  <si>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</si>
  <si>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</si>
  <si>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</si>
  <si>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</si>
  <si>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</si>
  <si>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</si>
  <si>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</si>
  <si>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</si>
  <si>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</si>
  <si>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</si>
  <si>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</si>
  <si>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</si>
  <si>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</si>
  <si>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</si>
  <si>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</si>
  <si>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</si>
  <si>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</si>
  <si>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</si>
  <si>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</si>
  <si>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</si>
  <si>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</si>
  <si>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</si>
  <si>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</si>
  <si>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</si>
  <si>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</si>
  <si>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</si>
  <si>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</si>
  <si>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</si>
  <si>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</si>
  <si>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</si>
  <si>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</si>
  <si>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</si>
  <si>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</si>
  <si>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</si>
  <si>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</si>
  <si>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</si>
  <si>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</si>
  <si>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</si>
  <si>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</si>
  <si>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</si>
  <si>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</si>
  <si>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</si>
  <si>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</si>
  <si>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</si>
  <si>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</si>
  <si>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</si>
  <si>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</si>
  <si>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</si>
  <si>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</si>
  <si>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</si>
  <si>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</si>
  <si>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</si>
  <si>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</si>
  <si>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</si>
  <si>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</si>
  <si>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</si>
  <si>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</si>
  <si>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</si>
  <si>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</si>
  <si>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</si>
  <si>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</si>
  <si>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</si>
  <si>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</si>
  <si>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</si>
  <si>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</si>
  <si>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</si>
  <si>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</si>
  <si>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</si>
  <si>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</si>
  <si>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</si>
  <si>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</si>
  <si>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</si>
  <si>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</si>
  <si>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</si>
  <si>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</si>
  <si>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</si>
  <si>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</si>
  <si>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</si>
  <si>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</si>
  <si>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</si>
  <si>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</si>
  <si>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</si>
  <si>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</si>
  <si>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</si>
  <si>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</si>
  <si>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</si>
  <si>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</si>
  <si>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</si>
  <si>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</si>
  <si>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</si>
  <si>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</si>
  <si>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</si>
  <si>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</si>
  <si>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</si>
  <si>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</si>
  <si>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</si>
  <si>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</si>
  <si>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</si>
  <si>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</si>
  <si>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</si>
  <si>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</si>
  <si>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</si>
  <si>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</si>
  <si>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</si>
  <si>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</si>
  <si>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</si>
  <si>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</si>
  <si>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</si>
  <si>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</si>
  <si>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</si>
  <si>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</si>
  <si>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</si>
  <si>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</si>
  <si>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</si>
  <si>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</si>
  <si>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</si>
  <si>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</si>
  <si>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</si>
  <si>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</si>
  <si>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</si>
  <si>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</si>
  <si>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</si>
  <si>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</si>
  <si>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</si>
  <si>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</si>
  <si>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</si>
  <si>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</si>
  <si>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</si>
  <si>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</si>
  <si>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</si>
  <si>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</si>
  <si>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</si>
  <si>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</si>
  <si>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</si>
  <si>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</si>
  <si>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</si>
  <si>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</si>
  <si>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</si>
  <si>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</si>
  <si>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</si>
  <si>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</si>
  <si>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</si>
  <si>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</si>
  <si>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</si>
  <si>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</si>
  <si>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</si>
  <si>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</si>
  <si>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</si>
  <si>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</si>
  <si>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</si>
  <si>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</si>
  <si>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</si>
  <si>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</si>
  <si>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</si>
  <si>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</si>
  <si>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</si>
  <si>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</si>
  <si>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</si>
  <si>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</si>
  <si>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</si>
  <si>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</si>
  <si>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</si>
  <si>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</si>
  <si>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</si>
  <si>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</si>
  <si>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</si>
  <si>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</si>
  <si>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</si>
  <si>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</si>
  <si>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</si>
  <si>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</si>
  <si>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</si>
  <si>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</si>
  <si>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</si>
  <si>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</si>
  <si>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</si>
  <si>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</si>
  <si>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</si>
  <si>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</si>
  <si>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</si>
  <si>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</si>
  <si>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</si>
  <si>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</si>
  <si>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</si>
  <si>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</si>
  <si>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</si>
  <si>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</si>
  <si>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</si>
  <si>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</si>
  <si>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</si>
  <si>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</si>
  <si>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</si>
  <si>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</si>
  <si>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</si>
  <si>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</si>
  <si>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</si>
  <si>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</si>
  <si>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</si>
  <si>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</si>
  <si>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</si>
  <si>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</si>
  <si>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</si>
  <si>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</si>
  <si>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</si>
  <si>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</si>
  <si>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</si>
  <si>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</si>
  <si>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</si>
  <si>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</si>
  <si>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</si>
  <si>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</si>
  <si>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</si>
  <si>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</si>
  <si>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</si>
  <si>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</si>
  <si>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</si>
  <si>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</si>
  <si>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</si>
  <si>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</si>
  <si>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</si>
  <si>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</si>
  <si>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</si>
  <si>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</si>
  <si>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</si>
  <si>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</si>
  <si>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</si>
  <si>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</si>
  <si>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</si>
  <si>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</si>
  <si>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</si>
  <si>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</si>
  <si>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</si>
  <si>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</si>
  <si>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</si>
  <si>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</si>
  <si>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</si>
  <si>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</si>
  <si>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</si>
  <si>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</si>
  <si>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</si>
  <si>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</si>
  <si>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</si>
  <si>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</si>
  <si>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</si>
  <si>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</si>
  <si>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</si>
  <si>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</si>
  <si>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</si>
  <si>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</si>
  <si>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</si>
  <si>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</si>
  <si>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</si>
  <si>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</si>
  <si>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</si>
  <si>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</si>
  <si>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</si>
  <si>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</si>
  <si>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</si>
  <si>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</si>
  <si>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</si>
  <si>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</si>
  <si>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</si>
  <si>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</si>
  <si>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</si>
  <si>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</si>
  <si>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</si>
  <si>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</si>
  <si>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</si>
  <si>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</si>
  <si>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</si>
  <si>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</si>
  <si>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</si>
  <si>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</si>
  <si>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</si>
  <si>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</si>
  <si>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</si>
  <si>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</si>
  <si>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</si>
  <si>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</si>
  <si>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</si>
  <si>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</si>
  <si>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</si>
  <si>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</si>
  <si>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</si>
  <si>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</si>
  <si>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</si>
  <si>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</si>
  <si>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</si>
  <si>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</si>
  <si>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</si>
  <si>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</si>
  <si>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</si>
  <si>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</si>
  <si>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</si>
  <si>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</si>
  <si>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</si>
  <si>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</si>
  <si>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</si>
  <si>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</si>
  <si>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</si>
  <si>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</si>
  <si>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</si>
  <si>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</si>
  <si>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</si>
  <si>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</si>
  <si>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</si>
  <si>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</si>
  <si>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</si>
  <si>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</si>
  <si>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</si>
  <si>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</si>
  <si>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</si>
  <si>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</si>
  <si>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</si>
  <si>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</si>
  <si>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</si>
  <si>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</si>
  <si>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</si>
  <si>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</si>
  <si>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</si>
  <si>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</si>
  <si>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</si>
  <si>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</si>
  <si>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</si>
  <si>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</si>
  <si>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</si>
  <si>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</si>
  <si>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</si>
  <si>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</si>
  <si>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</si>
  <si>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</si>
  <si>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</si>
  <si>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</si>
  <si>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</si>
  <si>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</si>
  <si>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</si>
  <si>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</si>
  <si>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</si>
  <si>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</si>
  <si>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</si>
  <si>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</si>
  <si>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</si>
  <si>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</si>
  <si>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</si>
  <si>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</si>
  <si>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</si>
  <si>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</si>
  <si>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</si>
  <si>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</si>
  <si>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</si>
  <si>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</si>
  <si>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</si>
  <si>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</si>
  <si>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</si>
  <si>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</si>
  <si>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</si>
  <si>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</si>
  <si>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</si>
  <si>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</si>
  <si>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</si>
  <si>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</si>
  <si>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</si>
  <si>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</si>
  <si>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</si>
  <si>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</si>
  <si>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</si>
  <si>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</si>
  <si>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</si>
  <si>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</si>
  <si>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</si>
  <si>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</si>
  <si>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</si>
  <si>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</si>
  <si>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</si>
  <si>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</si>
  <si>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</si>
  <si>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</si>
  <si>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</si>
  <si>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</si>
  <si>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</si>
  <si>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</si>
  <si>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</si>
  <si>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</si>
  <si>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</si>
  <si>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</si>
  <si>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</si>
  <si>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</si>
  <si>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</si>
  <si>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</si>
  <si>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</si>
  <si>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</si>
  <si>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</si>
  <si>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</si>
  <si>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</si>
  <si>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</si>
  <si>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</si>
  <si>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</si>
  <si>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</si>
  <si>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</si>
  <si>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</si>
  <si>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</si>
  <si>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</si>
  <si>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</si>
  <si>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</si>
  <si>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</si>
  <si>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</si>
  <si>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</si>
  <si>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</si>
  <si>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</si>
  <si>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</si>
  <si>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</si>
  <si>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</si>
  <si>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</si>
  <si>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</si>
  <si>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</si>
  <si>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</si>
  <si>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</si>
  <si>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</si>
  <si>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</si>
  <si>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</si>
  <si>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</si>
  <si>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</si>
  <si>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</si>
  <si>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</si>
  <si>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</si>
  <si>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</si>
  <si>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</si>
  <si>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</si>
  <si>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</si>
  <si>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</si>
  <si>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</si>
  <si>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</si>
  <si>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</si>
  <si>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</si>
  <si>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</si>
  <si>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</si>
  <si>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</si>
  <si>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</si>
  <si>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</si>
  <si>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</si>
  <si>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</si>
  <si>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</si>
  <si>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</si>
  <si>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</si>
  <si>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</si>
  <si>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</si>
  <si>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</si>
  <si>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</si>
  <si>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</si>
  <si>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</si>
  <si>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</si>
  <si>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</si>
  <si>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</si>
  <si>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</si>
  <si>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</si>
  <si>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</si>
  <si>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</si>
  <si>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</si>
  <si>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</si>
  <si>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</si>
  <si>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</si>
  <si>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</si>
  <si>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</si>
  <si>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</si>
  <si>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</si>
  <si>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</si>
  <si>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</si>
  <si>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</si>
  <si>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</si>
  <si>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浦发银行</t>
    <phoneticPr fontId="6" type="noConversion"/>
  </si>
  <si>
    <r>
      <t>4</t>
    </r>
    <r>
      <rPr>
        <sz val="10"/>
        <color indexed="8"/>
        <rFont val="宋体"/>
        <family val="3"/>
        <charset val="134"/>
      </rPr>
      <t>号院</t>
    </r>
    <r>
      <rPr>
        <sz val="10"/>
        <color indexed="8"/>
        <rFont val="Arial"/>
        <family val="2"/>
      </rPr>
      <t>12</t>
    </r>
    <r>
      <rPr>
        <sz val="10"/>
        <color indexed="8"/>
        <rFont val="宋体"/>
        <family val="3"/>
        <charset val="134"/>
      </rPr>
      <t>幢产证</t>
    </r>
    <phoneticPr fontId="6" type="noConversion"/>
  </si>
  <si>
    <t>现房</t>
  </si>
  <si>
    <t>序号</t>
  </si>
  <si>
    <t>位置</t>
  </si>
  <si>
    <t>楼层</t>
  </si>
  <si>
    <t>编号</t>
  </si>
  <si>
    <t>规划用途</t>
  </si>
  <si>
    <t>建筑面积</t>
    <phoneticPr fontId="134" type="noConversion"/>
  </si>
  <si>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</si>
  <si>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</si>
  <si>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</si>
  <si>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</si>
  <si>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</si>
  <si>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</si>
  <si>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</si>
  <si>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</si>
  <si>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</si>
  <si>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</si>
  <si>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</si>
  <si>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</si>
  <si>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</si>
  <si>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</si>
  <si>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</si>
  <si>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</si>
  <si>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</si>
  <si>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</si>
  <si>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</si>
  <si>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</si>
  <si>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</si>
  <si>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</si>
  <si>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</si>
  <si>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</si>
  <si>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</si>
  <si>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</si>
  <si>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</si>
  <si>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</si>
  <si>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</si>
  <si>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</si>
  <si>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</si>
  <si>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</si>
  <si>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</si>
  <si>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</si>
  <si>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</si>
  <si>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</si>
  <si>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</si>
  <si>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</si>
  <si>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</si>
  <si>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</si>
  <si>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</si>
  <si>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</si>
  <si>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</si>
  <si>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</si>
  <si>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</si>
  <si>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</si>
  <si>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</si>
  <si>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</si>
  <si>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</si>
  <si>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</si>
  <si>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</si>
  <si>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</si>
  <si>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</si>
  <si>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</si>
  <si>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</si>
  <si>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</si>
  <si>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</si>
  <si>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</si>
  <si>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</si>
  <si>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</si>
  <si>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</si>
  <si>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</si>
  <si>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</si>
  <si>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</si>
  <si>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</si>
  <si>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</si>
  <si>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</si>
  <si>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</si>
  <si>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</si>
  <si>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</si>
  <si>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</si>
  <si>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</si>
  <si>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</si>
  <si>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</si>
  <si>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</si>
  <si>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</si>
  <si>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</si>
  <si>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</si>
  <si>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</si>
  <si>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</si>
  <si>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</si>
  <si>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</si>
  <si>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</si>
  <si>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</si>
  <si>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</si>
  <si>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</si>
  <si>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</si>
  <si>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</si>
  <si>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</si>
  <si>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</si>
  <si>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</si>
  <si>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</si>
  <si>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</si>
  <si>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</si>
  <si>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</si>
  <si>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</si>
  <si>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</si>
  <si>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</si>
  <si>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</si>
  <si>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</si>
  <si>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</si>
  <si>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</si>
  <si>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</si>
  <si>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</si>
  <si>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</si>
  <si>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</si>
  <si>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</si>
  <si>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</si>
  <si>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</si>
  <si>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</si>
  <si>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</si>
  <si>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</si>
  <si>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</si>
  <si>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</si>
  <si>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</si>
  <si>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</si>
  <si>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</si>
  <si>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</si>
  <si>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</si>
  <si>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</si>
  <si>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</si>
  <si>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</si>
  <si>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</si>
  <si>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</si>
  <si>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</si>
  <si>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</si>
  <si>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</si>
  <si>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</si>
  <si>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</si>
  <si>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</si>
  <si>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</si>
  <si>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</si>
  <si>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</si>
  <si>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</si>
  <si>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</si>
  <si>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</si>
  <si>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</si>
  <si>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</si>
  <si>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</si>
  <si>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</si>
  <si>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</si>
  <si>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</si>
  <si>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</si>
  <si>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</si>
  <si>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</si>
  <si>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</si>
  <si>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</si>
  <si>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</si>
  <si>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</si>
  <si>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</si>
  <si>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</si>
  <si>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</si>
  <si>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</si>
  <si>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</si>
  <si>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</si>
  <si>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</si>
  <si>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</si>
  <si>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</si>
  <si>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</si>
  <si>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</si>
  <si>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</si>
  <si>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</si>
  <si>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</si>
  <si>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</si>
  <si>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</si>
  <si>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</si>
  <si>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</si>
  <si>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</si>
  <si>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</si>
  <si>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</si>
  <si>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</si>
  <si>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</si>
  <si>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</si>
  <si>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</si>
  <si>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</si>
  <si>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</si>
  <si>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</si>
  <si>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</si>
  <si>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</si>
  <si>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</si>
  <si>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</si>
  <si>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</si>
  <si>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</si>
  <si>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</si>
  <si>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</si>
  <si>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</si>
  <si>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</si>
  <si>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</si>
  <si>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</si>
  <si>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</si>
  <si>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</si>
  <si>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</si>
  <si>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</si>
  <si>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</si>
  <si>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</si>
  <si>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</si>
  <si>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</si>
  <si>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</si>
  <si>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</si>
  <si>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</si>
  <si>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</si>
  <si>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</si>
  <si>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</si>
  <si>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</si>
  <si>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</si>
  <si>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</si>
  <si>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</si>
  <si>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</si>
  <si>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</si>
  <si>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</si>
  <si>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</si>
  <si>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</si>
  <si>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</si>
  <si>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</si>
  <si>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</si>
  <si>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</si>
  <si>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</si>
  <si>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</si>
  <si>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</si>
  <si>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</si>
  <si>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</si>
  <si>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</si>
  <si>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</si>
  <si>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</si>
  <si>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</si>
  <si>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</si>
  <si>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</si>
  <si>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</si>
  <si>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</si>
  <si>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</si>
  <si>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</si>
  <si>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</si>
  <si>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</si>
  <si>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</si>
  <si>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</si>
  <si>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</si>
  <si>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</si>
  <si>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</si>
  <si>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</si>
  <si>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</si>
  <si>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</si>
  <si>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</si>
  <si>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</si>
  <si>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</si>
  <si>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</si>
  <si>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</si>
  <si>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</si>
  <si>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</si>
  <si>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</si>
  <si>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</si>
  <si>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</si>
  <si>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</si>
  <si>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</si>
  <si>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</si>
  <si>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</si>
  <si>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</si>
  <si>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</si>
  <si>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</si>
  <si>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</si>
  <si>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</si>
  <si>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</si>
  <si>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</si>
  <si>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</si>
  <si>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</si>
  <si>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</si>
  <si>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建面</t>
    <phoneticPr fontId="134" type="noConversion"/>
  </si>
  <si>
    <t>套内</t>
    <phoneticPr fontId="134" type="noConversion"/>
  </si>
  <si>
    <t>分摊</t>
    <phoneticPr fontId="134" type="noConversion"/>
  </si>
  <si>
    <t>负2层</t>
    <phoneticPr fontId="134" type="noConversion"/>
  </si>
  <si>
    <t>负3层</t>
    <phoneticPr fontId="134" type="noConversion"/>
  </si>
  <si>
    <t>评估面积</t>
    <phoneticPr fontId="134" type="noConversion"/>
  </si>
  <si>
    <t>总建筑面积</t>
    <phoneticPr fontId="134" type="noConversion"/>
  </si>
  <si>
    <t>企业介绍</t>
    <phoneticPr fontId="134" type="noConversion"/>
  </si>
  <si>
    <t>总土地面积</t>
    <phoneticPr fontId="134" type="noConversion"/>
  </si>
  <si>
    <t>分摊土地面积</t>
    <phoneticPr fontId="134" type="noConversion"/>
  </si>
  <si>
    <t>是</t>
  </si>
  <si>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</si>
  <si>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 type="noConversion"/>
  </si>
  <si>
    <t>地下</t>
  </si>
  <si>
    <t>承租方</t>
    <phoneticPr fontId="134" type="noConversion"/>
  </si>
  <si>
    <t>楼层</t>
    <phoneticPr fontId="134" type="noConversion"/>
  </si>
  <si>
    <t>产权面积</t>
    <phoneticPr fontId="134" type="noConversion"/>
  </si>
  <si>
    <t>套内面积</t>
    <phoneticPr fontId="134" type="noConversion"/>
  </si>
  <si>
    <t>租赁面积</t>
    <phoneticPr fontId="134" type="noConversion"/>
  </si>
  <si>
    <t>租期</t>
    <phoneticPr fontId="134" type="noConversion"/>
  </si>
  <si>
    <t>租赁期</t>
    <phoneticPr fontId="134" type="noConversion"/>
  </si>
  <si>
    <t>保底年租金（含物业费等）</t>
    <phoneticPr fontId="134" type="noConversion"/>
  </si>
  <si>
    <t>日租金</t>
    <phoneticPr fontId="134" type="noConversion"/>
  </si>
  <si>
    <t>增长</t>
    <phoneticPr fontId="134" type="noConversion"/>
  </si>
  <si>
    <t>奥迈嘉海林奥文化产业（北京）有限公司</t>
  </si>
  <si>
    <t>负2层B202，现状是负1层</t>
    <phoneticPr fontId="134" type="noConversion"/>
  </si>
  <si>
    <t>10年</t>
    <phoneticPr fontId="134" type="noConversion"/>
  </si>
  <si>
    <t>每二年按5%递增</t>
    <phoneticPr fontId="134" type="noConversion"/>
  </si>
  <si>
    <t>负2层B201、B301，配电室</t>
    <phoneticPr fontId="134" type="noConversion"/>
  </si>
  <si>
    <t>物业费1块，能源费2块</t>
    <phoneticPr fontId="134" type="noConversion"/>
  </si>
  <si>
    <t>承租方</t>
    <phoneticPr fontId="134" type="noConversion"/>
  </si>
  <si>
    <t>楼层</t>
    <phoneticPr fontId="134" type="noConversion"/>
  </si>
  <si>
    <t>产权面积</t>
    <phoneticPr fontId="134" type="noConversion"/>
  </si>
  <si>
    <t>套内面积</t>
    <phoneticPr fontId="134" type="noConversion"/>
  </si>
  <si>
    <t>租赁面积</t>
    <phoneticPr fontId="134" type="noConversion"/>
  </si>
  <si>
    <t>租期</t>
    <phoneticPr fontId="134" type="noConversion"/>
  </si>
  <si>
    <t>租赁期</t>
    <phoneticPr fontId="134" type="noConversion"/>
  </si>
  <si>
    <t>谢宏儒-北京动感乐宫体育健身活动有限公司</t>
    <phoneticPr fontId="134" type="noConversion"/>
  </si>
  <si>
    <t>负3层B302，现状是负2层</t>
    <phoneticPr fontId="134" type="noConversion"/>
  </si>
  <si>
    <t>6.6年</t>
    <phoneticPr fontId="134" type="noConversion"/>
  </si>
  <si>
    <t>轮滑门票价格工作日78元，节假日88元，无时间限制，全天，中途出去回来不用再买门票，台球额外收费，39元一小时，其余额外收费只有饮品</t>
    <phoneticPr fontId="134" type="noConversion"/>
  </si>
  <si>
    <t>地下2层商业</t>
    <phoneticPr fontId="7" type="noConversion"/>
  </si>
  <si>
    <t>地下3层商业</t>
    <phoneticPr fontId="7" type="noConversion"/>
  </si>
  <si>
    <t>成新度</t>
  </si>
  <si>
    <t>直线</t>
    <phoneticPr fontId="3" type="noConversion"/>
  </si>
  <si>
    <t>观察</t>
    <phoneticPr fontId="3" type="noConversion"/>
  </si>
  <si>
    <t>系数</t>
    <phoneticPr fontId="3" type="noConversion"/>
  </si>
  <si>
    <t>租金</t>
    <phoneticPr fontId="3" type="noConversion"/>
  </si>
  <si>
    <t>面积</t>
    <phoneticPr fontId="3" type="noConversion"/>
  </si>
  <si>
    <r>
      <t>1</t>
    </r>
    <r>
      <rPr>
        <sz val="10"/>
        <color indexed="8"/>
        <rFont val="宋体"/>
        <family val="3"/>
        <charset val="134"/>
      </rPr>
      <t>层</t>
    </r>
    <phoneticPr fontId="3" type="noConversion"/>
  </si>
  <si>
    <r>
      <t>2</t>
    </r>
    <r>
      <rPr>
        <sz val="10"/>
        <color indexed="8"/>
        <rFont val="宋体"/>
        <family val="3"/>
        <charset val="134"/>
      </rPr>
      <t>层</t>
    </r>
    <r>
      <rPr>
        <sz val="10"/>
        <color indexed="8"/>
        <rFont val="宋体"/>
        <family val="3"/>
        <charset val="134"/>
      </rPr>
      <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</si>
  <si>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</si>
  <si>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2层</t>
    </r>
    <r>
      <rPr>
        <sz val="10"/>
        <color indexed="8"/>
        <rFont val="宋体"/>
        <family val="3"/>
        <charset val="134"/>
      </rPr>
      <t/>
    </r>
  </si>
  <si>
    <r>
      <rPr>
        <sz val="10"/>
        <color indexed="8"/>
        <rFont val="宋体"/>
        <family val="3"/>
        <charset val="134"/>
      </rPr>
      <t>负</t>
    </r>
    <r>
      <rPr>
        <sz val="10"/>
        <color indexed="8"/>
        <rFont val="Arial"/>
        <family val="2"/>
      </rPr>
      <t>3层</t>
    </r>
    <r>
      <rPr>
        <sz val="10"/>
        <color indexed="8"/>
        <rFont val="宋体"/>
        <family val="3"/>
        <charset val="134"/>
      </rPr>
      <t/>
    </r>
  </si>
  <si>
    <t>地下2层商业</t>
  </si>
  <si>
    <t>钢混</t>
  </si>
  <si>
    <t>非生产用房</t>
  </si>
  <si>
    <t>否</t>
  </si>
  <si>
    <t>收益法-地下2层</t>
  </si>
  <si>
    <t>收益法-地下2层</t>
    <phoneticPr fontId="16" type="noConversion"/>
  </si>
  <si>
    <t>自定义容积率</t>
  </si>
  <si>
    <t>不临65条商业街</t>
  </si>
  <si>
    <t>与级别开发程度一致</t>
  </si>
  <si>
    <t>通路</t>
  </si>
  <si>
    <t>通电</t>
  </si>
  <si>
    <t>通讯</t>
  </si>
  <si>
    <t>通上水</t>
  </si>
  <si>
    <t>通下水</t>
  </si>
  <si>
    <t>通热</t>
  </si>
  <si>
    <t>燃气</t>
  </si>
  <si>
    <t>平整</t>
  </si>
  <si>
    <t>楼层修正</t>
  </si>
  <si>
    <t>较好</t>
  </si>
  <si>
    <t>一般</t>
  </si>
  <si>
    <t>好</t>
  </si>
  <si>
    <t>未包含在土地购买价格中</t>
  </si>
  <si>
    <t>全部缴纳</t>
  </si>
  <si>
    <t>已包含在土地取得成本中</t>
  </si>
  <si>
    <t>成本法-地下2层</t>
  </si>
  <si>
    <t>成本法-地下2层</t>
    <phoneticPr fontId="16" type="noConversion"/>
  </si>
  <si>
    <t>总价</t>
  </si>
  <si>
    <t>成本比率</t>
  </si>
  <si>
    <t>建筑面积</t>
  </si>
  <si>
    <t>分摊土地面积</t>
  </si>
  <si>
    <t>建筑物价值</t>
  </si>
  <si>
    <t>地下2层</t>
    <phoneticPr fontId="134" type="noConversion"/>
  </si>
  <si>
    <t>地下3层</t>
  </si>
  <si>
    <t>收益法-地下3层</t>
  </si>
  <si>
    <t>收益法-地下3层</t>
    <phoneticPr fontId="16" type="noConversion"/>
  </si>
  <si>
    <t>成本法-地下3层</t>
  </si>
  <si>
    <t>成本法-地下3层</t>
    <phoneticPr fontId="16" type="noConversion"/>
  </si>
  <si>
    <t>地下3层商业</t>
  </si>
  <si>
    <t>押三</t>
  </si>
  <si>
    <t>抽成租金计算比例</t>
    <phoneticPr fontId="134" type="noConversion"/>
  </si>
  <si>
    <t>保底租金和抽成租金二者取高</t>
    <phoneticPr fontId="134" type="noConversion"/>
  </si>
  <si>
    <t>房地产抵押价值</t>
  </si>
  <si>
    <t>北京市</t>
  </si>
  <si>
    <t>企业</t>
  </si>
  <si>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</si>
  <si>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r>
      <t>1</t>
    </r>
    <r>
      <rPr>
        <sz val="10"/>
        <color indexed="8"/>
        <rFont val="宋体"/>
        <family val="3"/>
        <charset val="134"/>
      </rPr>
      <t>层临街商铺</t>
    </r>
    <r>
      <rPr>
        <sz val="10"/>
        <color indexed="8"/>
        <rFont val="Arial"/>
        <family val="2"/>
      </rPr>
      <t>8-10</t>
    </r>
    <r>
      <rPr>
        <sz val="10"/>
        <color indexed="8"/>
        <rFont val="宋体"/>
        <family val="3"/>
        <charset val="134"/>
      </rPr>
      <t>块</t>
    </r>
    <phoneticPr fontId="3" type="noConversion"/>
  </si>
  <si>
    <r>
      <t>6</t>
    </r>
    <r>
      <rPr>
        <sz val="10"/>
        <color indexed="8"/>
        <rFont val="宋体"/>
        <family val="3"/>
        <charset val="134"/>
      </rPr>
      <t>号楼商业竣备</t>
    </r>
    <phoneticPr fontId="3" type="noConversion"/>
  </si>
  <si>
    <t>租赁合同保底租金</t>
    <phoneticPr fontId="3" type="noConversion"/>
  </si>
  <si>
    <t>楼层单价明细</t>
  </si>
  <si>
    <t>对方单位名称</t>
  </si>
  <si>
    <t>租赁/场地使用</t>
  </si>
  <si>
    <t>计租面积</t>
  </si>
  <si>
    <t>经营项目</t>
  </si>
  <si>
    <t>品牌名称</t>
  </si>
  <si>
    <t>租金支付方式</t>
  </si>
  <si>
    <t>分成比例</t>
  </si>
  <si>
    <t>租金单价（元/日/平方米）</t>
  </si>
  <si>
    <t>管理费单价（元/日/平方米）</t>
  </si>
  <si>
    <t>场地使用费单价（元/日/平方米）</t>
  </si>
  <si>
    <t>单价（租金按照折后价+管理费全额）</t>
  </si>
  <si>
    <t>月租金</t>
  </si>
  <si>
    <t>固定月管理费</t>
  </si>
  <si>
    <t>月场地使用费</t>
  </si>
  <si>
    <t>月租金小计</t>
  </si>
  <si>
    <t>年租金</t>
  </si>
  <si>
    <t>年管理服务费</t>
  </si>
  <si>
    <t>年场地使用费</t>
  </si>
  <si>
    <t>年租金管理费场租小计</t>
  </si>
  <si>
    <t>合同起始日期</t>
  </si>
  <si>
    <t>合同截止日期</t>
  </si>
  <si>
    <t>租金收取折扣</t>
  </si>
  <si>
    <t>2024收取月数</t>
  </si>
  <si>
    <t>上海蓝草家居有限公司</t>
  </si>
  <si>
    <t>1层</t>
  </si>
  <si>
    <t>租赁</t>
  </si>
  <si>
    <t>一层112（部分）</t>
  </si>
  <si>
    <t>零售</t>
  </si>
  <si>
    <t>源氏木语</t>
  </si>
  <si>
    <t>固定租金</t>
  </si>
  <si>
    <t>全价</t>
  </si>
  <si>
    <t>8-12月租金单价变更为3.3元/天/平米</t>
  </si>
  <si>
    <t>北京优益汇便利店有限公司</t>
  </si>
  <si>
    <t>8号楼1层106号</t>
  </si>
  <si>
    <t>商超</t>
  </si>
  <si>
    <t>北京德华永胜商贸有限公司105</t>
  </si>
  <si>
    <t>1F-105,2F-200</t>
  </si>
  <si>
    <t>烟酒</t>
  </si>
  <si>
    <t>茅台酒</t>
  </si>
  <si>
    <t>茶庭书道（北京）文化有限公司</t>
  </si>
  <si>
    <t>12幢1F112B</t>
  </si>
  <si>
    <t>茶叶茶具</t>
  </si>
  <si>
    <t>1月租金单价为17元/天/平米</t>
  </si>
  <si>
    <t>北京成美口腔门诊部有限公司</t>
  </si>
  <si>
    <t>8号楼一层107房间内122、123号商铺</t>
  </si>
  <si>
    <t>口腔门诊</t>
  </si>
  <si>
    <t>成美口腔</t>
  </si>
  <si>
    <t>1月租金单价为9元/天/平米</t>
  </si>
  <si>
    <t>北京铂林北苑眼科诊所有限公司</t>
  </si>
  <si>
    <t>8号楼1层（01）106内214号商铺</t>
  </si>
  <si>
    <t>医疗</t>
  </si>
  <si>
    <t>眼科医疗服务</t>
  </si>
  <si>
    <t>1-7月租金单价为9元/天/平米</t>
  </si>
  <si>
    <t>北京贰贰飞渡管理技术发展有限责任公司</t>
  </si>
  <si>
    <t>一层中岛（SRYC对面）号商铺</t>
  </si>
  <si>
    <t>儿童攀爬娱乐体验</t>
  </si>
  <si>
    <t>飞渡儿童攀爬</t>
  </si>
  <si>
    <t>北京虎威宝特服装有限公司</t>
  </si>
  <si>
    <t>一层中岛</t>
  </si>
  <si>
    <t>佐丹奴</t>
  </si>
  <si>
    <t>10-12月租金单价变为5.5元/天/平米</t>
  </si>
  <si>
    <t>上海和兆服饰有限公司</t>
  </si>
  <si>
    <t>111、128（部分）商铺</t>
  </si>
  <si>
    <t xml:space="preserve">POLOWALK </t>
  </si>
  <si>
    <t>8-12月租金单价变更为5元/天/平米</t>
  </si>
  <si>
    <t>北京好素养文化科技有限公司</t>
  </si>
  <si>
    <t>一层120号商铺</t>
  </si>
  <si>
    <t>教育</t>
  </si>
  <si>
    <t>喜马拉雅亲子会员店</t>
  </si>
  <si>
    <t>8-12月租金单价变更为0.5元/天/平米</t>
  </si>
  <si>
    <t>西安好素养文化科技有限公司</t>
  </si>
  <si>
    <t>一层121号商铺</t>
  </si>
  <si>
    <t>侦探学院</t>
  </si>
  <si>
    <t>喜马拉雅山亲子会员店</t>
  </si>
  <si>
    <t>上海好素养科技集团有限公司</t>
  </si>
  <si>
    <t>一层122号商铺</t>
  </si>
  <si>
    <t>北京井小喵商贸有限公司</t>
  </si>
  <si>
    <t>一层108号商铺</t>
  </si>
  <si>
    <t>宠物服务、销售预包装宠物食品</t>
  </si>
  <si>
    <t>猫咖肉垫社</t>
  </si>
  <si>
    <t>9-12月租金单价变更为4.98元/天/平米</t>
  </si>
  <si>
    <t>舜德行（北京）科技发展有限公司</t>
  </si>
  <si>
    <t>一层104号商铺</t>
  </si>
  <si>
    <t>家电</t>
  </si>
  <si>
    <t>华为</t>
  </si>
  <si>
    <t>9-12月租金单价变更为8元/天/平米</t>
  </si>
  <si>
    <t>北京麦达人京麦餐饮管理有限公司</t>
  </si>
  <si>
    <t>一层110号（部分）商铺</t>
  </si>
  <si>
    <t>面包烘焙</t>
  </si>
  <si>
    <t>原麦山丘</t>
  </si>
  <si>
    <t>保底租金和抽成租金二者取高</t>
  </si>
  <si>
    <t>8-12月租金单价变更为5.5元/天/平米，含1月抽成租金</t>
  </si>
  <si>
    <t>杜维</t>
  </si>
  <si>
    <t>一层124号（部分）商铺</t>
  </si>
  <si>
    <t>维度眼镜</t>
  </si>
  <si>
    <t>京东之家</t>
  </si>
  <si>
    <t>一层</t>
  </si>
  <si>
    <t>正在走签合同流程</t>
  </si>
  <si>
    <t>董立强</t>
  </si>
  <si>
    <t>1层中岛商铺</t>
  </si>
  <si>
    <t>市集</t>
  </si>
  <si>
    <t>1月底撤场</t>
  </si>
  <si>
    <t>北京奇麦淘商贸有限公司</t>
  </si>
  <si>
    <t>场地使用</t>
  </si>
  <si>
    <t>林奥CITY PARK购物中心一层中岛部分场地</t>
  </si>
  <si>
    <t>奇麦淘玩具</t>
  </si>
  <si>
    <t>2月底撤场</t>
  </si>
  <si>
    <t>孙雪</t>
  </si>
  <si>
    <t>回力</t>
  </si>
  <si>
    <t>北京尚悦尚科技发展有限公司</t>
  </si>
  <si>
    <t>一层128号（部分）商铺</t>
  </si>
  <si>
    <t>服装服饰</t>
  </si>
  <si>
    <t>PLAY</t>
  </si>
  <si>
    <t>到期</t>
  </si>
  <si>
    <t>北京芸致笙潇科技有限公司</t>
  </si>
  <si>
    <t>一层118号商铺</t>
  </si>
  <si>
    <t>芸致笙潇</t>
  </si>
  <si>
    <t>北京易信新连科技有限公司</t>
  </si>
  <si>
    <t>一层117号商铺</t>
  </si>
  <si>
    <t>电子产品</t>
  </si>
  <si>
    <t>数码生活馆</t>
  </si>
  <si>
    <t>5月底撤场</t>
  </si>
  <si>
    <t>广州斐莉西雅服饰有限公司</t>
  </si>
  <si>
    <t>服装</t>
  </si>
  <si>
    <t>斐莉西雅</t>
  </si>
  <si>
    <t>到期撤场</t>
  </si>
  <si>
    <t>北京全棉时代科技有限公司</t>
  </si>
  <si>
    <t>一层112（部分）、113（部分）场地</t>
  </si>
  <si>
    <t>家居</t>
  </si>
  <si>
    <t>全棉时代</t>
  </si>
  <si>
    <t>抽成</t>
  </si>
  <si>
    <t>以1月抽成为标准</t>
  </si>
  <si>
    <t>北京市创富通贸易有限公司</t>
  </si>
  <si>
    <t>一层113号商铺</t>
  </si>
  <si>
    <t>波司登</t>
  </si>
  <si>
    <t>北京伊穆风商贸有限公司</t>
  </si>
  <si>
    <t>一层中岛（斯凯奇对面）商铺</t>
  </si>
  <si>
    <t>鞋、服装、配饰</t>
  </si>
  <si>
    <t>李宁</t>
  </si>
  <si>
    <t>北京夏洛特贸易有限公司</t>
  </si>
  <si>
    <t>一层101号（部分）商铺</t>
  </si>
  <si>
    <t>娅尔莎</t>
  </si>
  <si>
    <t>抽成+管理费</t>
  </si>
  <si>
    <t>以1月抽成租金为标准，管理费1.5元/天/平米</t>
  </si>
  <si>
    <t>北京汇美时尚商贸中心</t>
  </si>
  <si>
    <t>127号商铺</t>
  </si>
  <si>
    <t>畹町</t>
  </si>
  <si>
    <t>以1月抽成租金为标准，管理费1元/天/平米</t>
  </si>
  <si>
    <t>咖世家咖啡（北京）有限公司</t>
  </si>
  <si>
    <t>餐饮</t>
  </si>
  <si>
    <t>COSTA</t>
  </si>
  <si>
    <t>以1月抽成租金为标准，管理费3元/天/平米</t>
  </si>
  <si>
    <t>北京星巴克咖啡有限公司</t>
  </si>
  <si>
    <t>8号楼1层110</t>
  </si>
  <si>
    <t>咖啡</t>
  </si>
  <si>
    <t>星巴克</t>
  </si>
  <si>
    <t>以1月抽成租金为标准，管理费16020元/月</t>
  </si>
  <si>
    <t>厦门安竞服饰有限公司</t>
  </si>
  <si>
    <t>一层114号商铺</t>
  </si>
  <si>
    <t>服装服饰及鞋</t>
  </si>
  <si>
    <t>ANTA</t>
  </si>
  <si>
    <t>乙方自开业日起至2024年10月31日止为考核期，如考核期该商铺销售总额未达到人民币3000000元（大写：叁佰万元整），则此期间抽成租金计算比例为0；如考核期该商铺销售总额达到人民币3000000元（大写：叁佰万元整）（含300万元），则此期间抽成租金计算比例为8%</t>
  </si>
  <si>
    <t>北京金达信商贸有限公司</t>
  </si>
  <si>
    <t>一层125号（部分）商铺</t>
  </si>
  <si>
    <t>斯凯奇SKECHERS</t>
  </si>
  <si>
    <t>以1月抽成租金为标准</t>
  </si>
  <si>
    <t>北京林奥绿森服装服饰中心</t>
  </si>
  <si>
    <t>一层102号（部分）商铺</t>
  </si>
  <si>
    <t>KACY</t>
  </si>
  <si>
    <t>以1月抽成租金为标准，管理费2元/天/平米</t>
  </si>
  <si>
    <t>锋尚体育发展（安徽）有限公司</t>
  </si>
  <si>
    <t>一层125号（部分）、126号商铺（经营NIKE品牌）</t>
  </si>
  <si>
    <t>NIKE</t>
  </si>
  <si>
    <t>北京经典罗莱家居有限责任公司</t>
  </si>
  <si>
    <t>一层119号部分商铺</t>
  </si>
  <si>
    <t>家居用品</t>
  </si>
  <si>
    <t>罗莱家纺</t>
  </si>
  <si>
    <t>北京即尚服装服饰有限公司</t>
  </si>
  <si>
    <t>SRYC苒墨</t>
  </si>
  <si>
    <t>北京和信懋业商贸有限公司</t>
  </si>
  <si>
    <t>林奥CITY PARK购物中心一层118号场地</t>
  </si>
  <si>
    <t>美特斯邦威</t>
  </si>
  <si>
    <t>李相远</t>
  </si>
  <si>
    <t>2A层228A号</t>
  </si>
  <si>
    <t>漂移车</t>
  </si>
  <si>
    <t>嗖卡漂移车</t>
  </si>
  <si>
    <t>白岳</t>
  </si>
  <si>
    <t>林奥CITY PARK购物中心一层中岛（NIKE门前）场地</t>
  </si>
  <si>
    <t>清筑自然</t>
  </si>
  <si>
    <t>1层小计</t>
  </si>
  <si>
    <t>北京武将体育文化有限公司</t>
  </si>
  <si>
    <t>2层</t>
  </si>
  <si>
    <t>二层225、226号（部分）商铺</t>
  </si>
  <si>
    <t>传统武术</t>
  </si>
  <si>
    <t>武将功夫</t>
  </si>
  <si>
    <t>北京弦知音文化传播有限公司</t>
  </si>
  <si>
    <t>二层中岛（B.DUCKB北侧）商铺</t>
  </si>
  <si>
    <t>儿童体验</t>
  </si>
  <si>
    <t>Mini博物馆</t>
  </si>
  <si>
    <t>1-3月月租金为1500元/月</t>
  </si>
  <si>
    <t>北京赫石体育文化发展有限公司</t>
  </si>
  <si>
    <t>8号楼二层216</t>
  </si>
  <si>
    <t>赫石小超人</t>
  </si>
  <si>
    <t>1-2月租金为4元/天/平米</t>
  </si>
  <si>
    <t>北京神奇创客科技有限责任公司</t>
  </si>
  <si>
    <t>8号楼2F-217A号商铺</t>
  </si>
  <si>
    <t>少儿培训</t>
  </si>
  <si>
    <t>乐高、机器人、编辑课程</t>
  </si>
  <si>
    <t>1-2月租金为3.5元/天/平米</t>
  </si>
  <si>
    <t>甘甜</t>
  </si>
  <si>
    <t>8号楼2F-215</t>
  </si>
  <si>
    <t>美容</t>
  </si>
  <si>
    <t>养生馆</t>
  </si>
  <si>
    <t>1-2月租金为4.5元/天/平米</t>
  </si>
  <si>
    <t>北京玖零超海儿童游乐有限公司</t>
  </si>
  <si>
    <t>8号楼2F-222a，213</t>
  </si>
  <si>
    <t>儿童乐园</t>
  </si>
  <si>
    <t>少儿岩洞，探矿</t>
  </si>
  <si>
    <t>1-2月租金为3.5元/天/平米，10-12月租金变更为5.6元/天/平米</t>
  </si>
  <si>
    <t>北京酷太家居用品有限公司</t>
  </si>
  <si>
    <t>二层203号商铺</t>
  </si>
  <si>
    <t>COOKTIME  酷太</t>
  </si>
  <si>
    <t>1-6月租金为2.85元/天/平米</t>
  </si>
  <si>
    <t>北京嗨柠餐饮品牌管理有限公司</t>
  </si>
  <si>
    <t>二层中岛</t>
  </si>
  <si>
    <t>水吧</t>
  </si>
  <si>
    <t>“墨等闲”国潮茶饮、“柠客”手打柠檬</t>
  </si>
  <si>
    <t>9-12月租金为8元/天/平米</t>
  </si>
  <si>
    <t>李振杰</t>
  </si>
  <si>
    <t>二层中岛（ROKKIE对面）商铺</t>
  </si>
  <si>
    <t>半山梨园</t>
  </si>
  <si>
    <t>北京茗扬鹊起茶艺有限公司</t>
  </si>
  <si>
    <t>8号楼2F-202B</t>
  </si>
  <si>
    <t>生活服务</t>
  </si>
  <si>
    <t>茶馆、棋牌</t>
  </si>
  <si>
    <t>星熙海体育文化发展（北京）有限责任公司</t>
  </si>
  <si>
    <t>8号楼2F-202a</t>
  </si>
  <si>
    <t>体育培训，休闲娱乐</t>
  </si>
  <si>
    <t>NINJAZONE</t>
  </si>
  <si>
    <t>1-2月租金为6元/天/平米</t>
  </si>
  <si>
    <t>北京迅格智能科技有限公司</t>
  </si>
  <si>
    <t>二层中岛（安踏儿童对面）商铺</t>
  </si>
  <si>
    <t>数码产品</t>
  </si>
  <si>
    <t>科大讯飞</t>
  </si>
  <si>
    <t>海南艾利维森健身文化有限公司北京分公司</t>
  </si>
  <si>
    <t>8号楼2F-205号商铺</t>
  </si>
  <si>
    <t>健身</t>
  </si>
  <si>
    <t>瑜伽普拉提</t>
  </si>
  <si>
    <t>1-4月租金为10元/天平米</t>
  </si>
  <si>
    <t>歌斯蒂（北京）形象设计有限公司</t>
  </si>
  <si>
    <t>8号楼2F217B号商铺</t>
  </si>
  <si>
    <t>美发</t>
  </si>
  <si>
    <t>Girl’s Day</t>
  </si>
  <si>
    <t>1-2月租金为5.5元/天/平米</t>
  </si>
  <si>
    <t>北京德华永胜商贸有限公司200A</t>
  </si>
  <si>
    <t>8幢2F-200A,2F-230</t>
  </si>
  <si>
    <t>北京德华永胜商贸有限公司228</t>
  </si>
  <si>
    <t>8幢2F-228号</t>
  </si>
  <si>
    <t>茅台销售</t>
  </si>
  <si>
    <t>茅台城市汇客厅</t>
  </si>
  <si>
    <t>1-5月租金为5元/天/平米</t>
  </si>
  <si>
    <t>北京德华永胜商贸有限公司229</t>
  </si>
  <si>
    <t>8号楼2F-229号</t>
  </si>
  <si>
    <t>北京嗨氪科技有限公司</t>
  </si>
  <si>
    <t>233、234号商铺</t>
  </si>
  <si>
    <t>休闲</t>
  </si>
  <si>
    <t>有家嗨店</t>
  </si>
  <si>
    <t>1-5月租金为2元/天/平米</t>
  </si>
  <si>
    <t>北京懿堂教育科技有限公司</t>
  </si>
  <si>
    <t>二层221号商铺</t>
  </si>
  <si>
    <t>艺糖美术馆</t>
  </si>
  <si>
    <t>北京辰辉德港鞋业有限公司</t>
  </si>
  <si>
    <r>
      <rPr>
        <b/>
        <sz val="14"/>
        <color rgb="FF3F3F3F"/>
        <rFont val="楷体"/>
        <family val="3"/>
        <charset val="134"/>
      </rPr>
      <t>222号商铺</t>
    </r>
  </si>
  <si>
    <t>江博士</t>
  </si>
  <si>
    <t>北京今天丽人长红美甲有限公司</t>
  </si>
  <si>
    <t>8号楼2F214</t>
  </si>
  <si>
    <t>美甲美睫，手部护理</t>
  </si>
  <si>
    <t>二层224号商铺</t>
  </si>
  <si>
    <t>1-6月租金为0.5元/天/平米</t>
  </si>
  <si>
    <t>北京舒儿乐商贸有限公司</t>
  </si>
  <si>
    <t>二层中岛商铺</t>
  </si>
  <si>
    <t>休闲娱乐</t>
  </si>
  <si>
    <t>GO!宝贝冲鸭</t>
  </si>
  <si>
    <t>8-12月租金变更为8.77元/天/平米</t>
  </si>
  <si>
    <t>北京蓝波绿农科技有限公司</t>
  </si>
  <si>
    <t>2层227号商铺</t>
  </si>
  <si>
    <t>体验</t>
  </si>
  <si>
    <t>羊驼公社</t>
  </si>
  <si>
    <t>北京贝利得商贸有限公司</t>
  </si>
  <si>
    <t>一层中岛（李宁对面）商铺</t>
  </si>
  <si>
    <t>学习桌、GMT书包、沃达卖台灯</t>
  </si>
  <si>
    <t>光明园迪</t>
  </si>
  <si>
    <t>北京萌家童年记忆摄影有限责任公司</t>
  </si>
  <si>
    <t>二层218号商铺</t>
  </si>
  <si>
    <t>最幸孕Happiness</t>
  </si>
  <si>
    <t>9-12月租金变更为1.5元/天/平米</t>
  </si>
  <si>
    <t>张国华</t>
  </si>
  <si>
    <t>二层中岛（江博士对面）</t>
  </si>
  <si>
    <t>啾咪家</t>
  </si>
  <si>
    <t>北京多多乐园文化发展有限公司</t>
  </si>
  <si>
    <t>二层中岛（宝贝冲鸭旁）商铺</t>
  </si>
  <si>
    <t>胶画、钓乌龟</t>
  </si>
  <si>
    <t>多多乐园</t>
  </si>
  <si>
    <t>北京霖沣商贸中心</t>
  </si>
  <si>
    <t>二层中岛（小资范对面）商铺</t>
  </si>
  <si>
    <t>儿童电子产品</t>
  </si>
  <si>
    <t>小天才步步高</t>
  </si>
  <si>
    <t>爱择优（北京）智能科技有限公司204</t>
  </si>
  <si>
    <t>二层204号场地</t>
  </si>
  <si>
    <t>友摩吧</t>
  </si>
  <si>
    <t>需续签合同</t>
  </si>
  <si>
    <t>于远志</t>
  </si>
  <si>
    <t>林奥CITY PARK购物中心二层212号、213号（部分）商铺</t>
  </si>
  <si>
    <t>河马叔叔</t>
  </si>
  <si>
    <t>北京吉可托育服务有限公司</t>
  </si>
  <si>
    <t>2层</t>
    <phoneticPr fontId="134" type="noConversion"/>
  </si>
  <si>
    <t>早教</t>
    <phoneticPr fontId="134" type="noConversion"/>
  </si>
  <si>
    <t>金睿家</t>
    <phoneticPr fontId="134" type="noConversion"/>
  </si>
  <si>
    <t>固定租金</t>
    <phoneticPr fontId="134" type="noConversion"/>
  </si>
  <si>
    <t>北京闪电乐母婴用品有限公司</t>
  </si>
  <si>
    <t>二层212号商铺</t>
  </si>
  <si>
    <t>小资范</t>
  </si>
  <si>
    <t>撤场</t>
  </si>
  <si>
    <t>北京李宁体育用品销售有限公司</t>
  </si>
  <si>
    <t>二层209号商铺</t>
  </si>
  <si>
    <t>YOUNG李宁（儿童）</t>
  </si>
  <si>
    <t>永旺幻想（中国）儿童游乐有限公司</t>
  </si>
  <si>
    <t>二层201、234、235号商铺</t>
  </si>
  <si>
    <t>莫莉活力空间</t>
  </si>
  <si>
    <t>抽成15%</t>
  </si>
  <si>
    <t>以保底租金为标准，未加抽成部分</t>
  </si>
  <si>
    <t>二层204A号商铺</t>
  </si>
  <si>
    <t>莫莉活力空间玩具店</t>
  </si>
  <si>
    <t>二层208、209号（部分）商铺</t>
  </si>
  <si>
    <t>儿童服装服饰及童鞋</t>
  </si>
  <si>
    <t>安踏Kids</t>
  </si>
  <si>
    <t>乙方2024年1月1日起至2024年10月31日止为考核期，如考核期该商铺销售总额未达到人民币100万元（大写：壹佰万元整），则此期间抽成租金计算比例为0；如考核期该商铺销售总额达到人民币100元（大写：壹佰万元整）（含100万元），则乙方须于达到100万销售额的期限之日起30日内按照原合同约定租金标准向甲方补足租金。（2024年1月1日-2024年8月31日期间抽成租金计算比例为10%，2024年,9月1日-2024年10月31日期间抽成租金计算比例为11%，按此抽成比例计算抽成租金）</t>
  </si>
  <si>
    <t>北京星童商贸有限公司</t>
  </si>
  <si>
    <t>二层206号商铺</t>
  </si>
  <si>
    <t>婴幼儿用品</t>
  </si>
  <si>
    <t>英氏</t>
  </si>
  <si>
    <t>北京利元商贸有限公司</t>
  </si>
  <si>
    <t>二层231号商铺</t>
  </si>
  <si>
    <t>童装、童鞋、精品配件</t>
  </si>
  <si>
    <t>B.DLCK</t>
  </si>
  <si>
    <t>以1月抽成租金为标准，管理费0.5元/天/平米</t>
  </si>
  <si>
    <t>上海晓娴商贸有限公司</t>
  </si>
  <si>
    <t>二层225号商铺</t>
  </si>
  <si>
    <t>童装、童鞋</t>
  </si>
  <si>
    <t>SKECHERS KIDS</t>
  </si>
  <si>
    <t>北京乐友孕婴童用品有限公司</t>
  </si>
  <si>
    <t>二层226号（部分）商铺</t>
  </si>
  <si>
    <t>母婴用品</t>
  </si>
  <si>
    <t>乐友</t>
  </si>
  <si>
    <t>以1月抽成租金为标准，每租赁月营业收入超过20万元（含20万元），需按照1元/天/平米的标准向甲方支付商业管理服务费，低于20万元无需支付商业管理服务费</t>
  </si>
  <si>
    <t>北京永兴东润服饰有限公司</t>
  </si>
  <si>
    <t>二层207号商铺</t>
  </si>
  <si>
    <t>ROOKIE</t>
  </si>
  <si>
    <t>北京巴拉巴拉服饰有限公司</t>
  </si>
  <si>
    <t>二层223号场地</t>
  </si>
  <si>
    <t>服饰</t>
  </si>
  <si>
    <t>balabala</t>
  </si>
  <si>
    <t>乙方在该场地月销售额达到14万元（含14万），双方协商续租相关事宜，另行签署相关协议。</t>
  </si>
  <si>
    <t>2层小计</t>
  </si>
  <si>
    <t>北京乐动静武堂体育文化发展有限公司清林东路分公司</t>
  </si>
  <si>
    <t>2A层</t>
  </si>
  <si>
    <t>2A层214A,215A</t>
  </si>
  <si>
    <t>武术</t>
  </si>
  <si>
    <t>固定场地使用费</t>
  </si>
  <si>
    <t>1-4月场地费单价为4.34元/天/平米</t>
  </si>
  <si>
    <t>中若尚合（北京）文化传播有限公司</t>
  </si>
  <si>
    <t>2A层217A,218A,219A</t>
  </si>
  <si>
    <t>乐园，体适能</t>
  </si>
  <si>
    <t>北京耶一体育俱乐部有限公司</t>
  </si>
  <si>
    <t>2A层201A1,201A,202A,203A,204A</t>
  </si>
  <si>
    <t>室内高尔夫</t>
  </si>
  <si>
    <t>高尔夫</t>
  </si>
  <si>
    <t>北京华文桐行艺术文化有限公司</t>
  </si>
  <si>
    <t>8号楼2A227A场地</t>
  </si>
  <si>
    <t>音乐培训</t>
  </si>
  <si>
    <t>2024年3月烟道改造由130平米变更为124平米，减免2月场租</t>
  </si>
  <si>
    <t>北京弓矢道体育文化发展有限公司</t>
  </si>
  <si>
    <t>2A层212A</t>
  </si>
  <si>
    <t>体育</t>
  </si>
  <si>
    <t>弓矢道</t>
  </si>
  <si>
    <t>北京轻与柔舞蹈艺术有限公司</t>
  </si>
  <si>
    <t>205A/206A</t>
  </si>
  <si>
    <t>少儿舞蹈</t>
  </si>
  <si>
    <t>王翔</t>
  </si>
  <si>
    <t>详情见附件</t>
  </si>
  <si>
    <t>奥特曼无人机</t>
  </si>
  <si>
    <t>延期8个月（未签）</t>
  </si>
  <si>
    <t>北京悦趣童童游乐设备有限公司</t>
  </si>
  <si>
    <t>229A,231A,232A</t>
  </si>
  <si>
    <t>10-12月按场租6.5元/天/平米原价收取</t>
  </si>
  <si>
    <t>姚文倩</t>
  </si>
  <si>
    <t>2A层222A场地</t>
  </si>
  <si>
    <t>婚纱，摄影，策划</t>
  </si>
  <si>
    <t>婚礼策划</t>
  </si>
  <si>
    <t>1-2月按场租5.5元/天/平米原价收取</t>
  </si>
  <si>
    <t>中若尚合（北京）文化传播有限公司224A</t>
  </si>
  <si>
    <t>224A场地</t>
  </si>
  <si>
    <t>教育休闲</t>
  </si>
  <si>
    <t>金豆豆爱阅读，玩具屋</t>
  </si>
  <si>
    <t>1-5月按场租3元/天/平米原价收取</t>
  </si>
  <si>
    <t>北京尼奥体育有限责任公司</t>
  </si>
  <si>
    <t>210A、211A号商铺</t>
  </si>
  <si>
    <t>网球培训，体育用品销售</t>
  </si>
  <si>
    <t>1-4月按场租5元/天/平米原价收取</t>
  </si>
  <si>
    <t>北京葫芦娃奥森健康管理服务有限公司</t>
  </si>
  <si>
    <t>209A商铺</t>
  </si>
  <si>
    <t>葫芦娃少儿推拿</t>
  </si>
  <si>
    <t>1-4月租金单价为3元/天/平米</t>
  </si>
  <si>
    <t>北京银海优选科技有限公司</t>
  </si>
  <si>
    <t>2A层中岛（凯迪斯南侧）商铺</t>
  </si>
  <si>
    <t>银海之星自助售卖机</t>
  </si>
  <si>
    <t>延期5个月（未签）</t>
  </si>
  <si>
    <t>张杰、高强</t>
  </si>
  <si>
    <t>2A层207A号场地</t>
  </si>
  <si>
    <t>星球玩家</t>
  </si>
  <si>
    <t>延期6个月（未签）</t>
  </si>
  <si>
    <t>2A层228A号商铺</t>
  </si>
  <si>
    <t>儿童蹦床</t>
  </si>
  <si>
    <t>蹦蹦高</t>
  </si>
  <si>
    <t>范瑞恒</t>
  </si>
  <si>
    <t>三层中岛（桐行音乐）对面商铺</t>
  </si>
  <si>
    <t>百变校吧车</t>
  </si>
  <si>
    <t>同途未来（北京）科技有限公司</t>
  </si>
  <si>
    <t>2A层214A（部分）,215A（部分）商铺</t>
  </si>
  <si>
    <t>麒艺果</t>
  </si>
  <si>
    <t>11-12月场租单价为2.5元/天/平米</t>
  </si>
  <si>
    <t>北京松鼠探长玩具有限公司</t>
  </si>
  <si>
    <t>2A层214A号（部分）商铺</t>
  </si>
  <si>
    <t>娃娃机</t>
  </si>
  <si>
    <t>松鼠探长</t>
  </si>
  <si>
    <t>11-12月租金单价变为6元/天/平米</t>
  </si>
  <si>
    <t>谢欣</t>
  </si>
  <si>
    <t>2A层中岛（蹦蹦高蹦床与凯迪斯儿童乐园中间）商铺</t>
  </si>
  <si>
    <t>棉花糖自助售卖机、天使之橙橙汁自助售卖机</t>
  </si>
  <si>
    <t>李嘉欣</t>
  </si>
  <si>
    <t>林奥CITY PARK购物中心2A层223A场地</t>
  </si>
  <si>
    <t>美甲</t>
  </si>
  <si>
    <t>JUJU NAILS</t>
  </si>
  <si>
    <t>2A层208A</t>
  </si>
  <si>
    <t>北京未艾方兴体育文化发展有限公司</t>
  </si>
  <si>
    <t>2A层216A,220A,221A</t>
  </si>
  <si>
    <t>跑酷、体能、攀岩</t>
  </si>
  <si>
    <t>2A层小计</t>
  </si>
  <si>
    <t>北京天阳丽晟文化产业有限公司</t>
  </si>
  <si>
    <t>G层</t>
  </si>
  <si>
    <t>B1层017号场地</t>
  </si>
  <si>
    <t>教育培训</t>
  </si>
  <si>
    <t>舞蹈培训</t>
  </si>
  <si>
    <t>1-5月场租为5元/天/平米</t>
  </si>
  <si>
    <t>北京明知商贸有限公司</t>
  </si>
  <si>
    <t>12幢G23场地</t>
  </si>
  <si>
    <t>亿度烧坊</t>
  </si>
  <si>
    <t>1-3月场租为4元/天/平米</t>
  </si>
  <si>
    <t>北京麦当劳食品有限公司</t>
  </si>
  <si>
    <t>G层G10/G11</t>
  </si>
  <si>
    <t>麦当劳</t>
  </si>
  <si>
    <t>保底租金和抽成分成取其高</t>
  </si>
  <si>
    <t>北京满鑫欢喜餐饮有限公司</t>
  </si>
  <si>
    <t>G层G02号商铺</t>
  </si>
  <si>
    <t>乐趣小炉子</t>
  </si>
  <si>
    <t>北京琳凡晳化妆品销售有限公司</t>
  </si>
  <si>
    <t>G层中岛商铺</t>
  </si>
  <si>
    <t>Mr.JUDY洗个头发</t>
  </si>
  <si>
    <t>9-12月租金变更为8.5元/天/平米</t>
  </si>
  <si>
    <t>北京博熙泽娱乐有限公司</t>
  </si>
  <si>
    <t>G层G01号商铺</t>
  </si>
  <si>
    <t>MISSCCONE 钓虾馆</t>
  </si>
  <si>
    <t>G层G16对面中岛商铺</t>
  </si>
  <si>
    <t>小汽车、捞鱼喂鱼</t>
  </si>
  <si>
    <t>严刚</t>
  </si>
  <si>
    <t>G层G05-G09号商铺</t>
  </si>
  <si>
    <t>蜀王</t>
  </si>
  <si>
    <t>12月租金变更为4元/天/平米</t>
  </si>
  <si>
    <t>外摆区</t>
  </si>
  <si>
    <t>张正虹</t>
  </si>
  <si>
    <t>G层G25号商铺</t>
  </si>
  <si>
    <t>围棋</t>
  </si>
  <si>
    <t>黑白星少儿围棋</t>
  </si>
  <si>
    <t>北京炫漾商贸有限公司</t>
  </si>
  <si>
    <t>G层G02号（部分）商铺</t>
  </si>
  <si>
    <t>雪梨精酿</t>
  </si>
  <si>
    <t>11-12月租金变更为7.7元/天/平米</t>
  </si>
  <si>
    <t>申佩佩</t>
  </si>
  <si>
    <r>
      <rPr>
        <sz val="14"/>
        <color theme="1"/>
        <rFont val="楷体"/>
        <family val="3"/>
        <charset val="134"/>
      </rPr>
      <t>林奥CITY PARK购物中心</t>
    </r>
    <r>
      <rPr>
        <u/>
        <sz val="14"/>
        <color theme="1"/>
        <rFont val="楷体"/>
        <family val="3"/>
        <charset val="134"/>
      </rPr>
      <t xml:space="preserve"> G层G24号（部分）</t>
    </r>
    <r>
      <rPr>
        <sz val="14"/>
        <color theme="1"/>
        <rFont val="楷体"/>
        <family val="3"/>
        <charset val="134"/>
      </rPr>
      <t>商铺</t>
    </r>
  </si>
  <si>
    <t>培训</t>
  </si>
  <si>
    <t>新声线</t>
  </si>
  <si>
    <t>固定资金</t>
  </si>
  <si>
    <t>北京棒约翰餐饮发展有限公司</t>
  </si>
  <si>
    <t>G层G14号商铺</t>
  </si>
  <si>
    <t>棒约翰</t>
  </si>
  <si>
    <t>保底租金+商业管理服务费之和与抽成租金两者取高</t>
  </si>
  <si>
    <t>北京闻彰海参店</t>
  </si>
  <si>
    <t>12幢G013号</t>
    <phoneticPr fontId="134" type="noConversion"/>
  </si>
  <si>
    <t>老尹家</t>
  </si>
  <si>
    <t>汤冰</t>
  </si>
  <si>
    <t>8号楼G016场地</t>
  </si>
  <si>
    <t>美容美发</t>
  </si>
  <si>
    <t>木北、茉诗、MOSS、MOCEE PARK</t>
  </si>
  <si>
    <t>G层小计</t>
  </si>
  <si>
    <t>渤海银行股份有限公司北京分行</t>
  </si>
  <si>
    <t>6号楼1层</t>
  </si>
  <si>
    <t>6-1F-6106/6107</t>
  </si>
  <si>
    <t>银行</t>
  </si>
  <si>
    <t>渤海银行</t>
  </si>
  <si>
    <t>北京元樽商贸有限公司</t>
  </si>
  <si>
    <t>6-1F-6108</t>
  </si>
  <si>
    <t>梦之蓝</t>
  </si>
  <si>
    <t>11-12月租金变更为12.58元/天/平米</t>
  </si>
  <si>
    <t>北京我爱我家房地产经纪有限公司</t>
  </si>
  <si>
    <t>6号楼6105号商铺</t>
  </si>
  <si>
    <t>房产中介</t>
  </si>
  <si>
    <t>我爱我家</t>
  </si>
  <si>
    <t>意百咖啡（上海）有限公司北京分公司</t>
  </si>
  <si>
    <t>6号楼地上一层6102商铺</t>
  </si>
  <si>
    <t>LAVAZZA</t>
  </si>
  <si>
    <t>北京自如生活企业管理有限公司</t>
  </si>
  <si>
    <t>6号楼一层部分铺位</t>
  </si>
  <si>
    <t>自如</t>
  </si>
  <si>
    <t>9-12月租金变更为15元/天/平米</t>
  </si>
  <si>
    <t>奥迈嘉海林奥文化产业（北京）有限公司</t>
    <phoneticPr fontId="134" type="noConversion"/>
  </si>
  <si>
    <t>餐饮</t>
    <phoneticPr fontId="134" type="noConversion"/>
  </si>
  <si>
    <t>海洋餐厅</t>
    <phoneticPr fontId="134" type="noConversion"/>
  </si>
  <si>
    <t>北京链家置地房地产经纪有限公司</t>
  </si>
  <si>
    <t>链家</t>
  </si>
  <si>
    <t>赵志杰</t>
  </si>
  <si>
    <t>6105号（部分）商铺</t>
  </si>
  <si>
    <t>洗衣店</t>
  </si>
  <si>
    <t>福奈特洗衣房</t>
  </si>
  <si>
    <t>11-12月租金变更为12.5元/天/平米</t>
  </si>
  <si>
    <t>6号楼1层小计</t>
  </si>
  <si>
    <t>北京利丰宏盛商贸有限公司</t>
  </si>
  <si>
    <t>B1层</t>
  </si>
  <si>
    <t>B1层024号商铺</t>
  </si>
  <si>
    <t>B1层中岛（醉面对面）商铺</t>
  </si>
  <si>
    <t>延长半年（未签）</t>
  </si>
  <si>
    <t>北京群灿生物科技有限公司</t>
  </si>
  <si>
    <t>B1层中岛</t>
  </si>
  <si>
    <t>美容护肤</t>
  </si>
  <si>
    <t>洗脸熊</t>
  </si>
  <si>
    <t>纯友丽（北京）餐饮管理有限公司-库房</t>
  </si>
  <si>
    <t>B1层库房001号场地</t>
  </si>
  <si>
    <t>库房</t>
  </si>
  <si>
    <t>梁建涛</t>
  </si>
  <si>
    <t>B1层盒马南街中岛场地</t>
  </si>
  <si>
    <t>糖糖多滋</t>
  </si>
  <si>
    <t>北京林奥佳儿萌豆餐饮管理有限公司</t>
  </si>
  <si>
    <t>B1层040号商铺</t>
  </si>
  <si>
    <t>佳儿萌豆</t>
  </si>
  <si>
    <t>1-4月租金单价为10元/天/平米</t>
    <phoneticPr fontId="134" type="noConversion"/>
  </si>
  <si>
    <t>北京盒马网络科技有限公司</t>
  </si>
  <si>
    <t>B1层一层及夹层001A/001B号商铺</t>
  </si>
  <si>
    <t>超市</t>
  </si>
  <si>
    <t>盒马</t>
  </si>
  <si>
    <t>购物中心二层</t>
  </si>
  <si>
    <t>盒马锅炉</t>
  </si>
  <si>
    <t>1-4月租金单价为6.48元/天/平米</t>
  </si>
  <si>
    <t>爱择优（北京）智能科技有限公司</t>
  </si>
  <si>
    <t>电影院门前区域及凯迪斯乐园门前区域</t>
  </si>
  <si>
    <t>延长8个月（未签）</t>
  </si>
  <si>
    <t>超凡聚力体育文化发展（北京）有限公司</t>
  </si>
  <si>
    <t>13幢B1层部分</t>
  </si>
  <si>
    <t>京聚篮球馆</t>
  </si>
  <si>
    <t>10-12月租金单价为4元/天/平米</t>
    <phoneticPr fontId="134" type="noConversion"/>
  </si>
  <si>
    <t>北京雾非雾餐饮有限公司</t>
  </si>
  <si>
    <t>6号楼B1层052号</t>
  </si>
  <si>
    <t>本宫的茶</t>
  </si>
  <si>
    <t>北京绽斓花事文化创意中心</t>
  </si>
  <si>
    <t>B1层031A号商铺</t>
  </si>
  <si>
    <t>花点时间</t>
  </si>
  <si>
    <t>北京葩趣科技有限公司</t>
  </si>
  <si>
    <t>B1层一层TIMS东侧</t>
  </si>
  <si>
    <t>POP MART</t>
  </si>
  <si>
    <t>大风来（北京）商贸有限公司</t>
  </si>
  <si>
    <t>B1层008C号商铺</t>
  </si>
  <si>
    <t>三个臭啤匠</t>
  </si>
  <si>
    <t>北京丽享晟世餐饮管理有限公司</t>
  </si>
  <si>
    <t>13幢B1层012B</t>
  </si>
  <si>
    <t>咏饮</t>
  </si>
  <si>
    <t>北京京华大鼎餐饮管理有限公司朝阳第一分公司</t>
  </si>
  <si>
    <t>12幢B1层022号商铺</t>
  </si>
  <si>
    <t>大鼎正餐</t>
  </si>
  <si>
    <t>3月面积由153平米变更为141平米</t>
  </si>
  <si>
    <t>北京珍味世家餐饮管理有限公司</t>
  </si>
  <si>
    <t>12幢B1-030</t>
  </si>
  <si>
    <t>海鲜牛肉火锅精品中餐</t>
  </si>
  <si>
    <t>3月面积由338平米变更为309平米</t>
  </si>
  <si>
    <t>宋丽辉</t>
  </si>
  <si>
    <t>13幢B1层011号商铺</t>
  </si>
  <si>
    <t>酒吧</t>
  </si>
  <si>
    <t>13幢B1层011夹层场地</t>
  </si>
  <si>
    <t>朱方一</t>
  </si>
  <si>
    <t>12幢B1层部分场地</t>
  </si>
  <si>
    <t>北京斯贸乐儿科技有限公司</t>
  </si>
  <si>
    <t>B1层中岛（醉面北侧）商铺</t>
  </si>
  <si>
    <t>电子烟</t>
  </si>
  <si>
    <t>悦刻电子烟</t>
  </si>
  <si>
    <t>北京万木同春影视文化有限公司</t>
  </si>
  <si>
    <t>13幢B1层002A</t>
  </si>
  <si>
    <t>影院</t>
  </si>
  <si>
    <t>观华国际影城</t>
  </si>
  <si>
    <t>北京墨巷餐饮中心</t>
  </si>
  <si>
    <t>12幢B1层006D</t>
  </si>
  <si>
    <t>墨西哥餐厅</t>
  </si>
  <si>
    <t>北京茶忆餐饮管理有限公司北京第一分公司</t>
  </si>
  <si>
    <t>12幢B1层023C号商铺</t>
  </si>
  <si>
    <t>甜品/饮料</t>
  </si>
  <si>
    <t>恋爱公式</t>
  </si>
  <si>
    <t>北京香积四海餐饮有限公司</t>
  </si>
  <si>
    <t>12幢B1层034、035号商铺</t>
  </si>
  <si>
    <t>麒麟阁涮肉</t>
  </si>
  <si>
    <t>北京庆余年餐饮店</t>
  </si>
  <si>
    <t>12幢B1层009A号商铺</t>
  </si>
  <si>
    <t>啤酒</t>
  </si>
  <si>
    <t>北京茵赫餐饮管理有限公司</t>
  </si>
  <si>
    <t>12幢林奥city park购物中心B1层负一层部分场地</t>
  </si>
  <si>
    <t>烘焙</t>
  </si>
  <si>
    <t>MANNER</t>
  </si>
  <si>
    <t>1-5月场租变更为16.31元/天/平米</t>
    <phoneticPr fontId="134" type="noConversion"/>
  </si>
  <si>
    <t>保乐加（北京）商贸有限公司</t>
  </si>
  <si>
    <t>12幢B1层009B号商铺</t>
  </si>
  <si>
    <t>红酒，洋酒，雪茄</t>
  </si>
  <si>
    <t>胥明良</t>
  </si>
  <si>
    <t>046号（部分）商铺</t>
  </si>
  <si>
    <t>兰熊鲜奶</t>
  </si>
  <si>
    <t>12月租金变更为11.5元/天/平米</t>
  </si>
  <si>
    <t>北京味道沂蒙餐饮管理有限公司</t>
  </si>
  <si>
    <t>12幢B1层008B、020号商铺</t>
  </si>
  <si>
    <t>鲁菜餐厅</t>
  </si>
  <si>
    <t>8-12月租金变更为6.92元/天/平米</t>
    <phoneticPr fontId="134" type="noConversion"/>
  </si>
  <si>
    <t>北京蜜糖星球科技有限公司</t>
  </si>
  <si>
    <t>B1层YB-003场地</t>
  </si>
  <si>
    <t>婚纱，礼服</t>
  </si>
  <si>
    <t>1-3月场租变更为5.5元/天/平米</t>
    <phoneticPr fontId="134" type="noConversion"/>
  </si>
  <si>
    <t>北京威芃台球俱乐部</t>
  </si>
  <si>
    <t>YB-004场地</t>
  </si>
  <si>
    <t>台球</t>
  </si>
  <si>
    <t>1-3月场租变更为4元/天/平米</t>
    <phoneticPr fontId="134" type="noConversion"/>
  </si>
  <si>
    <t>北京结绳记商业管理有限公司</t>
  </si>
  <si>
    <t>B1层031B号商铺</t>
  </si>
  <si>
    <t>结绳记</t>
  </si>
  <si>
    <t>1-5月场租变更为11元/天/平米</t>
    <phoneticPr fontId="134" type="noConversion"/>
  </si>
  <si>
    <t>北京丰盛盈众科技有限公司</t>
  </si>
  <si>
    <t>13幢B1层060</t>
  </si>
  <si>
    <t>小家电</t>
  </si>
  <si>
    <t>小米</t>
  </si>
  <si>
    <t>10-12月租金变更为3.5元/天/平米</t>
    <phoneticPr fontId="134" type="noConversion"/>
  </si>
  <si>
    <t>韩国民</t>
  </si>
  <si>
    <t>B1层042部分商铺</t>
  </si>
  <si>
    <t>川合成麻辣香锅</t>
  </si>
  <si>
    <t>北京顿河餐饮店</t>
  </si>
  <si>
    <t>12幢009D号</t>
  </si>
  <si>
    <t>俄餐，西式餐吧</t>
  </si>
  <si>
    <t>1-月租金为10元/天/平米</t>
    <phoneticPr fontId="134" type="noConversion"/>
  </si>
  <si>
    <t>北京巷火长街餐饮管理有限公司</t>
  </si>
  <si>
    <t>B1层025号商铺</t>
  </si>
  <si>
    <t>夸父炸串</t>
  </si>
  <si>
    <t>8-12月租金变更为7.71元/天/平米</t>
  </si>
  <si>
    <t>北京京鸣餐饮管理有限公司</t>
  </si>
  <si>
    <t>B1层026号商铺</t>
  </si>
  <si>
    <t>吉姆大师傅</t>
  </si>
  <si>
    <t>8-12月租金变更为11.2元/天/平米</t>
  </si>
  <si>
    <t>北京超奥餐饮管理有限公司</t>
  </si>
  <si>
    <t>井弘饭团</t>
  </si>
  <si>
    <t>8-12月租金变更为21.92元/天/平米</t>
  </si>
  <si>
    <t>乔欣</t>
  </si>
  <si>
    <t>B1层008A号商铺</t>
  </si>
  <si>
    <t>梁山烤肉</t>
  </si>
  <si>
    <t>2024.4.15日计租</t>
    <phoneticPr fontId="134" type="noConversion"/>
  </si>
  <si>
    <t>北京雨麟鸿餐饮管理有限公司</t>
  </si>
  <si>
    <t>12幢007B（部分）、007C-007E号</t>
  </si>
  <si>
    <t>日本料理</t>
  </si>
  <si>
    <t>1-2月租金为7元/天/平米</t>
    <phoneticPr fontId="134" type="noConversion"/>
  </si>
  <si>
    <t>北京金羽艺创体育文化有限公司</t>
  </si>
  <si>
    <t>B1层014号商铺</t>
  </si>
  <si>
    <t>适羽体育</t>
  </si>
  <si>
    <t>北京赛博玩家科技有限公司</t>
  </si>
  <si>
    <t>B1层一层YB001商铺</t>
  </si>
  <si>
    <t>运动体验</t>
  </si>
  <si>
    <t>赛博跳动</t>
  </si>
  <si>
    <t>9-12月租金变更为2元/天/平米</t>
    <phoneticPr fontId="134" type="noConversion"/>
  </si>
  <si>
    <t>聚众互联（北京）科技有限公司</t>
  </si>
  <si>
    <t>农夫山泉自助售卖饮水机</t>
  </si>
  <si>
    <t>张旭</t>
  </si>
  <si>
    <t>B1层中岛（电影院服务台斜对面）商铺</t>
  </si>
  <si>
    <t>林下客游戏机</t>
  </si>
  <si>
    <t>B1层</t>
    <phoneticPr fontId="134" type="noConversion"/>
  </si>
  <si>
    <t>租赁</t>
    <phoneticPr fontId="134" type="noConversion"/>
  </si>
  <si>
    <t>6号楼1层部分商铺及地下B202室</t>
  </si>
  <si>
    <t>餐饮</t>
    <phoneticPr fontId="134" type="noConversion"/>
  </si>
  <si>
    <t>海洋餐厅</t>
    <phoneticPr fontId="134" type="noConversion"/>
  </si>
  <si>
    <t>固定租金</t>
    <phoneticPr fontId="134" type="noConversion"/>
  </si>
  <si>
    <t>高强</t>
  </si>
  <si>
    <t>林奥CITY PARK购物中心醉面对面场地</t>
  </si>
  <si>
    <t>北京彩宝世家商贸有限公司</t>
  </si>
  <si>
    <t>黄金珠宝</t>
  </si>
  <si>
    <t>家祺银匠</t>
  </si>
  <si>
    <t>8-12月租金变更为29.89元/天/平米</t>
  </si>
  <si>
    <t>段毅</t>
  </si>
  <si>
    <t>棉花糖</t>
  </si>
  <si>
    <t>北京烟火人间包子店</t>
  </si>
  <si>
    <t>B1层038B号商铺</t>
  </si>
  <si>
    <t>好适口</t>
  </si>
  <si>
    <t>8-12月租金变更为5.5元/天/平米</t>
  </si>
  <si>
    <t>海底捞等位区扶梯下方场地</t>
  </si>
  <si>
    <t>北京锦悦荣富餐饮有限公司</t>
  </si>
  <si>
    <t>B1层002i号（部分）商铺</t>
  </si>
  <si>
    <t>蔓味轻食</t>
  </si>
  <si>
    <t>8-12月租金变更为6元/天/平米</t>
  </si>
  <si>
    <t>北京薛记炒货有限公司</t>
  </si>
  <si>
    <t>B1层049号（部分）商铺</t>
  </si>
  <si>
    <t>干果零食</t>
  </si>
  <si>
    <t>薛记炒货</t>
  </si>
  <si>
    <t>8-12月租金变更为11.5元/天/平米</t>
  </si>
  <si>
    <t>北京珍味小筑餐饮店</t>
  </si>
  <si>
    <t>B1层048（部分）、049（部分）、050（部分）商铺</t>
  </si>
  <si>
    <t>珍味小筑</t>
  </si>
  <si>
    <t>1月1日-3月12日为免租期</t>
  </si>
  <si>
    <t>北京乡味餐饮管理有限责任公司</t>
  </si>
  <si>
    <t>B1层064、065、066号商铺</t>
  </si>
  <si>
    <t>可能湘菜馆</t>
  </si>
  <si>
    <t>8-12月租金变更为3.7元/天/平米</t>
  </si>
  <si>
    <t>可能湘菜馆外摆区</t>
  </si>
  <si>
    <t>可能湘菜馆后</t>
  </si>
  <si>
    <t>北京江南风情斑鱼火锅有限公司</t>
  </si>
  <si>
    <t>B1层027号、028号商铺</t>
  </si>
  <si>
    <t>江南风情斑鱼火锅</t>
  </si>
  <si>
    <t>9-12月租金变更为5.5元/天/平米</t>
    <phoneticPr fontId="134" type="noConversion"/>
  </si>
  <si>
    <t>北京马一兰鸿运餐饮管理有限公司</t>
  </si>
  <si>
    <t>马一兰外摆区</t>
  </si>
  <si>
    <t>马一兰</t>
  </si>
  <si>
    <t>北京马一兰鸿运餐饮管理有限公司北京朝阳清林东路店</t>
  </si>
  <si>
    <t>B1层038A号商铺</t>
  </si>
  <si>
    <t>北京田食餐饮服务有限公司</t>
  </si>
  <si>
    <t>B1层043号（部分）商铺</t>
  </si>
  <si>
    <t>莫计饺</t>
  </si>
  <si>
    <t>9-12月租金变更为5.7元/天/平米</t>
  </si>
  <si>
    <t>林烽泰</t>
  </si>
  <si>
    <t>B1层B1层部分029号（部分）商铺</t>
  </si>
  <si>
    <t>茶乙己</t>
  </si>
  <si>
    <t>北京沫西秋叶美容美发有限公司</t>
  </si>
  <si>
    <t>B1层039B、039C号（部分）商铺</t>
  </si>
  <si>
    <t>美容美发、头部护理、美甲</t>
  </si>
  <si>
    <t>MOXI沫西造型</t>
  </si>
  <si>
    <t>9-12月租金变更为3.3元/天/平米</t>
  </si>
  <si>
    <t>B1层023号（部分）商铺</t>
  </si>
  <si>
    <t>甲乙饼</t>
  </si>
  <si>
    <t>8-12月租金变更为6.5元/天/平米</t>
  </si>
  <si>
    <t>北京呈尚元餐饮管理有限公司</t>
  </si>
  <si>
    <t>B1层023A号商铺</t>
  </si>
  <si>
    <t>赤小二烧烤小酒馆</t>
  </si>
  <si>
    <t>8-12月租金变更为8元/天/平米</t>
  </si>
  <si>
    <t>北京乐吧冷饮有限责任公司</t>
  </si>
  <si>
    <t>B1层046号（部分）商铺</t>
  </si>
  <si>
    <t>野人牧坊</t>
  </si>
  <si>
    <t>10-12月租金变更为13.5元/天/平米</t>
  </si>
  <si>
    <t>北京沫西国际企业管理有限公司</t>
  </si>
  <si>
    <t>B1层039C号（部分）商铺</t>
  </si>
  <si>
    <t>卢征新</t>
  </si>
  <si>
    <t>B1层023D号商铺</t>
  </si>
  <si>
    <t>造景、茶具</t>
  </si>
  <si>
    <t>桔器工坊</t>
  </si>
  <si>
    <t>9-12月租金变更为8元/天/平米</t>
  </si>
  <si>
    <t>北京腾跃颢森餐饮有限责任公司</t>
  </si>
  <si>
    <t>B1层026号（部分）商铺</t>
  </si>
  <si>
    <t>LINLEE 手打柠檬茶</t>
  </si>
  <si>
    <t>10-12月租金变更为18元/天/平米</t>
  </si>
  <si>
    <t>北京池田恒达餐饮管理有限公司</t>
  </si>
  <si>
    <t>B1层029号（部分）商铺</t>
  </si>
  <si>
    <t>池田寿司</t>
  </si>
  <si>
    <t>2024-41</t>
  </si>
  <si>
    <t>北京机匠汇科技有限公司</t>
  </si>
  <si>
    <t>B1层中岛（吉姆大师傅对面）商铺</t>
  </si>
  <si>
    <t>数码产品零售</t>
  </si>
  <si>
    <t>爱机潮品</t>
  </si>
  <si>
    <t>贵凤凰（贵州）食品有限责任公司</t>
  </si>
  <si>
    <r>
      <rPr>
        <sz val="14"/>
        <color theme="1"/>
        <rFont val="楷体"/>
        <family val="3"/>
        <charset val="134"/>
      </rPr>
      <t>林奥CITY PARK购物中心</t>
    </r>
    <r>
      <rPr>
        <u/>
        <sz val="14"/>
        <color theme="1"/>
        <rFont val="楷体"/>
        <family val="3"/>
        <charset val="134"/>
      </rPr>
      <t xml:space="preserve"> B1层021A-021B</t>
    </r>
    <r>
      <rPr>
        <sz val="14"/>
        <color theme="1"/>
        <rFont val="楷体"/>
        <family val="3"/>
        <charset val="134"/>
      </rPr>
      <t>号商铺</t>
    </r>
  </si>
  <si>
    <t>贵凤凰</t>
  </si>
  <si>
    <t>北京味道江湖餐饮有限公司</t>
  </si>
  <si>
    <t>13幢B1层002J场地</t>
  </si>
  <si>
    <t>包烧米线</t>
  </si>
  <si>
    <t>1-3月场租为14元/天/平米</t>
    <phoneticPr fontId="134" type="noConversion"/>
  </si>
  <si>
    <t>北京裕浓香叆食品有限公司</t>
  </si>
  <si>
    <t>购物中心048B商铺</t>
  </si>
  <si>
    <t>面包、点心</t>
  </si>
  <si>
    <t>1-3月租金变更为8元/天/平米</t>
    <phoneticPr fontId="134" type="noConversion"/>
  </si>
  <si>
    <t>大澳渔村（北京）餐饮有限公司</t>
  </si>
  <si>
    <t>12幢B1层037</t>
  </si>
  <si>
    <t>大澳中式餐饮</t>
  </si>
  <si>
    <t>滇香八斗（北京）餐饮管理有限公司</t>
  </si>
  <si>
    <t>13幢B1层041号商铺</t>
  </si>
  <si>
    <t>云南菜、特色餐</t>
  </si>
  <si>
    <t>纯友丽（北京）餐饮管理有限公司</t>
  </si>
  <si>
    <t>12幢B1层008D/009F/009E商铺</t>
  </si>
  <si>
    <t>敢探西餐</t>
  </si>
  <si>
    <t>北京沐霖餐饮管理有限公司</t>
  </si>
  <si>
    <t>B1层042号（部分）商铺</t>
  </si>
  <si>
    <t>醉面</t>
  </si>
  <si>
    <t>以保底为准</t>
  </si>
  <si>
    <t>北京海簋餐饮管理有限公司第一分公司</t>
  </si>
  <si>
    <t>12幢B1层036A号商铺</t>
  </si>
  <si>
    <t>蒸汽海鲜</t>
  </si>
  <si>
    <t>北京百济森奥餐饮服务有限公司</t>
  </si>
  <si>
    <t>12幢B1层006B、006C号</t>
  </si>
  <si>
    <t>烤肉、烤鳗鱼</t>
  </si>
  <si>
    <t>北京优昂林奥体育发展有限公司</t>
  </si>
  <si>
    <t>B1层YB-002</t>
  </si>
  <si>
    <t>运动，健身</t>
  </si>
  <si>
    <t>优昂健身</t>
  </si>
  <si>
    <t>北京米村京玖拾贰餐饮店（有限合伙）</t>
  </si>
  <si>
    <t>B1层047号商铺</t>
  </si>
  <si>
    <t>米村拌饭</t>
  </si>
  <si>
    <t>固定租金加抽成</t>
  </si>
  <si>
    <t>乙方每租赁月堂食销售额超出40万（税前），除固定租金外，甲方按照超出部分5%收取抽成租金</t>
  </si>
  <si>
    <t>乙方每租赁月堂食销售额超出40万（税前），除固定租金外，甲方按照超出部分5%收取抽成租金，1-6月租金为3.7元/天/平米</t>
  </si>
  <si>
    <t>天好（北京）餐饮服务有限公司</t>
  </si>
  <si>
    <t>12幢B1层二层070号</t>
  </si>
  <si>
    <t>Tim Hortons</t>
  </si>
  <si>
    <t>量达（北京）科贸有限公司</t>
  </si>
  <si>
    <t>电影院外公区部分场地</t>
  </si>
  <si>
    <t>自助机（娃娃机、扭蛋机、唱吧）</t>
  </si>
  <si>
    <t>云睿鼎祥（北京）商业有限责任公司</t>
  </si>
  <si>
    <t>北端库房1</t>
  </si>
  <si>
    <t>温小兰</t>
  </si>
  <si>
    <t>B1层一层中岛（Tims咖啡西侧）场地</t>
  </si>
  <si>
    <t>好特卖卖场</t>
  </si>
  <si>
    <t>美山林奥（北京）餐饮管理有限责任公司</t>
  </si>
  <si>
    <t>13幢B1层039A</t>
  </si>
  <si>
    <t>烤悦</t>
  </si>
  <si>
    <t>北京韵竹餐饮管理有限公司</t>
  </si>
  <si>
    <t>13幢002I-A场地</t>
  </si>
  <si>
    <t>私房牛肉面</t>
  </si>
  <si>
    <t>12幢B1层029</t>
  </si>
  <si>
    <t>琳达惠选</t>
  </si>
  <si>
    <t>林奥CITY PARK购物中心B1层一层（小米门前）场地</t>
  </si>
  <si>
    <t>Polo sport</t>
  </si>
  <si>
    <t>3月10日撤场</t>
  </si>
  <si>
    <t>北京正星景耀珠宝有限公司</t>
  </si>
  <si>
    <t>B1层中岛（翠屿对面）</t>
  </si>
  <si>
    <t>珠宝</t>
  </si>
  <si>
    <t>正星珠宝</t>
  </si>
  <si>
    <t>北京咕噜鱼餐饮有限公司</t>
  </si>
  <si>
    <t>B1层一层043号商铺</t>
  </si>
  <si>
    <t>爱辣屋</t>
  </si>
  <si>
    <t>北京小雨滴海洋文化创意有限公司</t>
  </si>
  <si>
    <t>B1层010A、010B、010C（部分）号商铺</t>
  </si>
  <si>
    <t>卡丁车</t>
  </si>
  <si>
    <t>酷跑卡丁车</t>
  </si>
  <si>
    <t>范丽华</t>
  </si>
  <si>
    <t>B1层016号</t>
  </si>
  <si>
    <t>教培体验</t>
  </si>
  <si>
    <t>完美九人棒垒球</t>
  </si>
  <si>
    <t>北京必胜客比萨饼有限公司</t>
  </si>
  <si>
    <t>B1层一层028商铺</t>
  </si>
  <si>
    <t>必胜客</t>
  </si>
  <si>
    <t>以1月抽成租金为标准，月管理费21600元/月</t>
  </si>
  <si>
    <t>北京肯德基有限公司</t>
  </si>
  <si>
    <t>B1层一层061-062商铺</t>
  </si>
  <si>
    <t>肯德基</t>
  </si>
  <si>
    <t>以1月抽成租金为标准，月管理费14940元/月</t>
  </si>
  <si>
    <t>北京茨比商贸有限公司</t>
  </si>
  <si>
    <t>B1层044、045（部分）号商铺</t>
  </si>
  <si>
    <t>好特卖</t>
  </si>
  <si>
    <t>销售45万（含45万），30元/月/平米，按6%抽成</t>
  </si>
  <si>
    <t>以1月抽成租金为标准，销售45万（含45万），30元/月/平米</t>
  </si>
  <si>
    <t>北京聚盛新商贸有限公司</t>
  </si>
  <si>
    <t>B1层045（部分）、046号商铺</t>
  </si>
  <si>
    <t>名创优品</t>
  </si>
  <si>
    <t>销售45万（含45万），30元/月/平米</t>
  </si>
  <si>
    <t>B1层小计</t>
  </si>
  <si>
    <t>北京动感乐宫体育健身活动有限公司</t>
  </si>
  <si>
    <t>B2层</t>
  </si>
  <si>
    <t>地下二层的场地</t>
  </si>
  <si>
    <t>轮滑</t>
  </si>
  <si>
    <t>固定车位10个</t>
  </si>
  <si>
    <t>盒马鱼缸</t>
  </si>
  <si>
    <t>广州小鹏智慧充电科技有限公司</t>
  </si>
  <si>
    <t>B1层车场</t>
  </si>
  <si>
    <t>B1层负二层、车位编号B290、B291、B292、B293、B294、B295</t>
  </si>
  <si>
    <t>充电桩</t>
  </si>
  <si>
    <t>小鹏充电桩</t>
  </si>
  <si>
    <t>王森</t>
  </si>
  <si>
    <t>13个车位项目场地</t>
  </si>
  <si>
    <t>洗车房</t>
  </si>
  <si>
    <t>3号楼B2层库房</t>
  </si>
  <si>
    <t>北京市朝阳区奥运村社区卫生服务中心</t>
  </si>
  <si>
    <t>一层西北角</t>
  </si>
  <si>
    <t>卫生服务中心</t>
  </si>
  <si>
    <t>林奥CITY PARK购物中心（部分）场地</t>
  </si>
  <si>
    <t>服务</t>
  </si>
  <si>
    <t>充电宝</t>
  </si>
  <si>
    <t>室外</t>
  </si>
  <si>
    <t>林奥CITY PARK购物中心商场东广场外层公共道路</t>
  </si>
  <si>
    <t>小火车/游乐场</t>
  </si>
  <si>
    <t>室外9月底撤场</t>
  </si>
  <si>
    <t>海鸿达（北京）餐饮管理有限公司</t>
  </si>
  <si>
    <t>户外广告</t>
  </si>
  <si>
    <t>11号楼东立面幕墙11E-1</t>
  </si>
  <si>
    <t>9.5*6.3</t>
  </si>
  <si>
    <t>广告位</t>
  </si>
  <si>
    <t>海底捞</t>
  </si>
  <si>
    <t>林奥CITY PARK东广户外广场8E-04号</t>
  </si>
  <si>
    <t>13.5*4.5</t>
  </si>
  <si>
    <t>观华影院</t>
  </si>
  <si>
    <t>11N-01号</t>
  </si>
  <si>
    <t>9.5M*6.3M</t>
  </si>
  <si>
    <t>薛记炒货广告</t>
  </si>
  <si>
    <t>固定</t>
  </si>
  <si>
    <t>11N-03-01号</t>
  </si>
  <si>
    <t>2M*2.5M</t>
  </si>
  <si>
    <t>其他合计</t>
    <phoneticPr fontId="134" type="noConversion"/>
  </si>
  <si>
    <t>合计</t>
    <phoneticPr fontId="134" type="noConversion"/>
  </si>
  <si>
    <t>阿甘锅盔</t>
    <phoneticPr fontId="134" type="noConversion"/>
  </si>
  <si>
    <t>12幢地下车位</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</si>
</sst>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
    <numFmt numFmtId="198" formatCode="yyyy/mm/d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9" tint="-0.249977111117893"/>
      <name val="Arial"/>
      <family val="3"/>
      <charset val="134"/>
    </font>
    <font>
      <sz val="14"/>
      <color theme="1"/>
      <name val="楷体"/>
      <family val="3"/>
      <charset val="134"/>
    </font>
    <font>
      <sz val="26"/>
      <color theme="1"/>
      <name val="楷体"/>
      <family val="3"/>
      <charset val="134"/>
    </font>
    <font>
      <b/>
      <sz val="14"/>
      <color theme="1"/>
      <name val="楷体"/>
      <family val="3"/>
      <charset val="134"/>
    </font>
    <font>
      <sz val="14"/>
      <color rgb="FF000000"/>
      <name val="楷体"/>
      <family val="3"/>
      <charset val="134"/>
    </font>
    <font>
      <sz val="14"/>
      <name val="楷体"/>
      <family val="3"/>
      <charset val="134"/>
    </font>
    <font>
      <b/>
      <sz val="14"/>
      <color rgb="FF3F3F3F"/>
      <name val="楷体"/>
      <family val="3"/>
      <charset val="134"/>
    </font>
    <font>
      <u/>
      <sz val="14"/>
      <color theme="1"/>
      <name val="楷体"/>
      <family val="3"/>
      <charset val="134"/>
    </font>
    <font>
      <sz val="12"/>
      <color theme="1"/>
      <name val="楷体"/>
      <family val="3"/>
      <charset val="134"/>
    </font>
    <font>
      <b/>
      <sz val="9"/>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3999450666829432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147" fillId="0" borderId="0" applyFont="0" applyFill="0" applyBorder="0" applyAlignment="0" applyProtection="0">
      <alignment vertical="center"/>
    </xf>
    <xf numFmtId="0" fontId="147" fillId="0" borderId="0">
      <alignment vertical="center"/>
    </xf>
    <xf numFmtId="41" fontId="95" fillId="0" borderId="0" applyFont="0" applyFill="0" applyBorder="0" applyAlignment="0" applyProtection="0">
      <alignment vertical="center"/>
    </xf>
    <xf numFmtId="0" fontId="217"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83" fontId="47" fillId="8" borderId="1" xfId="0" applyNumberFormat="1" applyFont="1" applyFill="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269" fillId="0" borderId="1" xfId="10" applyFont="1" applyBorder="1" applyAlignment="1">
      <alignment horizontal="center" vertical="center" wrapText="1"/>
    </xf>
    <xf numFmtId="0" fontId="95" fillId="0" borderId="0" xfId="10">
      <alignment vertical="center"/>
    </xf>
    <xf numFmtId="0" fontId="107" fillId="0" borderId="0" xfId="10" applyFont="1">
      <alignment vertical="center"/>
    </xf>
    <xf numFmtId="0" fontId="107" fillId="16" borderId="0" xfId="10" applyFont="1" applyFill="1">
      <alignment vertical="center"/>
    </xf>
    <xf numFmtId="0" fontId="95" fillId="0" borderId="0" xfId="10" applyAlignment="1">
      <alignment horizontal="left" vertical="center"/>
    </xf>
    <xf numFmtId="0" fontId="95" fillId="0" borderId="0" xfId="10" applyAlignment="1">
      <alignment horizontal="left" vertical="center" wrapText="1"/>
    </xf>
    <xf numFmtId="14" fontId="95" fillId="0" borderId="0" xfId="10" applyNumberFormat="1" applyAlignment="1">
      <alignment horizontal="left" vertical="center"/>
    </xf>
    <xf numFmtId="2" fontId="95" fillId="0" borderId="0" xfId="10" applyNumberFormat="1" applyAlignment="1">
      <alignment horizontal="left" vertical="center"/>
    </xf>
    <xf numFmtId="196" fontId="95" fillId="0" borderId="0" xfId="10" applyNumberFormat="1" applyAlignment="1">
      <alignment horizontal="left" vertical="center"/>
    </xf>
    <xf numFmtId="1" fontId="95" fillId="0" borderId="0" xfId="10" applyNumberFormat="1" applyAlignment="1">
      <alignment horizontal="left" vertical="center"/>
    </xf>
    <xf numFmtId="0" fontId="77" fillId="12" borderId="0" xfId="0" applyFont="1" applyFill="1" applyProtection="1">
      <alignment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97"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160" fillId="6" borderId="1" xfId="12" applyFont="1" applyFill="1" applyBorder="1" applyAlignment="1">
      <alignment horizontal="left" vertical="center" wrapText="1"/>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59" fillId="0" borderId="0" xfId="12"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6" borderId="1" xfId="12" applyFill="1" applyBorder="1" applyAlignment="1">
      <alignment horizontal="left"/>
    </xf>
    <xf numFmtId="0" fontId="159" fillId="12" borderId="1" xfId="12" applyFill="1" applyBorder="1"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57" fontId="159" fillId="12" borderId="0" xfId="12" applyNumberFormat="1" applyFill="1" applyAlignment="1" applyProtection="1">
      <alignment horizontal="left"/>
      <protection locked="0"/>
    </xf>
    <xf numFmtId="9" fontId="95" fillId="0" borderId="0" xfId="10" applyNumberFormat="1" applyAlignment="1">
      <alignment horizontal="left" vertical="center"/>
    </xf>
    <xf numFmtId="49" fontId="270" fillId="12" borderId="4" xfId="0" applyNumberFormat="1" applyFont="1" applyFill="1" applyBorder="1" applyAlignment="1" applyProtection="1">
      <alignment horizontal="left" vertical="center"/>
      <protection locked="0"/>
    </xf>
    <xf numFmtId="0" fontId="271" fillId="7" borderId="0" xfId="2" applyFont="1" applyFill="1" applyAlignment="1">
      <alignment vertical="center"/>
    </xf>
    <xf numFmtId="0" fontId="273" fillId="7" borderId="1" xfId="2" applyFont="1" applyFill="1" applyBorder="1" applyAlignment="1">
      <alignment horizontal="center" vertical="center" wrapText="1"/>
    </xf>
    <xf numFmtId="0" fontId="273" fillId="7" borderId="1" xfId="2" applyFont="1" applyFill="1" applyBorder="1" applyAlignment="1">
      <alignment horizontal="left" vertical="center" wrapText="1"/>
    </xf>
    <xf numFmtId="40" fontId="273" fillId="7" borderId="1" xfId="21" applyNumberFormat="1" applyFont="1" applyFill="1" applyBorder="1" applyAlignment="1">
      <alignment horizontal="left" vertical="center" wrapText="1"/>
    </xf>
    <xf numFmtId="43" fontId="273" fillId="7" borderId="1" xfId="21" applyNumberFormat="1" applyFont="1" applyFill="1" applyBorder="1" applyAlignment="1">
      <alignment horizontal="right" vertical="center" wrapText="1"/>
    </xf>
    <xf numFmtId="43" fontId="273" fillId="7" borderId="1" xfId="21" applyNumberFormat="1" applyFont="1" applyFill="1" applyBorder="1" applyAlignment="1">
      <alignment horizontal="left" vertical="center" wrapText="1"/>
    </xf>
    <xf numFmtId="198" fontId="273" fillId="7" borderId="1" xfId="2" applyNumberFormat="1" applyFont="1" applyFill="1" applyBorder="1" applyAlignment="1">
      <alignment horizontal="center" vertical="center" wrapText="1"/>
    </xf>
    <xf numFmtId="0" fontId="273" fillId="7" borderId="1" xfId="2" applyNumberFormat="1" applyFont="1" applyFill="1" applyBorder="1" applyAlignment="1">
      <alignment horizontal="center" vertical="center" wrapText="1"/>
    </xf>
    <xf numFmtId="0" fontId="273" fillId="7" borderId="0" xfId="2" applyFont="1" applyFill="1" applyAlignment="1">
      <alignment horizontal="left" vertical="center" wrapText="1"/>
    </xf>
    <xf numFmtId="0" fontId="271" fillId="7" borderId="1" xfId="2" applyFont="1" applyFill="1" applyBorder="1" applyAlignment="1">
      <alignment horizontal="center" vertical="center" wrapText="1"/>
    </xf>
    <xf numFmtId="0" fontId="271" fillId="7" borderId="1" xfId="2" applyFont="1" applyFill="1" applyBorder="1" applyAlignment="1">
      <alignment horizontal="left" vertical="center" wrapText="1"/>
    </xf>
    <xf numFmtId="0" fontId="271" fillId="7" borderId="1" xfId="2" applyFont="1" applyFill="1" applyBorder="1" applyAlignment="1">
      <alignment horizontal="center" vertical="center"/>
    </xf>
    <xf numFmtId="14" fontId="271" fillId="7" borderId="1" xfId="2" applyNumberFormat="1" applyFont="1" applyFill="1" applyBorder="1" applyAlignment="1">
      <alignment horizontal="left" vertical="center" wrapText="1"/>
    </xf>
    <xf numFmtId="43" fontId="271" fillId="7" borderId="1" xfId="2" applyNumberFormat="1" applyFont="1" applyFill="1" applyBorder="1" applyAlignment="1">
      <alignment horizontal="right" vertical="center" wrapText="1"/>
    </xf>
    <xf numFmtId="43" fontId="271" fillId="7" borderId="1" xfId="2" applyNumberFormat="1" applyFont="1" applyFill="1" applyBorder="1" applyAlignment="1">
      <alignment vertical="center"/>
    </xf>
    <xf numFmtId="0" fontId="271" fillId="7" borderId="1" xfId="2" applyFont="1" applyFill="1" applyBorder="1" applyAlignment="1">
      <alignment vertical="center" wrapText="1"/>
    </xf>
    <xf numFmtId="9" fontId="271" fillId="7" borderId="1" xfId="2" applyNumberFormat="1" applyFont="1" applyFill="1" applyBorder="1" applyAlignment="1">
      <alignment horizontal="center" vertical="center" wrapText="1"/>
    </xf>
    <xf numFmtId="176" fontId="271" fillId="7" borderId="1" xfId="2" applyNumberFormat="1" applyFont="1" applyFill="1" applyBorder="1" applyAlignment="1">
      <alignment horizontal="right" vertical="center" wrapText="1"/>
    </xf>
    <xf numFmtId="43" fontId="271" fillId="7" borderId="1" xfId="2" applyNumberFormat="1" applyFont="1" applyFill="1" applyBorder="1" applyAlignment="1">
      <alignment horizontal="right" vertical="center"/>
    </xf>
    <xf numFmtId="43" fontId="271" fillId="7" borderId="1" xfId="2" applyNumberFormat="1" applyFont="1" applyFill="1" applyBorder="1" applyAlignment="1">
      <alignment horizontal="left" vertical="center"/>
    </xf>
    <xf numFmtId="198" fontId="271" fillId="7" borderId="1" xfId="2" applyNumberFormat="1" applyFont="1" applyFill="1" applyBorder="1" applyAlignment="1">
      <alignment horizontal="center" vertical="center" wrapText="1"/>
    </xf>
    <xf numFmtId="0" fontId="271" fillId="7" borderId="1" xfId="2" applyNumberFormat="1" applyFont="1" applyFill="1" applyBorder="1" applyAlignment="1">
      <alignment horizontal="center" vertical="center" wrapText="1"/>
    </xf>
    <xf numFmtId="0" fontId="271" fillId="7" borderId="0" xfId="2" applyFont="1" applyFill="1" applyAlignment="1">
      <alignment horizontal="left" vertical="center"/>
    </xf>
    <xf numFmtId="43" fontId="271" fillId="7" borderId="0" xfId="2" applyNumberFormat="1" applyFont="1" applyFill="1" applyAlignment="1">
      <alignment horizontal="left" vertical="center"/>
    </xf>
    <xf numFmtId="0" fontId="271" fillId="7" borderId="1" xfId="2" applyFont="1" applyFill="1" applyBorder="1" applyAlignment="1">
      <alignment horizontal="right" vertical="center"/>
    </xf>
    <xf numFmtId="0" fontId="271" fillId="7" borderId="1" xfId="2" applyFont="1" applyFill="1" applyBorder="1" applyAlignment="1">
      <alignment vertical="center"/>
    </xf>
    <xf numFmtId="198" fontId="271" fillId="7" borderId="1" xfId="2" applyNumberFormat="1" applyFont="1" applyFill="1" applyBorder="1" applyAlignment="1">
      <alignment horizontal="center" vertical="center"/>
    </xf>
    <xf numFmtId="0" fontId="271" fillId="7" borderId="1" xfId="2" applyFont="1" applyFill="1" applyBorder="1" applyAlignment="1">
      <alignment horizontal="left" vertical="center"/>
    </xf>
    <xf numFmtId="0" fontId="271" fillId="7" borderId="0" xfId="2" applyFont="1" applyFill="1"/>
    <xf numFmtId="49" fontId="274" fillId="7" borderId="1" xfId="2" applyNumberFormat="1" applyFont="1" applyFill="1" applyBorder="1" applyAlignment="1">
      <alignment horizontal="left" vertical="center" wrapText="1"/>
    </xf>
    <xf numFmtId="14" fontId="271" fillId="7" borderId="1" xfId="2" applyNumberFormat="1" applyFont="1" applyFill="1" applyBorder="1" applyAlignment="1">
      <alignment horizontal="center" vertical="center" wrapText="1"/>
    </xf>
    <xf numFmtId="43" fontId="271" fillId="7" borderId="1" xfId="2" applyNumberFormat="1" applyFont="1" applyFill="1" applyBorder="1" applyAlignment="1">
      <alignment horizontal="center" vertical="center" wrapText="1"/>
    </xf>
    <xf numFmtId="9" fontId="271" fillId="7" borderId="1" xfId="2" applyNumberFormat="1" applyFont="1" applyFill="1" applyBorder="1" applyAlignment="1">
      <alignment horizontal="right" vertical="center" wrapText="1"/>
    </xf>
    <xf numFmtId="0" fontId="271" fillId="7" borderId="1" xfId="2" applyFont="1" applyFill="1" applyBorder="1" applyAlignment="1">
      <alignment horizontal="right" vertical="center" wrapText="1"/>
    </xf>
    <xf numFmtId="176" fontId="271" fillId="7" borderId="1" xfId="2" applyNumberFormat="1" applyFont="1" applyFill="1" applyBorder="1" applyAlignment="1">
      <alignment horizontal="left" vertical="center"/>
    </xf>
    <xf numFmtId="176" fontId="271" fillId="7" borderId="1" xfId="2" applyNumberFormat="1" applyFont="1" applyFill="1" applyBorder="1" applyAlignment="1">
      <alignment horizontal="right" vertical="center"/>
    </xf>
    <xf numFmtId="43" fontId="275" fillId="7" borderId="1" xfId="2" applyNumberFormat="1" applyFont="1" applyFill="1" applyBorder="1" applyAlignment="1">
      <alignment horizontal="left" vertical="center"/>
    </xf>
    <xf numFmtId="9" fontId="271" fillId="7" borderId="1" xfId="2" applyNumberFormat="1" applyFont="1" applyFill="1" applyBorder="1" applyAlignment="1">
      <alignment horizontal="right" vertical="center"/>
    </xf>
    <xf numFmtId="0" fontId="271" fillId="0" borderId="0" xfId="2" applyFont="1"/>
    <xf numFmtId="2" fontId="271" fillId="7" borderId="1" xfId="2" applyNumberFormat="1" applyFont="1" applyFill="1" applyBorder="1" applyAlignment="1">
      <alignment horizontal="right" vertical="center" wrapText="1"/>
    </xf>
    <xf numFmtId="0" fontId="271" fillId="10" borderId="1" xfId="2" applyFont="1" applyFill="1" applyBorder="1" applyAlignment="1">
      <alignment horizontal="center" vertical="center" wrapText="1"/>
    </xf>
    <xf numFmtId="0" fontId="271" fillId="10" borderId="1" xfId="2" applyFont="1" applyFill="1" applyBorder="1" applyAlignment="1">
      <alignment horizontal="left" vertical="center" wrapText="1"/>
    </xf>
    <xf numFmtId="0" fontId="271" fillId="10" borderId="1" xfId="2" applyFont="1" applyFill="1" applyBorder="1" applyAlignment="1">
      <alignment horizontal="center" vertical="center"/>
    </xf>
    <xf numFmtId="14" fontId="271" fillId="10" borderId="1" xfId="2" applyNumberFormat="1" applyFont="1" applyFill="1" applyBorder="1" applyAlignment="1">
      <alignment horizontal="left" vertical="center" wrapText="1"/>
    </xf>
    <xf numFmtId="43" fontId="271" fillId="10" borderId="1" xfId="2" applyNumberFormat="1" applyFont="1" applyFill="1" applyBorder="1" applyAlignment="1">
      <alignment horizontal="right" vertical="center" wrapText="1"/>
    </xf>
    <xf numFmtId="43" fontId="271" fillId="10" borderId="1" xfId="2" applyNumberFormat="1" applyFont="1" applyFill="1" applyBorder="1" applyAlignment="1">
      <alignment vertical="center"/>
    </xf>
    <xf numFmtId="0" fontId="271" fillId="10" borderId="1" xfId="2" applyFont="1" applyFill="1" applyBorder="1" applyAlignment="1">
      <alignment vertical="center" wrapText="1"/>
    </xf>
    <xf numFmtId="43" fontId="271" fillId="10" borderId="1" xfId="2" applyNumberFormat="1" applyFont="1" applyFill="1" applyBorder="1" applyAlignment="1">
      <alignment horizontal="right" vertical="center"/>
    </xf>
    <xf numFmtId="43" fontId="271" fillId="10" borderId="1" xfId="2" applyNumberFormat="1" applyFont="1" applyFill="1" applyBorder="1" applyAlignment="1">
      <alignment horizontal="left" vertical="center"/>
    </xf>
    <xf numFmtId="198" fontId="271" fillId="10" borderId="1" xfId="2" applyNumberFormat="1" applyFont="1" applyFill="1" applyBorder="1" applyAlignment="1">
      <alignment horizontal="center" vertical="center" wrapText="1"/>
    </xf>
    <xf numFmtId="0" fontId="271" fillId="10" borderId="1" xfId="2" applyNumberFormat="1" applyFont="1" applyFill="1" applyBorder="1" applyAlignment="1">
      <alignment horizontal="center" vertical="center" wrapText="1"/>
    </xf>
    <xf numFmtId="0" fontId="274" fillId="7" borderId="1" xfId="22" applyFont="1" applyFill="1" applyBorder="1" applyAlignment="1">
      <alignment horizontal="left" vertical="center" wrapText="1"/>
    </xf>
    <xf numFmtId="0" fontId="271" fillId="7" borderId="0" xfId="2" applyFont="1" applyFill="1" applyBorder="1" applyAlignment="1">
      <alignment horizontal="center" vertical="center" wrapText="1"/>
    </xf>
    <xf numFmtId="9" fontId="271" fillId="7" borderId="1" xfId="2" applyNumberFormat="1" applyFont="1" applyFill="1" applyBorder="1" applyAlignment="1">
      <alignment horizontal="center" vertical="center"/>
    </xf>
    <xf numFmtId="14" fontId="271" fillId="7" borderId="1" xfId="2" applyNumberFormat="1" applyFont="1" applyFill="1" applyBorder="1" applyAlignment="1">
      <alignment vertical="center" wrapText="1"/>
    </xf>
    <xf numFmtId="179" fontId="271" fillId="7" borderId="1" xfId="2" applyNumberFormat="1" applyFont="1" applyFill="1" applyBorder="1" applyAlignment="1">
      <alignment horizontal="center" vertical="center"/>
    </xf>
    <xf numFmtId="43" fontId="271" fillId="5" borderId="1" xfId="2" applyNumberFormat="1" applyFont="1" applyFill="1" applyBorder="1" applyAlignment="1">
      <alignment horizontal="left" vertical="center"/>
    </xf>
    <xf numFmtId="43" fontId="271" fillId="10" borderId="1" xfId="2" applyNumberFormat="1" applyFont="1" applyFill="1" applyBorder="1" applyAlignment="1">
      <alignment horizontal="center" vertical="center" wrapText="1"/>
    </xf>
    <xf numFmtId="43" fontId="271" fillId="7" borderId="1" xfId="2" applyNumberFormat="1" applyFont="1" applyFill="1" applyBorder="1" applyAlignment="1">
      <alignment horizontal="left" vertical="center" wrapText="1"/>
    </xf>
    <xf numFmtId="179" fontId="271" fillId="7" borderId="1" xfId="2" applyNumberFormat="1" applyFont="1" applyFill="1" applyBorder="1" applyAlignment="1">
      <alignment vertical="center"/>
    </xf>
    <xf numFmtId="14" fontId="271" fillId="7" borderId="1" xfId="2" applyNumberFormat="1" applyFont="1" applyFill="1" applyBorder="1" applyAlignment="1">
      <alignment horizontal="left" vertical="center"/>
    </xf>
    <xf numFmtId="9" fontId="271" fillId="7" borderId="1" xfId="2" applyNumberFormat="1" applyFont="1" applyFill="1" applyBorder="1" applyAlignment="1">
      <alignment horizontal="left" vertical="center"/>
    </xf>
    <xf numFmtId="58" fontId="271" fillId="7" borderId="1" xfId="2" applyNumberFormat="1" applyFont="1" applyFill="1" applyBorder="1" applyAlignment="1">
      <alignment horizontal="center" vertical="center" wrapText="1"/>
    </xf>
    <xf numFmtId="43" fontId="278" fillId="7" borderId="1" xfId="2" applyNumberFormat="1" applyFont="1" applyFill="1" applyBorder="1" applyAlignment="1">
      <alignment horizontal="right" vertical="center" wrapText="1"/>
    </xf>
    <xf numFmtId="43" fontId="271" fillId="7" borderId="1" xfId="2" applyNumberFormat="1" applyFont="1" applyFill="1" applyBorder="1" applyAlignment="1">
      <alignment horizontal="center" vertical="center"/>
    </xf>
    <xf numFmtId="0" fontId="271" fillId="7" borderId="1" xfId="2" applyNumberFormat="1" applyFont="1" applyFill="1" applyBorder="1" applyAlignment="1">
      <alignment horizontal="center" vertical="center"/>
    </xf>
    <xf numFmtId="0" fontId="95" fillId="0" borderId="0" xfId="2"/>
    <xf numFmtId="0" fontId="278" fillId="7" borderId="1" xfId="2" applyFont="1" applyFill="1" applyBorder="1" applyAlignment="1">
      <alignment horizontal="left" vertical="center" wrapText="1"/>
    </xf>
    <xf numFmtId="0" fontId="278" fillId="7" borderId="1" xfId="2" applyFont="1" applyFill="1" applyBorder="1" applyAlignment="1">
      <alignment horizontal="center" vertical="center" wrapText="1"/>
    </xf>
    <xf numFmtId="14" fontId="278" fillId="7" borderId="1" xfId="2" applyNumberFormat="1" applyFont="1" applyFill="1" applyBorder="1" applyAlignment="1">
      <alignment horizontal="center" vertical="center" wrapText="1"/>
    </xf>
    <xf numFmtId="43" fontId="278" fillId="7" borderId="1" xfId="2" applyNumberFormat="1" applyFont="1" applyFill="1" applyBorder="1" applyAlignment="1">
      <alignment horizontal="center" vertical="center" wrapText="1"/>
    </xf>
    <xf numFmtId="176" fontId="278" fillId="7" borderId="1" xfId="2" applyNumberFormat="1" applyFont="1" applyFill="1" applyBorder="1" applyAlignment="1">
      <alignment horizontal="right" vertical="center" wrapText="1"/>
    </xf>
    <xf numFmtId="198" fontId="278" fillId="7" borderId="1" xfId="2" applyNumberFormat="1" applyFont="1" applyFill="1" applyBorder="1" applyAlignment="1">
      <alignment horizontal="center" vertical="center" wrapText="1"/>
    </xf>
    <xf numFmtId="0" fontId="278" fillId="7" borderId="1" xfId="2" applyNumberFormat="1" applyFont="1" applyFill="1" applyBorder="1" applyAlignment="1">
      <alignment horizontal="center" vertical="center" wrapText="1"/>
    </xf>
    <xf numFmtId="0" fontId="95" fillId="7" borderId="0" xfId="2" applyFill="1"/>
    <xf numFmtId="0" fontId="271" fillId="10" borderId="1" xfId="2" applyFont="1" applyFill="1" applyBorder="1" applyAlignment="1">
      <alignment vertical="center"/>
    </xf>
    <xf numFmtId="0" fontId="271" fillId="22" borderId="1" xfId="2" applyFont="1" applyFill="1" applyBorder="1" applyAlignment="1">
      <alignment horizontal="left" vertical="center"/>
    </xf>
    <xf numFmtId="43" fontId="278" fillId="22" borderId="1" xfId="2" applyNumberFormat="1" applyFont="1" applyFill="1" applyBorder="1" applyAlignment="1">
      <alignment horizontal="right" vertical="center" wrapText="1"/>
    </xf>
    <xf numFmtId="0" fontId="271" fillId="22" borderId="1" xfId="2" applyFont="1" applyFill="1" applyBorder="1" applyAlignment="1">
      <alignment vertical="center"/>
    </xf>
    <xf numFmtId="0" fontId="271" fillId="22" borderId="1" xfId="2" applyFont="1" applyFill="1" applyBorder="1" applyAlignment="1">
      <alignment horizontal="center" vertical="center"/>
    </xf>
    <xf numFmtId="43" fontId="271" fillId="22" borderId="1" xfId="2" applyNumberFormat="1" applyFont="1" applyFill="1" applyBorder="1" applyAlignment="1">
      <alignment horizontal="right" vertical="center"/>
    </xf>
    <xf numFmtId="198" fontId="271" fillId="22" borderId="1" xfId="2" applyNumberFormat="1" applyFont="1" applyFill="1" applyBorder="1" applyAlignment="1">
      <alignment horizontal="center" vertical="center"/>
    </xf>
    <xf numFmtId="0" fontId="271" fillId="22" borderId="1" xfId="2" applyNumberFormat="1" applyFont="1" applyFill="1" applyBorder="1" applyAlignment="1">
      <alignment horizontal="center" vertical="center"/>
    </xf>
    <xf numFmtId="0" fontId="271" fillId="22" borderId="1" xfId="2" applyFont="1" applyFill="1" applyBorder="1" applyAlignment="1">
      <alignment vertical="center" wrapText="1"/>
    </xf>
    <xf numFmtId="0" fontId="271" fillId="23" borderId="1" xfId="2" applyFont="1" applyFill="1" applyBorder="1" applyAlignment="1">
      <alignment vertical="center"/>
    </xf>
    <xf numFmtId="0" fontId="271" fillId="23" borderId="1" xfId="2" applyFont="1" applyFill="1" applyBorder="1" applyAlignment="1">
      <alignment horizontal="left" vertical="center" wrapText="1"/>
    </xf>
    <xf numFmtId="0" fontId="271" fillId="23" borderId="1" xfId="2" applyFont="1" applyFill="1" applyBorder="1" applyAlignment="1">
      <alignment horizontal="center" vertical="center"/>
    </xf>
    <xf numFmtId="0" fontId="271" fillId="23" borderId="1" xfId="2" applyFont="1" applyFill="1" applyBorder="1" applyAlignment="1">
      <alignment horizontal="left" vertical="center"/>
    </xf>
    <xf numFmtId="43" fontId="278" fillId="23" borderId="1" xfId="2" applyNumberFormat="1" applyFont="1" applyFill="1" applyBorder="1" applyAlignment="1">
      <alignment horizontal="right" vertical="center" wrapText="1"/>
    </xf>
    <xf numFmtId="0" fontId="271" fillId="23" borderId="1" xfId="2" applyFont="1" applyFill="1" applyBorder="1" applyAlignment="1">
      <alignment horizontal="right" vertical="center"/>
    </xf>
    <xf numFmtId="43" fontId="271" fillId="23" borderId="1" xfId="2" applyNumberFormat="1" applyFont="1" applyFill="1" applyBorder="1" applyAlignment="1">
      <alignment vertical="center"/>
    </xf>
    <xf numFmtId="198" fontId="271" fillId="23" borderId="1" xfId="2" applyNumberFormat="1" applyFont="1" applyFill="1" applyBorder="1" applyAlignment="1">
      <alignment horizontal="center" vertical="center"/>
    </xf>
    <xf numFmtId="198" fontId="271" fillId="7" borderId="0" xfId="2" applyNumberFormat="1" applyFont="1" applyFill="1" applyAlignment="1">
      <alignment horizontal="center" vertical="center"/>
    </xf>
    <xf numFmtId="0" fontId="271" fillId="7" borderId="0" xfId="2" applyNumberFormat="1" applyFont="1" applyFill="1" applyAlignment="1">
      <alignment horizontal="center" vertical="center"/>
    </xf>
    <xf numFmtId="0" fontId="271" fillId="7" borderId="0" xfId="2" applyFont="1" applyFill="1" applyAlignment="1">
      <alignment vertical="center" wrapText="1"/>
    </xf>
    <xf numFmtId="0" fontId="271" fillId="7" borderId="0" xfId="2" applyFont="1" applyFill="1" applyAlignment="1">
      <alignment horizontal="left" vertical="center" wrapText="1"/>
    </xf>
    <xf numFmtId="0" fontId="271" fillId="7" borderId="0" xfId="2" applyFont="1" applyFill="1" applyAlignment="1">
      <alignment horizontal="center" vertical="center"/>
    </xf>
    <xf numFmtId="43" fontId="278" fillId="7" borderId="0" xfId="2" applyNumberFormat="1" applyFont="1" applyFill="1" applyAlignment="1">
      <alignment horizontal="right" vertical="center" wrapText="1"/>
    </xf>
    <xf numFmtId="0" fontId="271" fillId="7" borderId="0" xfId="2" applyFont="1" applyFill="1" applyAlignment="1">
      <alignment horizontal="right" vertical="center"/>
    </xf>
    <xf numFmtId="43" fontId="271" fillId="7" borderId="0" xfId="2" applyNumberFormat="1" applyFont="1" applyFill="1" applyAlignment="1">
      <alignment vertical="center"/>
    </xf>
    <xf numFmtId="0" fontId="271" fillId="5" borderId="1" xfId="2" applyFont="1" applyFill="1" applyBorder="1" applyAlignment="1">
      <alignment horizontal="center" vertical="center" wrapText="1"/>
    </xf>
    <xf numFmtId="0" fontId="271" fillId="5" borderId="1" xfId="2" applyFont="1" applyFill="1" applyBorder="1" applyAlignment="1">
      <alignment horizontal="left" vertical="center" wrapText="1"/>
    </xf>
    <xf numFmtId="0" fontId="271" fillId="5" borderId="1" xfId="2" applyFont="1" applyFill="1" applyBorder="1" applyAlignment="1">
      <alignment horizontal="center" vertical="center"/>
    </xf>
    <xf numFmtId="43" fontId="271" fillId="5" borderId="1" xfId="2" applyNumberFormat="1" applyFont="1" applyFill="1" applyBorder="1" applyAlignment="1">
      <alignment horizontal="right" vertical="center" wrapText="1"/>
    </xf>
    <xf numFmtId="14" fontId="271" fillId="5" borderId="1" xfId="2" applyNumberFormat="1" applyFont="1" applyFill="1" applyBorder="1" applyAlignment="1">
      <alignment vertical="center" wrapText="1"/>
    </xf>
    <xf numFmtId="14" fontId="271" fillId="5" borderId="1" xfId="2" applyNumberFormat="1" applyFont="1" applyFill="1" applyBorder="1" applyAlignment="1">
      <alignment horizontal="left" vertical="center" wrapText="1"/>
    </xf>
    <xf numFmtId="0" fontId="271" fillId="5" borderId="1" xfId="2" applyFont="1" applyFill="1" applyBorder="1" applyAlignment="1">
      <alignment vertical="center" wrapText="1"/>
    </xf>
    <xf numFmtId="9" fontId="271" fillId="5" borderId="1" xfId="2" applyNumberFormat="1" applyFont="1" applyFill="1" applyBorder="1" applyAlignment="1">
      <alignment horizontal="center" vertical="center" wrapText="1"/>
    </xf>
    <xf numFmtId="43" fontId="271" fillId="5" borderId="1" xfId="2" applyNumberFormat="1" applyFont="1" applyFill="1" applyBorder="1" applyAlignment="1">
      <alignment horizontal="right" vertical="center"/>
    </xf>
    <xf numFmtId="198" fontId="271" fillId="5" borderId="1" xfId="2" applyNumberFormat="1" applyFont="1" applyFill="1" applyBorder="1" applyAlignment="1">
      <alignment horizontal="center" vertical="center" wrapText="1"/>
    </xf>
    <xf numFmtId="0" fontId="271" fillId="5" borderId="1" xfId="2" applyNumberFormat="1" applyFont="1" applyFill="1" applyBorder="1" applyAlignment="1">
      <alignment horizontal="center" vertical="center" wrapText="1"/>
    </xf>
    <xf numFmtId="0" fontId="271" fillId="5" borderId="0" xfId="2" applyFont="1" applyFill="1" applyAlignment="1">
      <alignment horizontal="left" vertical="center"/>
    </xf>
    <xf numFmtId="43" fontId="271" fillId="5" borderId="1" xfId="2" applyNumberFormat="1" applyFont="1" applyFill="1" applyBorder="1" applyAlignment="1">
      <alignment vertical="center"/>
    </xf>
    <xf numFmtId="10" fontId="53" fillId="18" borderId="49" xfId="0" applyNumberFormat="1" applyFont="1" applyFill="1" applyBorder="1" applyAlignment="1" applyProtection="1">
      <alignment horizontal="center" vertical="center"/>
      <protection locked="0"/>
    </xf>
    <xf numFmtId="14" fontId="160" fillId="6" borderId="1" xfId="12"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2" fillId="7" borderId="60" xfId="2" applyFont="1" applyFill="1" applyBorder="1" applyAlignment="1">
      <alignment horizontal="center" vertical="center"/>
    </xf>
    <xf numFmtId="0" fontId="95" fillId="0" borderId="0" xfId="10"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8" borderId="13" xfId="0" applyFont="1" applyFill="1" applyBorder="1" applyAlignment="1" applyProtection="1">
      <alignment horizontal="center" vertical="center"/>
      <protection locked="0"/>
    </xf>
    <xf numFmtId="0" fontId="44" fillId="8" borderId="15" xfId="0" applyFont="1" applyFill="1" applyBorder="1" applyAlignment="1" applyProtection="1">
      <alignment horizontal="center" vertical="center"/>
      <protection locked="0"/>
    </xf>
    <xf numFmtId="0" fontId="44" fillId="8" borderId="2" xfId="0" applyFont="1" applyFill="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8" borderId="1" xfId="0" applyFont="1" applyFill="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3">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2 3" xfId="22"/>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0] 2" xfId="21"/>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2" name="图片 1">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a:fillRect/>
        </a:stretch>
      </xdr:blipFill>
      <xdr:spPr>
        <a:xfrm>
          <a:off x="6683952" y="65157927"/>
          <a:ext cx="4440695" cy="4743715"/>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3" name="图片 2">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2"/>
        <a:stretch>
          <a:fillRect/>
        </a:stretch>
      </xdr:blipFill>
      <xdr:spPr>
        <a:xfrm>
          <a:off x="1" y="65131951"/>
          <a:ext cx="6246344" cy="3297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238125</xdr:colOff>
      <xdr:row>0</xdr:row>
      <xdr:rowOff>19050</xdr:rowOff>
    </xdr:from>
    <xdr:to>
      <xdr:col>23</xdr:col>
      <xdr:colOff>246878</xdr:colOff>
      <xdr:row>13</xdr:row>
      <xdr:rowOff>152019</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11572875" y="19050"/>
          <a:ext cx="6180953" cy="3047619"/>
        </a:xfrm>
        <a:prstGeom prst="rect">
          <a:avLst/>
        </a:prstGeom>
      </xdr:spPr>
    </xdr:pic>
    <xdr:clientData/>
  </xdr:twoCellAnchor>
  <xdr:twoCellAnchor editAs="oneCell">
    <xdr:from>
      <xdr:col>14</xdr:col>
      <xdr:colOff>257175</xdr:colOff>
      <xdr:row>15</xdr:row>
      <xdr:rowOff>28575</xdr:rowOff>
    </xdr:from>
    <xdr:to>
      <xdr:col>23</xdr:col>
      <xdr:colOff>151642</xdr:colOff>
      <xdr:row>36</xdr:row>
      <xdr:rowOff>46959</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11591925" y="3114675"/>
          <a:ext cx="6066667" cy="5333334"/>
        </a:xfrm>
        <a:prstGeom prst="rect">
          <a:avLst/>
        </a:prstGeom>
      </xdr:spPr>
    </xdr:pic>
    <xdr:clientData/>
  </xdr:twoCellAnchor>
  <xdr:twoCellAnchor editAs="oneCell">
    <xdr:from>
      <xdr:col>14</xdr:col>
      <xdr:colOff>323850</xdr:colOff>
      <xdr:row>36</xdr:row>
      <xdr:rowOff>123825</xdr:rowOff>
    </xdr:from>
    <xdr:to>
      <xdr:col>23</xdr:col>
      <xdr:colOff>313555</xdr:colOff>
      <xdr:row>57</xdr:row>
      <xdr:rowOff>170994</xdr:rowOff>
    </xdr:to>
    <xdr:pic>
      <xdr:nvPicPr>
        <xdr:cNvPr id="4" name="图片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3"/>
        <a:stretch>
          <a:fillRect/>
        </a:stretch>
      </xdr:blipFill>
      <xdr:spPr>
        <a:xfrm>
          <a:off x="11658600" y="8524875"/>
          <a:ext cx="6161905" cy="3647619"/>
        </a:xfrm>
        <a:prstGeom prst="rect">
          <a:avLst/>
        </a:prstGeom>
      </xdr:spPr>
    </xdr:pic>
    <xdr:clientData/>
  </xdr:twoCellAnchor>
  <xdr:twoCellAnchor editAs="oneCell">
    <xdr:from>
      <xdr:col>14</xdr:col>
      <xdr:colOff>466725</xdr:colOff>
      <xdr:row>59</xdr:row>
      <xdr:rowOff>38100</xdr:rowOff>
    </xdr:from>
    <xdr:to>
      <xdr:col>23</xdr:col>
      <xdr:colOff>227859</xdr:colOff>
      <xdr:row>87</xdr:row>
      <xdr:rowOff>37500</xdr:rowOff>
    </xdr:to>
    <xdr:pic>
      <xdr:nvPicPr>
        <xdr:cNvPr id="5" name="图片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4"/>
        <a:stretch>
          <a:fillRect/>
        </a:stretch>
      </xdr:blipFill>
      <xdr:spPr>
        <a:xfrm>
          <a:off x="11801475" y="12553950"/>
          <a:ext cx="5933334" cy="4800000"/>
        </a:xfrm>
        <a:prstGeom prst="rect">
          <a:avLst/>
        </a:prstGeom>
      </xdr:spPr>
    </xdr:pic>
    <xdr:clientData/>
  </xdr:twoCellAnchor>
  <xdr:twoCellAnchor editAs="oneCell">
    <xdr:from>
      <xdr:col>13</xdr:col>
      <xdr:colOff>0</xdr:colOff>
      <xdr:row>95</xdr:row>
      <xdr:rowOff>0</xdr:rowOff>
    </xdr:from>
    <xdr:to>
      <xdr:col>21</xdr:col>
      <xdr:colOff>323124</xdr:colOff>
      <xdr:row>103</xdr:row>
      <xdr:rowOff>56972</xdr:rowOff>
    </xdr:to>
    <xdr:pic>
      <xdr:nvPicPr>
        <xdr:cNvPr id="6" name="图片 5">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5"/>
        <a:stretch>
          <a:fillRect/>
        </a:stretch>
      </xdr:blipFill>
      <xdr:spPr>
        <a:xfrm>
          <a:off x="10648950" y="18516600"/>
          <a:ext cx="5809524" cy="1428572"/>
        </a:xfrm>
        <a:prstGeom prst="rect">
          <a:avLst/>
        </a:prstGeom>
      </xdr:spPr>
    </xdr:pic>
    <xdr:clientData/>
  </xdr:twoCellAnchor>
  <xdr:twoCellAnchor editAs="oneCell">
    <xdr:from>
      <xdr:col>1</xdr:col>
      <xdr:colOff>0</xdr:colOff>
      <xdr:row>20</xdr:row>
      <xdr:rowOff>0</xdr:rowOff>
    </xdr:from>
    <xdr:to>
      <xdr:col>8</xdr:col>
      <xdr:colOff>84967</xdr:colOff>
      <xdr:row>46</xdr:row>
      <xdr:rowOff>142300</xdr:rowOff>
    </xdr:to>
    <xdr:pic>
      <xdr:nvPicPr>
        <xdr:cNvPr id="7" name="图片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6"/>
        <a:stretch>
          <a:fillRect/>
        </a:stretch>
      </xdr:blipFill>
      <xdr:spPr>
        <a:xfrm>
          <a:off x="685800" y="5657850"/>
          <a:ext cx="6066667" cy="4600000"/>
        </a:xfrm>
        <a:prstGeom prst="rect">
          <a:avLst/>
        </a:prstGeom>
      </xdr:spPr>
    </xdr:pic>
    <xdr:clientData/>
  </xdr:twoCellAnchor>
  <xdr:twoCellAnchor editAs="oneCell">
    <xdr:from>
      <xdr:col>1</xdr:col>
      <xdr:colOff>0</xdr:colOff>
      <xdr:row>47</xdr:row>
      <xdr:rowOff>0</xdr:rowOff>
    </xdr:from>
    <xdr:to>
      <xdr:col>8</xdr:col>
      <xdr:colOff>237348</xdr:colOff>
      <xdr:row>77</xdr:row>
      <xdr:rowOff>94596</xdr:rowOff>
    </xdr:to>
    <xdr:pic>
      <xdr:nvPicPr>
        <xdr:cNvPr id="8" name="图片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7"/>
        <a:stretch>
          <a:fillRect/>
        </a:stretch>
      </xdr:blipFill>
      <xdr:spPr>
        <a:xfrm>
          <a:off x="685800" y="10287000"/>
          <a:ext cx="6219048" cy="5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44637</xdr:colOff>
      <xdr:row>16</xdr:row>
      <xdr:rowOff>0</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960037" cy="2743200"/>
        </a:xfrm>
        <a:prstGeom prst="rect">
          <a:avLst/>
        </a:prstGeom>
      </xdr:spPr>
    </xdr:pic>
    <xdr:clientData/>
  </xdr:twoCellAnchor>
  <xdr:twoCellAnchor editAs="oneCell">
    <xdr:from>
      <xdr:col>0</xdr:col>
      <xdr:colOff>0</xdr:colOff>
      <xdr:row>17</xdr:row>
      <xdr:rowOff>1</xdr:rowOff>
    </xdr:from>
    <xdr:to>
      <xdr:col>14</xdr:col>
      <xdr:colOff>233898</xdr:colOff>
      <xdr:row>44</xdr:row>
      <xdr:rowOff>19051</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0" y="2914651"/>
          <a:ext cx="9835098" cy="464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541657</xdr:colOff>
      <xdr:row>32</xdr:row>
      <xdr:rowOff>18362</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0142857" cy="5504762"/>
        </a:xfrm>
        <a:prstGeom prst="rect">
          <a:avLst/>
        </a:prstGeom>
      </xdr:spPr>
    </xdr:pic>
    <xdr:clientData/>
  </xdr:twoCellAnchor>
  <xdr:twoCellAnchor editAs="oneCell">
    <xdr:from>
      <xdr:col>0</xdr:col>
      <xdr:colOff>0</xdr:colOff>
      <xdr:row>33</xdr:row>
      <xdr:rowOff>0</xdr:rowOff>
    </xdr:from>
    <xdr:to>
      <xdr:col>5</xdr:col>
      <xdr:colOff>561476</xdr:colOff>
      <xdr:row>52</xdr:row>
      <xdr:rowOff>123402</xdr:rowOff>
    </xdr:to>
    <xdr:pic>
      <xdr:nvPicPr>
        <xdr:cNvPr id="3" name="图片 2">
          <a:extLst>
            <a:ext uri="{FF2B5EF4-FFF2-40B4-BE49-F238E27FC236}">
              <a16:creationId xmlns:a16="http://schemas.microsoft.com/office/drawing/2014/main" xmlns="" id="{00000000-0008-0000-3300-000003000000}"/>
            </a:ext>
          </a:extLst>
        </xdr:cNvPr>
        <xdr:cNvPicPr>
          <a:picLocks noChangeAspect="1"/>
        </xdr:cNvPicPr>
      </xdr:nvPicPr>
      <xdr:blipFill>
        <a:blip xmlns:r="http://schemas.openxmlformats.org/officeDocument/2006/relationships" r:embed="rId2"/>
        <a:stretch>
          <a:fillRect/>
        </a:stretch>
      </xdr:blipFill>
      <xdr:spPr>
        <a:xfrm>
          <a:off x="0" y="5657850"/>
          <a:ext cx="3990476" cy="3380952"/>
        </a:xfrm>
        <a:prstGeom prst="rect">
          <a:avLst/>
        </a:prstGeom>
      </xdr:spPr>
    </xdr:pic>
    <xdr:clientData/>
  </xdr:twoCellAnchor>
  <xdr:twoCellAnchor editAs="oneCell">
    <xdr:from>
      <xdr:col>11</xdr:col>
      <xdr:colOff>590550</xdr:colOff>
      <xdr:row>32</xdr:row>
      <xdr:rowOff>114300</xdr:rowOff>
    </xdr:from>
    <xdr:to>
      <xdr:col>17</xdr:col>
      <xdr:colOff>532893</xdr:colOff>
      <xdr:row>42</xdr:row>
      <xdr:rowOff>75990</xdr:rowOff>
    </xdr:to>
    <xdr:pic>
      <xdr:nvPicPr>
        <xdr:cNvPr id="4" name="图片 3">
          <a:extLst>
            <a:ext uri="{FF2B5EF4-FFF2-40B4-BE49-F238E27FC236}">
              <a16:creationId xmlns:a16="http://schemas.microsoft.com/office/drawing/2014/main" xmlns="" id="{00000000-0008-0000-3300-000004000000}"/>
            </a:ext>
          </a:extLst>
        </xdr:cNvPr>
        <xdr:cNvPicPr>
          <a:picLocks noChangeAspect="1"/>
        </xdr:cNvPicPr>
      </xdr:nvPicPr>
      <xdr:blipFill>
        <a:blip xmlns:r="http://schemas.openxmlformats.org/officeDocument/2006/relationships" r:embed="rId3"/>
        <a:stretch>
          <a:fillRect/>
        </a:stretch>
      </xdr:blipFill>
      <xdr:spPr>
        <a:xfrm>
          <a:off x="8134350" y="5600700"/>
          <a:ext cx="4057143" cy="1676190"/>
        </a:xfrm>
        <a:prstGeom prst="rect">
          <a:avLst/>
        </a:prstGeom>
      </xdr:spPr>
    </xdr:pic>
    <xdr:clientData/>
  </xdr:twoCellAnchor>
  <xdr:twoCellAnchor editAs="oneCell">
    <xdr:from>
      <xdr:col>6</xdr:col>
      <xdr:colOff>0</xdr:colOff>
      <xdr:row>43</xdr:row>
      <xdr:rowOff>0</xdr:rowOff>
    </xdr:from>
    <xdr:to>
      <xdr:col>11</xdr:col>
      <xdr:colOff>513857</xdr:colOff>
      <xdr:row>60</xdr:row>
      <xdr:rowOff>152017</xdr:rowOff>
    </xdr:to>
    <xdr:pic>
      <xdr:nvPicPr>
        <xdr:cNvPr id="5" name="图片 4">
          <a:extLst>
            <a:ext uri="{FF2B5EF4-FFF2-40B4-BE49-F238E27FC236}">
              <a16:creationId xmlns:a16="http://schemas.microsoft.com/office/drawing/2014/main" xmlns="" id="{00000000-0008-0000-3300-000005000000}"/>
            </a:ext>
          </a:extLst>
        </xdr:cNvPr>
        <xdr:cNvPicPr>
          <a:picLocks noChangeAspect="1"/>
        </xdr:cNvPicPr>
      </xdr:nvPicPr>
      <xdr:blipFill>
        <a:blip xmlns:r="http://schemas.openxmlformats.org/officeDocument/2006/relationships" r:embed="rId4"/>
        <a:stretch>
          <a:fillRect/>
        </a:stretch>
      </xdr:blipFill>
      <xdr:spPr>
        <a:xfrm>
          <a:off x="4114800" y="7372350"/>
          <a:ext cx="3942857" cy="3066667"/>
        </a:xfrm>
        <a:prstGeom prst="rect">
          <a:avLst/>
        </a:prstGeom>
      </xdr:spPr>
    </xdr:pic>
    <xdr:clientData/>
  </xdr:twoCellAnchor>
  <xdr:twoCellAnchor editAs="oneCell">
    <xdr:from>
      <xdr:col>6</xdr:col>
      <xdr:colOff>0</xdr:colOff>
      <xdr:row>32</xdr:row>
      <xdr:rowOff>0</xdr:rowOff>
    </xdr:from>
    <xdr:to>
      <xdr:col>11</xdr:col>
      <xdr:colOff>551952</xdr:colOff>
      <xdr:row>43</xdr:row>
      <xdr:rowOff>9288</xdr:rowOff>
    </xdr:to>
    <xdr:pic>
      <xdr:nvPicPr>
        <xdr:cNvPr id="6" name="图片 5">
          <a:extLst>
            <a:ext uri="{FF2B5EF4-FFF2-40B4-BE49-F238E27FC236}">
              <a16:creationId xmlns:a16="http://schemas.microsoft.com/office/drawing/2014/main" xmlns="" id="{00000000-0008-0000-3300-000006000000}"/>
            </a:ext>
          </a:extLst>
        </xdr:cNvPr>
        <xdr:cNvPicPr>
          <a:picLocks noChangeAspect="1"/>
        </xdr:cNvPicPr>
      </xdr:nvPicPr>
      <xdr:blipFill>
        <a:blip xmlns:r="http://schemas.openxmlformats.org/officeDocument/2006/relationships" r:embed="rId5"/>
        <a:stretch>
          <a:fillRect/>
        </a:stretch>
      </xdr:blipFill>
      <xdr:spPr>
        <a:xfrm>
          <a:off x="4114800" y="5486400"/>
          <a:ext cx="3980952" cy="1895238"/>
        </a:xfrm>
        <a:prstGeom prst="rect">
          <a:avLst/>
        </a:prstGeom>
      </xdr:spPr>
    </xdr:pic>
    <xdr:clientData/>
  </xdr:twoCellAnchor>
  <xdr:twoCellAnchor editAs="oneCell">
    <xdr:from>
      <xdr:col>12</xdr:col>
      <xdr:colOff>0</xdr:colOff>
      <xdr:row>43</xdr:row>
      <xdr:rowOff>0</xdr:rowOff>
    </xdr:from>
    <xdr:to>
      <xdr:col>17</xdr:col>
      <xdr:colOff>666238</xdr:colOff>
      <xdr:row>55</xdr:row>
      <xdr:rowOff>104505</xdr:rowOff>
    </xdr:to>
    <xdr:pic>
      <xdr:nvPicPr>
        <xdr:cNvPr id="7" name="图片 6">
          <a:extLst>
            <a:ext uri="{FF2B5EF4-FFF2-40B4-BE49-F238E27FC236}">
              <a16:creationId xmlns:a16="http://schemas.microsoft.com/office/drawing/2014/main" xmlns="" id="{00000000-0008-0000-3300-000007000000}"/>
            </a:ext>
          </a:extLst>
        </xdr:cNvPr>
        <xdr:cNvPicPr>
          <a:picLocks noChangeAspect="1"/>
        </xdr:cNvPicPr>
      </xdr:nvPicPr>
      <xdr:blipFill>
        <a:blip xmlns:r="http://schemas.openxmlformats.org/officeDocument/2006/relationships" r:embed="rId6"/>
        <a:stretch>
          <a:fillRect/>
        </a:stretch>
      </xdr:blipFill>
      <xdr:spPr>
        <a:xfrm>
          <a:off x="8229600" y="7372350"/>
          <a:ext cx="4095238" cy="2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4.2023-1-0724&#21271;&#20140;&#24066;&#26397;&#38451;&#21306;&#28165;&#26519;&#19996;&#36335;4&#21495;&#38498;6&#21495;&#27004;-2&#23618;B202&#12289;-3&#23618;B302&#21830;&#19994;&#29992;&#25151;&#12289;12&#24162;-3&#23618;B2001&#31561;260&#20010;&#22320;&#19979;&#36710;&#20301;&#29992;&#25151;&#25151;&#22320;&#20135;&#24066;&#22330;&#20215;&#20540;&#21672;&#35810;&#22253;&#8221;/P02/&#20108;&#23457;&#35843;&#20540;-6&#21495;&#2700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3457;-P02&#22320;&#19979;&#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租赁合同"/>
      <sheetName val="当前租赁台账"/>
      <sheetName val="系统读取表"/>
      <sheetName val="结果表-负2层"/>
      <sheetName val="基准地价修正-商业"/>
      <sheetName val="成本法-负2层"/>
      <sheetName val="成本法 (元)"/>
      <sheetName val="假设开发法"/>
      <sheetName val="收益法-负2层"/>
      <sheetName val="结果表-负3层"/>
      <sheetName val="成本法-负3层"/>
      <sheetName val="收益法-负3层"/>
      <sheetName val="结果表-车位"/>
      <sheetName val="收益法 (元)"/>
      <sheetName val="收益法-酒店模型"/>
      <sheetName val="收益法（汇总）"/>
      <sheetName val="比较法-住宅"/>
      <sheetName val="比较法-商业"/>
      <sheetName val="比较法-办公"/>
      <sheetName val="比较法-工业"/>
      <sheetName val="成本法-车位"/>
      <sheetName val="基准地价修-车位"/>
      <sheetName val="收益法-地下车位"/>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市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收益法-负2层</v>
          </cell>
        </row>
        <row r="20">
          <cell r="A20" t="str">
            <v>食堂</v>
          </cell>
          <cell r="B20" t="str">
            <v>收益法-负3层</v>
          </cell>
        </row>
        <row r="21">
          <cell r="A21" t="str">
            <v>车库</v>
          </cell>
          <cell r="B21" t="str">
            <v>收益法-地下车位</v>
          </cell>
        </row>
        <row r="22">
          <cell r="A22" t="str">
            <v>戊类库房</v>
          </cell>
          <cell r="B22" t="str">
            <v>成本法-车位</v>
          </cell>
        </row>
        <row r="23">
          <cell r="A23" t="str">
            <v>燃品库房</v>
          </cell>
          <cell r="B23" t="str">
            <v>成本法-负2层</v>
          </cell>
        </row>
        <row r="24">
          <cell r="A24" t="str">
            <v>非燃品库房</v>
          </cell>
          <cell r="B24" t="str">
            <v>成本法-负3层</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负2层商业</v>
          </cell>
        </row>
        <row r="20">
          <cell r="C20" t="str">
            <v>负3层商业</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7"/>
      <sheetData sheetId="38"/>
      <sheetData sheetId="39"/>
      <sheetData sheetId="4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4">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租赁合同"/>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11869.359999999982</v>
          </cell>
          <cell r="D14">
            <v>7561</v>
          </cell>
          <cell r="G14">
            <v>7561</v>
          </cell>
          <cell r="J14">
            <v>7573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5" customWidth="1"/>
    <col min="2" max="2" width="81" style="1121" customWidth="1"/>
    <col min="3" max="16384" width="9" style="1114"/>
  </cols>
  <sheetData>
    <row r="1" spans="1:2" s="1108" customFormat="1" ht="16.5" thickBot="1">
      <c r="A1" s="1107" t="s">
        <v>521</v>
      </c>
      <c r="B1" s="1106" t="s">
        <v>600</v>
      </c>
    </row>
    <row r="2" spans="1:2" s="1111" customFormat="1" ht="15" thickTop="1">
      <c r="A2" s="1109" t="s">
        <v>522</v>
      </c>
      <c r="B2" s="1110" t="str">
        <f>'预评函-封皮'!B37:I37</f>
        <v>北京市朝阳区清林东路4号6号楼负2层B202、负3层B302商业用房房地产抵押价值预评估</v>
      </c>
    </row>
    <row r="3" spans="1:2">
      <c r="A3" s="1112" t="s">
        <v>523</v>
      </c>
      <c r="B3" s="1113" t="str">
        <f>'预评函-封皮'!B40</f>
        <v>浦发银行</v>
      </c>
    </row>
    <row r="4" spans="1:2">
      <c r="A4" s="1112" t="s">
        <v>524</v>
      </c>
      <c r="B4" s="1113" t="str">
        <f>'预评函-封皮'!B46</f>
        <v>（注册号：0)、（注册号：0)</v>
      </c>
    </row>
    <row r="5" spans="1:2" s="1108" customFormat="1" ht="15" thickBot="1">
      <c r="A5" s="1115" t="s">
        <v>525</v>
      </c>
      <c r="B5" s="1116" t="str">
        <f>'预评函-封皮'!B49</f>
        <v>康正预评字号</v>
      </c>
    </row>
    <row r="6" spans="1:2" s="1111" customFormat="1" ht="15" thickTop="1">
      <c r="A6" s="1109" t="s">
        <v>526</v>
      </c>
      <c r="B6" s="1110" t="str">
        <f>'预评函-1'!A4</f>
        <v>受贵公司委托，我公司对北京市朝阳区清林东路4号6号楼负2层B202、负3层B302商业用房房地产抵押价值进行了预评估。</v>
      </c>
    </row>
    <row r="7" spans="1:2">
      <c r="A7" s="1112" t="s">
        <v>566</v>
      </c>
      <c r="B7" s="1113" t="str">
        <f>'预评函-1'!A7</f>
        <v>估价对象为北京市朝阳区清林东路4号6号楼负2层B202、负3层B302商业用房房地产，为所有。根据《国有土地使用证》[]，估价对象（分摊）出让国有建设用地使用权面积为0平方米，建筑面积为5979.53平方米。</v>
      </c>
    </row>
    <row r="8" spans="1:2">
      <c r="A8" s="1112" t="s">
        <v>567</v>
      </c>
      <c r="B8" s="1113" t="str">
        <f>'预评函-1'!A8</f>
        <v>估价对象简述。项目推广名，项目类型（用途），估价对象分布，各用途面积明细情况：XX用途建筑面积XX平方米，XX用途建筑面积XX平方米，……。复杂面积清单需设‘附表’列示：抵押物清单详见附表</v>
      </c>
    </row>
    <row r="9" spans="1:2">
      <c r="A9" s="1112" t="s">
        <v>568</v>
      </c>
      <c r="B9" s="1113" t="str">
        <f>'预评函-1'!A10</f>
        <v>估价对象为北京市朝阳区清林东路4号6号楼负2层B202、负3层B302商业用房房地产,属开发建设的，该项目尚在开发建设中。根据《国有土地使用证》[]，估价对象（分摊）出让国有建设用地使用权面积为0平方米，规划建筑面积为5979.53平方米。</v>
      </c>
    </row>
    <row r="10" spans="1:2">
      <c r="A10" s="1112" t="s">
        <v>569</v>
      </c>
      <c r="B10" s="1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2" t="s">
        <v>527</v>
      </c>
      <c r="B11" s="1113" t="str">
        <f>'预评函-1'!A13</f>
        <v>为估价委托人在向办理贷款手续过程中，确定房地产抵押贷款额度提供参考依据而评估房地产抵押价值。</v>
      </c>
    </row>
    <row r="12" spans="1:2">
      <c r="A12" s="1112" t="s">
        <v>528</v>
      </c>
      <c r="B12" s="1113" t="str">
        <f>'预评函-1'!A15</f>
        <v>2024年5月6日（评估专业人员实地查勘之日）</v>
      </c>
    </row>
    <row r="13" spans="1:2">
      <c r="A13" s="1112" t="s">
        <v>529</v>
      </c>
      <c r="B13" s="1113" t="str">
        <f>'预评函-1'!A18</f>
        <v>本次估价的“房地产价值”是指在正常市场情况下，在价值时点2024年5月6日，估价对象规划用途为，土地取得方式为出让，出让国有建设用地使用权剩余土地使用年限为，假定未设立法定优先受偿款下的房地产市场价值。</v>
      </c>
    </row>
    <row r="14" spans="1:2">
      <c r="A14" s="1112" t="s">
        <v>530</v>
      </c>
      <c r="B14" s="11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2" t="s">
        <v>531</v>
      </c>
      <c r="B15" s="11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2" t="s">
        <v>532</v>
      </c>
      <c r="B16" s="1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2" t="s">
        <v>533</v>
      </c>
      <c r="B17" s="1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8" customFormat="1" ht="15" thickBot="1">
      <c r="A18" s="1115" t="s">
        <v>534</v>
      </c>
      <c r="B18" s="1116" t="str">
        <f>'预评函-1'!A24</f>
        <v>本次评估采用的主估价方法为成本法和收益法。</v>
      </c>
    </row>
    <row r="19" spans="1:2" s="1111" customFormat="1" ht="15" thickTop="1">
      <c r="A19" s="1109" t="s">
        <v>535</v>
      </c>
      <c r="B19" s="11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2" t="s">
        <v>536</v>
      </c>
      <c r="B20" s="1113">
        <f ca="1">'预评函-2'!D5</f>
        <v>4946</v>
      </c>
    </row>
    <row r="21" spans="1:2">
      <c r="A21" s="1112" t="s">
        <v>537</v>
      </c>
      <c r="B21" s="1113">
        <f ca="1">'预评函-2'!D7</f>
        <v>17340</v>
      </c>
    </row>
    <row r="22" spans="1:2">
      <c r="A22" s="1112" t="s">
        <v>538</v>
      </c>
      <c r="B22" s="1113" t="str">
        <f ca="1">'预评函-2'!D6</f>
        <v>肆仟玖佰肆拾陆万元整</v>
      </c>
    </row>
    <row r="23" spans="1:2">
      <c r="A23" s="1112" t="s">
        <v>589</v>
      </c>
      <c r="B23" s="1113" t="str">
        <f>'预评函-2'!B8</f>
        <v>2.估价师知悉的法定优先受偿款</v>
      </c>
    </row>
    <row r="24" spans="1:2">
      <c r="A24" s="1112" t="s">
        <v>595</v>
      </c>
      <c r="B24" s="1113">
        <f>'预评函-2'!D8</f>
        <v>0</v>
      </c>
    </row>
    <row r="25" spans="1:2">
      <c r="A25" s="1112" t="s">
        <v>539</v>
      </c>
      <c r="B25" s="1113" t="str">
        <f>'预评函-2'!D9</f>
        <v>零元整</v>
      </c>
    </row>
    <row r="26" spans="1:2">
      <c r="A26" s="1112" t="s">
        <v>540</v>
      </c>
      <c r="B26" s="1113">
        <f>'预评函-2'!D10</f>
        <v>0</v>
      </c>
    </row>
    <row r="27" spans="1:2">
      <c r="A27" s="1112" t="s">
        <v>541</v>
      </c>
      <c r="B27" s="1113">
        <f>'预评函-2'!D11</f>
        <v>0</v>
      </c>
    </row>
    <row r="28" spans="1:2">
      <c r="A28" s="1112" t="s">
        <v>542</v>
      </c>
      <c r="B28" s="1113">
        <f>'预评函-2'!D12</f>
        <v>0</v>
      </c>
    </row>
    <row r="29" spans="1:2">
      <c r="A29" s="1112" t="s">
        <v>593</v>
      </c>
      <c r="B29" s="1113" t="str">
        <f>'预评函-2'!B13</f>
        <v>3.房地产抵押价值</v>
      </c>
    </row>
    <row r="30" spans="1:2">
      <c r="A30" s="1112" t="s">
        <v>594</v>
      </c>
      <c r="B30" s="1113">
        <f ca="1">'预评函-2'!D13</f>
        <v>4946</v>
      </c>
    </row>
    <row r="31" spans="1:2">
      <c r="A31" s="1112" t="s">
        <v>576</v>
      </c>
      <c r="B31" s="1113">
        <f ca="1">'预评函-2'!D15</f>
        <v>17340</v>
      </c>
    </row>
    <row r="32" spans="1:2">
      <c r="A32" s="1112" t="s">
        <v>543</v>
      </c>
      <c r="B32" s="1113" t="str">
        <f ca="1">'预评函-2'!D14</f>
        <v>肆仟玖佰肆拾陆万元整</v>
      </c>
    </row>
    <row r="33" spans="1:2">
      <c r="A33" s="1112" t="s">
        <v>578</v>
      </c>
      <c r="B33" s="1113" t="str">
        <f>'预评函-2'!B16</f>
        <v>——</v>
      </c>
    </row>
    <row r="34" spans="1:2">
      <c r="A34" s="1112" t="s">
        <v>596</v>
      </c>
      <c r="B34" s="1113" t="str">
        <f>'预评函-2'!D16</f>
        <v>——</v>
      </c>
    </row>
    <row r="35" spans="1:2">
      <c r="A35" s="1112" t="s">
        <v>577</v>
      </c>
      <c r="B35" s="1113" t="str">
        <f>'预评函-2'!D18</f>
        <v>——</v>
      </c>
    </row>
    <row r="36" spans="1:2">
      <c r="A36" s="1112" t="s">
        <v>544</v>
      </c>
      <c r="B36" s="1113" t="e">
        <f>'预评函-2'!D17</f>
        <v>#VALUE!</v>
      </c>
    </row>
    <row r="37" spans="1:2">
      <c r="A37" s="1112" t="s">
        <v>579</v>
      </c>
      <c r="B37" s="1113" t="str">
        <f>'预评函-2'!B19</f>
        <v>——</v>
      </c>
    </row>
    <row r="38" spans="1:2">
      <c r="A38" s="1112" t="s">
        <v>597</v>
      </c>
      <c r="B38" s="1113" t="str">
        <f>'预评函-2'!D19</f>
        <v>——</v>
      </c>
    </row>
    <row r="39" spans="1:2">
      <c r="A39" s="1112" t="s">
        <v>545</v>
      </c>
      <c r="B39" s="1113" t="str">
        <f>'预评函-2'!D21</f>
        <v>——</v>
      </c>
    </row>
    <row r="40" spans="1:2">
      <c r="A40" s="1112" t="s">
        <v>546</v>
      </c>
      <c r="B40" s="1113" t="e">
        <f>'预评函-2'!D20</f>
        <v>#VALUE!</v>
      </c>
    </row>
    <row r="41" spans="1:2">
      <c r="A41" s="1112" t="s">
        <v>592</v>
      </c>
      <c r="B41" s="1113" t="str">
        <f>'预评函-3'!A4</f>
        <v>北京市朝阳区清林东路4号6号楼负2层B202、负3层B302商业用房房地产</v>
      </c>
    </row>
    <row r="42" spans="1:2">
      <c r="A42" s="1112" t="s">
        <v>590</v>
      </c>
      <c r="B42" s="1113" t="str">
        <f>'预评函-3'!B2</f>
        <v>建筑面积</v>
      </c>
    </row>
    <row r="43" spans="1:2">
      <c r="A43" s="1112" t="s">
        <v>591</v>
      </c>
      <c r="B43" s="1113">
        <f>'预评函-3'!B4</f>
        <v>5979.5300000000007</v>
      </c>
    </row>
    <row r="44" spans="1:2">
      <c r="A44" s="1112" t="s">
        <v>575</v>
      </c>
      <c r="B44" s="1113" t="str">
        <f>'预评函-3'!C2</f>
        <v>(分摊)土地面积</v>
      </c>
    </row>
    <row r="45" spans="1:2">
      <c r="A45" s="1112" t="s">
        <v>547</v>
      </c>
      <c r="B45" s="1113">
        <f>'预评函-3'!C4</f>
        <v>0</v>
      </c>
    </row>
    <row r="46" spans="1:2">
      <c r="A46" s="1112" t="s">
        <v>573</v>
      </c>
      <c r="B46" s="1113" t="str">
        <f>'预评函-3'!D2</f>
        <v>出让国有建设用地使用权价值</v>
      </c>
    </row>
    <row r="47" spans="1:2">
      <c r="A47" s="1112" t="s">
        <v>548</v>
      </c>
      <c r="B47" s="1113">
        <f ca="1">'预评函-3'!D4</f>
        <v>2458</v>
      </c>
    </row>
    <row r="48" spans="1:2">
      <c r="A48" s="1112" t="s">
        <v>549</v>
      </c>
      <c r="B48" s="1113">
        <f ca="1">'预评函-3'!E4</f>
        <v>8617</v>
      </c>
    </row>
    <row r="49" spans="1:2">
      <c r="A49" s="1112" t="s">
        <v>550</v>
      </c>
      <c r="B49" s="1113" t="str">
        <f ca="1">'预评函-3'!D5</f>
        <v>贰仟肆佰伍拾捌万元整</v>
      </c>
    </row>
    <row r="50" spans="1:2">
      <c r="A50" s="1112" t="s">
        <v>574</v>
      </c>
      <c r="B50" s="1113" t="str">
        <f>'预评函-3'!F2</f>
        <v>建筑物价值</v>
      </c>
    </row>
    <row r="51" spans="1:2">
      <c r="A51" s="1112" t="s">
        <v>551</v>
      </c>
      <c r="B51" s="1113">
        <f ca="1">'预评函-3'!F4</f>
        <v>2488</v>
      </c>
    </row>
    <row r="52" spans="1:2">
      <c r="A52" s="1112" t="s">
        <v>552</v>
      </c>
      <c r="B52" s="1113">
        <f ca="1">'预评函-3'!G4</f>
        <v>8723</v>
      </c>
    </row>
    <row r="53" spans="1:2">
      <c r="A53" s="1112" t="s">
        <v>580</v>
      </c>
      <c r="B53" s="1113" t="str">
        <f ca="1">'预评函-3'!F5</f>
        <v>贰仟肆佰捌拾捌万元整</v>
      </c>
    </row>
    <row r="54" spans="1:2">
      <c r="A54" s="1112" t="s">
        <v>598</v>
      </c>
      <c r="B54" s="1113" t="str">
        <f>'预评函-3'!A8</f>
        <v>房地产抵押价值</v>
      </c>
    </row>
    <row r="55" spans="1:2">
      <c r="A55" s="1112" t="s">
        <v>581</v>
      </c>
      <c r="B55" s="1113" t="str">
        <f>'预评函-3'!A10</f>
        <v/>
      </c>
    </row>
    <row r="56" spans="1:2">
      <c r="A56" s="1112" t="s">
        <v>582</v>
      </c>
      <c r="B56" s="1113" t="str">
        <f>'预评函-3'!A12</f>
        <v/>
      </c>
    </row>
    <row r="57" spans="1:2" s="1108" customFormat="1" ht="15" thickBot="1">
      <c r="A57" s="1115" t="s">
        <v>599</v>
      </c>
      <c r="B57" s="1116" t="str">
        <f>'预评函-3'!A6</f>
        <v>估价师知悉的法定优先受偿款</v>
      </c>
    </row>
    <row r="58" spans="1:2" s="1111" customFormat="1" ht="15" thickTop="1">
      <c r="A58" s="1109" t="s">
        <v>553</v>
      </c>
      <c r="B58" s="1110" t="str">
        <f>'预评函-4'!A12</f>
        <v>2.本《评估意见函》仅供金融机构进行内部审核使用，不做其他目的之用。</v>
      </c>
    </row>
    <row r="59" spans="1:2">
      <c r="A59" s="1112" t="s">
        <v>554</v>
      </c>
      <c r="B59" s="1113" t="str">
        <f>'预评函-4'!A13</f>
        <v>3.抵押双方在办理抵押登记手续时，应使用本公司出具的正式《房地产评估报告》，特提醒报告使用者注意。</v>
      </c>
    </row>
    <row r="60" spans="1:2">
      <c r="A60" s="1112" t="s">
        <v>555</v>
      </c>
      <c r="B60" s="1113" t="str">
        <f>'预评函-4'!A14</f>
        <v>4.本次评估估价师所知悉的法定优先受偿款情况说明如下：</v>
      </c>
    </row>
    <row r="61" spans="1:2">
      <c r="A61" s="1112" t="s">
        <v>556</v>
      </c>
      <c r="B61" s="1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2" t="s">
        <v>557</v>
      </c>
      <c r="B62" s="1113" t="str">
        <f>'预评函-4'!A16</f>
        <v>（2）根据《工程款支付情况说明》，截至价值时点，估价对象不存在应付未付工程款项。（只要没有施工方盖章的，均“设定”进行表述）</v>
      </c>
    </row>
    <row r="63" spans="1:2">
      <c r="A63" s="1112" t="s">
        <v>558</v>
      </c>
      <c r="B63" s="1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2" t="s">
        <v>570</v>
      </c>
      <c r="B64" s="1113" t="str">
        <f>'预评函-4'!A18</f>
        <v>故，本次评估不存在估价师知悉的法定优先受偿款</v>
      </c>
    </row>
    <row r="65" spans="1:2">
      <c r="A65" s="1112" t="s">
        <v>559</v>
      </c>
      <c r="B65" s="1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2" t="s">
        <v>560</v>
      </c>
      <c r="B66" s="11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2" t="s">
        <v>571</v>
      </c>
      <c r="B67" s="11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2" t="s">
        <v>572</v>
      </c>
      <c r="B68" s="1113" t="str">
        <f>'预评函-4'!A22</f>
        <v>8.其他需特殊说明事项：无（注意调整序号）</v>
      </c>
    </row>
    <row r="69" spans="1:2" s="1108" customFormat="1" ht="15" thickBot="1">
      <c r="A69" s="1115" t="s">
        <v>561</v>
      </c>
      <c r="B69" s="1117">
        <f>'预评函-4'!C31</f>
        <v>42551</v>
      </c>
    </row>
    <row r="70" spans="1:2" ht="15" thickTop="1">
      <c r="A70" s="1118" t="s">
        <v>562</v>
      </c>
      <c r="B70" s="1119">
        <f>'预评函-4'!A4</f>
        <v>0</v>
      </c>
    </row>
    <row r="71" spans="1:2">
      <c r="A71" s="1112" t="s">
        <v>563</v>
      </c>
      <c r="B71" s="1113">
        <f>'预评函-4'!B4</f>
        <v>0</v>
      </c>
    </row>
    <row r="72" spans="1:2">
      <c r="A72" s="1112" t="s">
        <v>564</v>
      </c>
      <c r="B72" s="1120">
        <f>'预评函-4'!A5</f>
        <v>0</v>
      </c>
    </row>
    <row r="73" spans="1:2" s="1108" customFormat="1" ht="15" thickBot="1">
      <c r="A73" s="1115" t="s">
        <v>565</v>
      </c>
      <c r="B73" s="1116">
        <f>'预评函-4'!B5</f>
        <v>0</v>
      </c>
    </row>
    <row r="74" spans="1:2" ht="15" thickTop="1">
      <c r="A74" s="1105" t="s">
        <v>601</v>
      </c>
      <c r="B74" s="112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22" sqref="L22"/>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974</v>
      </c>
      <c r="C1" s="1430" t="s">
        <v>314</v>
      </c>
      <c r="D1" s="1431" t="s">
        <v>3348</v>
      </c>
      <c r="E1" s="1430" t="s">
        <v>975</v>
      </c>
      <c r="F1" s="1430" t="s">
        <v>976</v>
      </c>
      <c r="G1" s="1430" t="s">
        <v>977</v>
      </c>
      <c r="H1" s="1430" t="s">
        <v>978</v>
      </c>
      <c r="I1" s="1430" t="s">
        <v>979</v>
      </c>
      <c r="J1" s="1430" t="s">
        <v>980</v>
      </c>
      <c r="K1" s="1430" t="s">
        <v>981</v>
      </c>
      <c r="L1" s="1430" t="s">
        <v>982</v>
      </c>
      <c r="M1" s="1430" t="s">
        <v>983</v>
      </c>
      <c r="N1" s="1430" t="s">
        <v>984</v>
      </c>
      <c r="O1" s="1430" t="s">
        <v>985</v>
      </c>
      <c r="P1" s="1431" t="s">
        <v>309</v>
      </c>
      <c r="Q1" s="1431" t="s">
        <v>447</v>
      </c>
      <c r="R1" s="1430" t="s">
        <v>441</v>
      </c>
      <c r="S1" s="1430" t="s">
        <v>986</v>
      </c>
      <c r="T1" s="1431" t="s">
        <v>987</v>
      </c>
      <c r="U1" s="1430" t="s">
        <v>988</v>
      </c>
      <c r="V1" s="1430" t="s">
        <v>989</v>
      </c>
      <c r="W1" s="1430" t="s">
        <v>311</v>
      </c>
    </row>
    <row r="2" spans="1:23">
      <c r="A2" s="1433" t="s">
        <v>19</v>
      </c>
      <c r="B2" s="1433" t="s">
        <v>990</v>
      </c>
      <c r="C2" s="1434" t="s">
        <v>315</v>
      </c>
      <c r="D2" s="1435" t="s">
        <v>991</v>
      </c>
      <c r="E2" s="1435" t="s">
        <v>992</v>
      </c>
      <c r="F2" s="1435" t="s">
        <v>993</v>
      </c>
      <c r="G2" s="1435">
        <v>20</v>
      </c>
      <c r="H2" s="1435" t="s">
        <v>993</v>
      </c>
      <c r="I2" s="1435" t="s">
        <v>3334</v>
      </c>
      <c r="J2" s="1435" t="s">
        <v>994</v>
      </c>
      <c r="K2" s="1435" t="s">
        <v>995</v>
      </c>
      <c r="L2" s="1435" t="s">
        <v>995</v>
      </c>
      <c r="M2" s="1435" t="s">
        <v>995</v>
      </c>
      <c r="N2" s="1435" t="s">
        <v>995</v>
      </c>
      <c r="O2" s="1435" t="s">
        <v>995</v>
      </c>
      <c r="P2" s="1435" t="s">
        <v>995</v>
      </c>
      <c r="Q2" s="1435" t="s">
        <v>995</v>
      </c>
      <c r="R2" s="1435" t="s">
        <v>443</v>
      </c>
      <c r="S2" s="1435" t="s">
        <v>995</v>
      </c>
      <c r="T2" s="1435" t="s">
        <v>996</v>
      </c>
      <c r="U2" s="1435" t="s">
        <v>995</v>
      </c>
      <c r="V2" s="1435" t="s">
        <v>997</v>
      </c>
      <c r="W2" s="1435" t="s">
        <v>995</v>
      </c>
    </row>
    <row r="3" spans="1:23">
      <c r="A3" s="1433" t="s">
        <v>998</v>
      </c>
      <c r="B3" s="1436" t="s">
        <v>448</v>
      </c>
      <c r="C3" s="1434" t="s">
        <v>316</v>
      </c>
      <c r="D3" s="1435" t="s">
        <v>999</v>
      </c>
      <c r="E3" s="1435" t="s">
        <v>13</v>
      </c>
      <c r="F3" s="1435" t="s">
        <v>1000</v>
      </c>
      <c r="G3" s="1435">
        <v>40</v>
      </c>
      <c r="H3" s="1435" t="s">
        <v>1000</v>
      </c>
      <c r="I3" s="1435" t="s">
        <v>3335</v>
      </c>
      <c r="J3" s="1435" t="s">
        <v>1001</v>
      </c>
      <c r="K3" s="1435" t="s">
        <v>1002</v>
      </c>
      <c r="L3" s="1435" t="s">
        <v>1002</v>
      </c>
      <c r="M3" s="1435" t="s">
        <v>1002</v>
      </c>
      <c r="N3" s="1435" t="s">
        <v>1002</v>
      </c>
      <c r="O3" s="1435" t="s">
        <v>1002</v>
      </c>
      <c r="P3" s="1435" t="s">
        <v>1002</v>
      </c>
      <c r="Q3" s="1435" t="s">
        <v>1002</v>
      </c>
      <c r="R3" s="1435" t="s">
        <v>442</v>
      </c>
      <c r="S3" s="1435" t="s">
        <v>1002</v>
      </c>
      <c r="T3" s="1435" t="s">
        <v>1003</v>
      </c>
      <c r="U3" s="1435" t="s">
        <v>1002</v>
      </c>
      <c r="V3" s="1435" t="s">
        <v>1004</v>
      </c>
      <c r="W3" s="1435" t="s">
        <v>1002</v>
      </c>
    </row>
    <row r="4" spans="1:23">
      <c r="A4" s="1433" t="s">
        <v>1005</v>
      </c>
      <c r="B4" s="1433" t="s">
        <v>1006</v>
      </c>
      <c r="C4" s="1434" t="s">
        <v>317</v>
      </c>
      <c r="D4" s="1435" t="s">
        <v>389</v>
      </c>
      <c r="E4" s="1435" t="s">
        <v>1007</v>
      </c>
      <c r="F4" s="1435" t="s">
        <v>1008</v>
      </c>
      <c r="G4" s="1435">
        <v>50</v>
      </c>
      <c r="H4" s="1435" t="s">
        <v>1008</v>
      </c>
      <c r="I4" s="1435" t="s">
        <v>3336</v>
      </c>
      <c r="K4" s="1435" t="s">
        <v>1009</v>
      </c>
      <c r="L4" s="1435" t="s">
        <v>1009</v>
      </c>
      <c r="M4" s="1435" t="s">
        <v>1009</v>
      </c>
      <c r="N4" s="1435" t="s">
        <v>1009</v>
      </c>
      <c r="O4" s="1435" t="s">
        <v>1009</v>
      </c>
      <c r="P4" s="1435" t="s">
        <v>1009</v>
      </c>
      <c r="Q4" s="1435" t="s">
        <v>1009</v>
      </c>
      <c r="R4" s="1435" t="s">
        <v>444</v>
      </c>
      <c r="S4" s="1435" t="s">
        <v>1009</v>
      </c>
      <c r="T4" s="1435" t="s">
        <v>1010</v>
      </c>
      <c r="U4" s="1435" t="s">
        <v>1009</v>
      </c>
      <c r="W4" s="1435" t="s">
        <v>1009</v>
      </c>
    </row>
    <row r="5" spans="1:23">
      <c r="A5" s="1433" t="s">
        <v>1011</v>
      </c>
      <c r="B5" s="1433" t="s">
        <v>1012</v>
      </c>
      <c r="C5" s="1434" t="s">
        <v>318</v>
      </c>
      <c r="F5" s="1435" t="s">
        <v>1013</v>
      </c>
      <c r="G5" s="1435">
        <v>70</v>
      </c>
      <c r="H5" s="1435" t="s">
        <v>1014</v>
      </c>
      <c r="I5" s="1435" t="s">
        <v>3337</v>
      </c>
      <c r="K5" s="1435" t="s">
        <v>1015</v>
      </c>
      <c r="L5" s="1435" t="s">
        <v>1015</v>
      </c>
      <c r="M5" s="1435" t="s">
        <v>1015</v>
      </c>
      <c r="N5" s="1435" t="s">
        <v>1015</v>
      </c>
      <c r="O5" s="1435" t="s">
        <v>1015</v>
      </c>
      <c r="P5" s="1435" t="s">
        <v>1015</v>
      </c>
      <c r="Q5" s="1435" t="s">
        <v>1015</v>
      </c>
      <c r="R5" s="1435" t="s">
        <v>445</v>
      </c>
      <c r="S5" s="1435" t="s">
        <v>1015</v>
      </c>
      <c r="T5" s="1435" t="s">
        <v>1016</v>
      </c>
      <c r="U5" s="1435" t="s">
        <v>1015</v>
      </c>
      <c r="W5" s="1435" t="s">
        <v>1015</v>
      </c>
    </row>
    <row r="6" spans="1:23">
      <c r="A6" s="1433" t="s">
        <v>1017</v>
      </c>
      <c r="B6" s="1436" t="s">
        <v>449</v>
      </c>
      <c r="C6" s="1438" t="s">
        <v>24</v>
      </c>
      <c r="F6" s="1435" t="s">
        <v>1014</v>
      </c>
      <c r="H6" s="1435" t="s">
        <v>1018</v>
      </c>
      <c r="I6" s="1435" t="s">
        <v>3338</v>
      </c>
      <c r="K6" s="1435" t="s">
        <v>1019</v>
      </c>
      <c r="L6" s="1435" t="s">
        <v>1019</v>
      </c>
      <c r="M6" s="1435" t="s">
        <v>1019</v>
      </c>
      <c r="N6" s="1435" t="s">
        <v>1019</v>
      </c>
      <c r="O6" s="1435" t="s">
        <v>1019</v>
      </c>
      <c r="P6" s="1435" t="s">
        <v>1019</v>
      </c>
      <c r="Q6" s="1435" t="s">
        <v>1019</v>
      </c>
      <c r="R6" s="1435" t="s">
        <v>446</v>
      </c>
      <c r="S6" s="1435" t="s">
        <v>1019</v>
      </c>
      <c r="T6" s="1435"/>
      <c r="U6" s="1435" t="s">
        <v>1019</v>
      </c>
      <c r="W6" s="1435" t="s">
        <v>1019</v>
      </c>
    </row>
    <row r="7" spans="1:23">
      <c r="A7" s="1433" t="s">
        <v>1020</v>
      </c>
      <c r="B7" s="1436" t="s">
        <v>450</v>
      </c>
      <c r="C7" s="1434" t="s">
        <v>25</v>
      </c>
      <c r="F7" s="1435" t="s">
        <v>1021</v>
      </c>
      <c r="H7" s="1435" t="s">
        <v>1022</v>
      </c>
      <c r="I7" s="1435" t="s">
        <v>3339</v>
      </c>
    </row>
    <row r="8" spans="1:23">
      <c r="A8" s="1433" t="s">
        <v>1023</v>
      </c>
      <c r="B8" s="1433" t="s">
        <v>1024</v>
      </c>
      <c r="C8" s="1434" t="s">
        <v>319</v>
      </c>
      <c r="F8" s="1435" t="s">
        <v>1025</v>
      </c>
      <c r="H8" s="1435" t="s">
        <v>2575</v>
      </c>
      <c r="I8" s="1435" t="s">
        <v>3340</v>
      </c>
    </row>
    <row r="9" spans="1:23">
      <c r="A9" s="1433" t="s">
        <v>1026</v>
      </c>
      <c r="B9" s="1433" t="s">
        <v>1027</v>
      </c>
      <c r="C9" s="1434" t="s">
        <v>320</v>
      </c>
      <c r="F9" s="1435" t="s">
        <v>1028</v>
      </c>
      <c r="H9" s="1435"/>
      <c r="I9" s="1437" t="s">
        <v>3341</v>
      </c>
    </row>
    <row r="10" spans="1:23">
      <c r="A10" s="1433" t="s">
        <v>1029</v>
      </c>
      <c r="B10" s="1433" t="s">
        <v>1030</v>
      </c>
      <c r="C10" s="1434" t="s">
        <v>321</v>
      </c>
      <c r="F10" s="1435" t="s">
        <v>2576</v>
      </c>
      <c r="I10" s="1437" t="s">
        <v>3342</v>
      </c>
    </row>
    <row r="11" spans="1:23">
      <c r="A11" s="1433" t="s">
        <v>1031</v>
      </c>
      <c r="B11" s="1433" t="s">
        <v>1032</v>
      </c>
      <c r="C11" s="1434" t="s">
        <v>322</v>
      </c>
      <c r="F11" s="1435" t="s">
        <v>13</v>
      </c>
      <c r="I11" s="1437" t="s">
        <v>3343</v>
      </c>
    </row>
    <row r="12" spans="1:23">
      <c r="A12" s="1433" t="s">
        <v>1033</v>
      </c>
      <c r="B12" s="1433" t="s">
        <v>1034</v>
      </c>
      <c r="C12" s="1434" t="s">
        <v>323</v>
      </c>
      <c r="I12" s="1437" t="s">
        <v>3344</v>
      </c>
    </row>
    <row r="13" spans="1:23">
      <c r="A13" s="1433" t="s">
        <v>1035</v>
      </c>
      <c r="B13" s="1433" t="s">
        <v>1036</v>
      </c>
      <c r="C13" s="1434" t="s">
        <v>324</v>
      </c>
      <c r="I13" s="1437" t="s">
        <v>3345</v>
      </c>
    </row>
    <row r="14" spans="1:23">
      <c r="A14" s="1433" t="s">
        <v>1037</v>
      </c>
      <c r="B14" s="1433" t="s">
        <v>1038</v>
      </c>
      <c r="C14" s="1435" t="s">
        <v>13</v>
      </c>
      <c r="I14" s="1437" t="s">
        <v>3346</v>
      </c>
    </row>
    <row r="15" spans="1:23">
      <c r="A15" s="1433" t="s">
        <v>1039</v>
      </c>
      <c r="B15" s="1433" t="s">
        <v>1040</v>
      </c>
      <c r="C15" s="1434"/>
      <c r="I15" s="1437" t="s">
        <v>3347</v>
      </c>
    </row>
    <row r="16" spans="1:23">
      <c r="A16" s="1433" t="s">
        <v>1041</v>
      </c>
      <c r="B16" s="1433" t="s">
        <v>312</v>
      </c>
      <c r="C16" s="1434"/>
    </row>
    <row r="17" spans="1:3">
      <c r="A17" s="1433" t="s">
        <v>1042</v>
      </c>
      <c r="B17" s="1433" t="s">
        <v>2287</v>
      </c>
      <c r="C17" s="1434"/>
    </row>
    <row r="18" spans="1:3">
      <c r="A18" s="1433" t="s">
        <v>1043</v>
      </c>
      <c r="B18" s="1433" t="s">
        <v>2431</v>
      </c>
      <c r="C18" s="1434"/>
    </row>
    <row r="19" spans="1:3">
      <c r="A19" s="1433" t="s">
        <v>1044</v>
      </c>
      <c r="B19" s="1433" t="s">
        <v>3710</v>
      </c>
      <c r="C19" s="1434"/>
    </row>
    <row r="20" spans="1:3">
      <c r="A20" s="1433" t="s">
        <v>1045</v>
      </c>
      <c r="B20" s="1433" t="s">
        <v>3730</v>
      </c>
      <c r="C20" s="1434"/>
    </row>
    <row r="21" spans="1:3">
      <c r="A21" s="1433" t="s">
        <v>1046</v>
      </c>
      <c r="B21" s="1433" t="s">
        <v>3739</v>
      </c>
      <c r="C21" s="1434"/>
    </row>
    <row r="22" spans="1:3">
      <c r="A22" s="1433" t="s">
        <v>1047</v>
      </c>
      <c r="B22" s="1433" t="s">
        <v>3741</v>
      </c>
      <c r="C22" s="1434"/>
    </row>
    <row r="23" spans="1:3">
      <c r="A23" s="1433" t="s">
        <v>1048</v>
      </c>
      <c r="B23" s="1433" t="s">
        <v>313</v>
      </c>
      <c r="C23" s="1434"/>
    </row>
    <row r="24" spans="1:3">
      <c r="A24" s="1433" t="s">
        <v>1049</v>
      </c>
      <c r="B24" s="1433" t="s">
        <v>313</v>
      </c>
      <c r="C24" s="1434"/>
    </row>
    <row r="25" spans="1:3">
      <c r="A25" s="1433" t="s">
        <v>1050</v>
      </c>
      <c r="B25" s="1433" t="s">
        <v>313</v>
      </c>
      <c r="C25" s="1434"/>
    </row>
    <row r="26" spans="1:3">
      <c r="A26" s="1433" t="s">
        <v>1051</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316"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6"/>
      <c r="B54" s="1439" t="s">
        <v>385</v>
      </c>
      <c r="C54" s="1437" t="s">
        <v>583</v>
      </c>
    </row>
    <row r="55" spans="1:4">
      <c r="A55" s="3316"/>
      <c r="B55" s="1439" t="s">
        <v>386</v>
      </c>
      <c r="C55" s="1437" t="s">
        <v>584</v>
      </c>
    </row>
    <row r="56" spans="1:4">
      <c r="A56" s="3316"/>
      <c r="B56" s="1439" t="s">
        <v>387</v>
      </c>
      <c r="C56" s="1437" t="s">
        <v>588</v>
      </c>
    </row>
    <row r="57" spans="1:4">
      <c r="A57" s="3316"/>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39"/>
    <col min="8" max="8" width="5.5" style="2739" customWidth="1"/>
    <col min="9" max="13" width="9.5" style="2780" customWidth="1"/>
    <col min="14" max="18" width="9.5" style="2739" customWidth="1"/>
    <col min="19" max="16384" width="15.25" style="2739"/>
  </cols>
  <sheetData>
    <row r="1" spans="1:18">
      <c r="A1" s="2736" t="s">
        <v>2498</v>
      </c>
      <c r="B1" s="2737"/>
      <c r="C1" s="2737"/>
      <c r="D1" s="2737"/>
      <c r="E1" s="2737"/>
      <c r="F1" s="2738"/>
      <c r="I1" s="3115" t="s">
        <v>2591</v>
      </c>
      <c r="J1" s="2763"/>
      <c r="K1" s="2763"/>
      <c r="L1" s="2763"/>
      <c r="M1" s="2763"/>
      <c r="N1" s="2948"/>
      <c r="O1" s="2948"/>
      <c r="P1" s="2948"/>
      <c r="Q1" s="2948"/>
      <c r="R1" s="2948"/>
    </row>
    <row r="2" spans="1:18">
      <c r="A2" s="2740"/>
      <c r="B2" s="2741"/>
      <c r="C2" s="2741"/>
      <c r="D2" s="2741"/>
      <c r="E2" s="2741"/>
      <c r="F2" s="2742"/>
      <c r="I2" s="3317" t="s">
        <v>2578</v>
      </c>
      <c r="J2" s="3317"/>
      <c r="K2" s="3317"/>
      <c r="L2" s="3317"/>
      <c r="M2" s="3317"/>
      <c r="N2" s="3317"/>
      <c r="O2" s="3317"/>
      <c r="P2" s="3317"/>
      <c r="Q2" s="3317"/>
      <c r="R2" s="3317"/>
    </row>
    <row r="3" spans="1:18">
      <c r="A3" s="2743" t="s">
        <v>2499</v>
      </c>
      <c r="B3" s="2744">
        <f>项目基本情况!D3</f>
        <v>45418</v>
      </c>
      <c r="C3" s="2746"/>
      <c r="D3" s="2746"/>
      <c r="E3" s="2746"/>
      <c r="F3" s="2742"/>
      <c r="I3" s="2758"/>
      <c r="J3" s="2758" t="s">
        <v>2582</v>
      </c>
      <c r="K3" s="2758" t="s">
        <v>2583</v>
      </c>
      <c r="L3" s="2758" t="s">
        <v>2584</v>
      </c>
      <c r="M3" s="2758" t="s">
        <v>2585</v>
      </c>
      <c r="N3" s="3116" t="s">
        <v>2586</v>
      </c>
      <c r="O3" s="3116" t="s">
        <v>2587</v>
      </c>
      <c r="P3" s="3116" t="s">
        <v>2588</v>
      </c>
      <c r="Q3" s="3116" t="s">
        <v>2589</v>
      </c>
      <c r="R3" s="3116" t="s">
        <v>2590</v>
      </c>
    </row>
    <row r="4" spans="1:18">
      <c r="A4" s="2743" t="s">
        <v>2500</v>
      </c>
      <c r="B4" s="2746" t="s">
        <v>2501</v>
      </c>
      <c r="C4" s="2746" t="s">
        <v>2502</v>
      </c>
      <c r="D4" s="2746" t="s">
        <v>2503</v>
      </c>
      <c r="E4" s="2746" t="s">
        <v>2504</v>
      </c>
      <c r="F4" s="2742"/>
      <c r="I4" s="2758" t="s">
        <v>2579</v>
      </c>
      <c r="J4" s="2758">
        <v>80</v>
      </c>
      <c r="K4" s="2758">
        <v>70</v>
      </c>
      <c r="L4" s="2758">
        <v>20</v>
      </c>
      <c r="M4" s="2758">
        <v>30</v>
      </c>
      <c r="N4" s="2746">
        <v>45</v>
      </c>
      <c r="O4" s="2746">
        <v>60</v>
      </c>
      <c r="P4" s="2746">
        <v>50</v>
      </c>
      <c r="Q4" s="2746">
        <v>20</v>
      </c>
      <c r="R4" s="2746">
        <v>375</v>
      </c>
    </row>
    <row r="5" spans="1:18">
      <c r="A5" s="2747">
        <v>40</v>
      </c>
      <c r="B5" s="2744">
        <v>46375</v>
      </c>
      <c r="C5" s="2746">
        <f>ROUNDDOWN(MIN((B5-B3)/365,A5),2)</f>
        <v>2.62</v>
      </c>
      <c r="D5" s="2748">
        <f>IF(ISERROR(ROUND(POWER(1+E5,A5-C5)*(POWER(1+E5,C5)-1)/(POWER(1+E5,A5)-1),3)),0,ROUND(POWER(1+E5,A5-C5)*(POWER(1+E5,C5)-1)/(POWER(1+E5,A5)-1),4))</f>
        <v>0.12330000000000001</v>
      </c>
      <c r="E5" s="2749">
        <v>0.04</v>
      </c>
      <c r="F5" s="2742"/>
      <c r="I5" s="2758" t="s">
        <v>2580</v>
      </c>
      <c r="J5" s="2758">
        <v>70</v>
      </c>
      <c r="K5" s="2758">
        <v>60</v>
      </c>
      <c r="L5" s="2758">
        <v>15</v>
      </c>
      <c r="M5" s="2758">
        <v>25</v>
      </c>
      <c r="N5" s="2746">
        <v>40</v>
      </c>
      <c r="O5" s="2746">
        <v>50</v>
      </c>
      <c r="P5" s="2746">
        <v>40</v>
      </c>
      <c r="Q5" s="2746">
        <v>15</v>
      </c>
      <c r="R5" s="2746">
        <v>315</v>
      </c>
    </row>
    <row r="6" spans="1:18">
      <c r="A6" s="2747">
        <v>50</v>
      </c>
      <c r="B6" s="2744">
        <v>50028</v>
      </c>
      <c r="C6" s="2746">
        <f>ROUNDDOWN(MIN((B6-B3)/365,A6),2)</f>
        <v>12.63</v>
      </c>
      <c r="D6" s="2748">
        <f>IF(ISERROR(ROUND(POWER(1+E6,A6-C6)*(POWER(1+E6,C6)-1)/(POWER(1+E6,A6)-1),3)),0,ROUND(POWER(1+E6,A6-C6)*(POWER(1+E6,C6)-1)/(POWER(1+E6,A6)-1),4))</f>
        <v>0.4546</v>
      </c>
      <c r="E6" s="2749">
        <v>0.04</v>
      </c>
      <c r="F6" s="2742"/>
      <c r="I6" s="2758" t="s">
        <v>2581</v>
      </c>
      <c r="J6" s="2758">
        <v>60</v>
      </c>
      <c r="K6" s="2758">
        <v>50</v>
      </c>
      <c r="L6" s="2758">
        <v>10</v>
      </c>
      <c r="M6" s="2758">
        <v>20</v>
      </c>
      <c r="N6" s="2746">
        <v>35</v>
      </c>
      <c r="O6" s="2746">
        <v>40</v>
      </c>
      <c r="P6" s="2746">
        <v>30</v>
      </c>
      <c r="Q6" s="2746">
        <v>10</v>
      </c>
      <c r="R6" s="2746">
        <v>255</v>
      </c>
    </row>
    <row r="7" spans="1:18">
      <c r="A7" s="2747">
        <v>70</v>
      </c>
      <c r="B7" s="2744">
        <v>57333</v>
      </c>
      <c r="C7" s="2746">
        <f>ROUNDDOWN(MIN((B7-B3)/365,A7),2)</f>
        <v>32.64</v>
      </c>
      <c r="D7" s="2748">
        <f>IF(ISERROR(ROUND(POWER(1+E7,A7-C7)*(POWER(1+E7,C7)-1)/(POWER(1+E7,A7)-1),3)),0,ROUND(POWER(1+E7,A7-C7)*(POWER(1+E7,C7)-1)/(POWER(1+E7,A7)-1),4))</f>
        <v>0.77159999999999995</v>
      </c>
      <c r="E7" s="2749">
        <v>0.04</v>
      </c>
      <c r="F7" s="2742"/>
    </row>
    <row r="8" spans="1:18">
      <c r="A8" s="2740"/>
      <c r="B8" s="2741"/>
      <c r="C8" s="2741"/>
      <c r="D8" s="2741"/>
      <c r="E8" s="2741"/>
      <c r="F8" s="2742"/>
    </row>
    <row r="9" spans="1:18">
      <c r="A9" s="2743" t="s">
        <v>2505</v>
      </c>
      <c r="B9" s="2746"/>
      <c r="C9" s="2746"/>
      <c r="D9" s="2746"/>
      <c r="E9" s="2746"/>
      <c r="F9" s="2750"/>
    </row>
    <row r="10" spans="1:18">
      <c r="A10" s="2743" t="s">
        <v>2506</v>
      </c>
      <c r="B10" s="2746"/>
      <c r="C10" s="2746"/>
      <c r="D10" s="2746" t="s">
        <v>2504</v>
      </c>
      <c r="E10" s="2746"/>
      <c r="F10" s="2750" t="s">
        <v>2503</v>
      </c>
    </row>
    <row r="11" spans="1:18">
      <c r="A11" s="2743" t="s">
        <v>2507</v>
      </c>
      <c r="B11" s="2751">
        <v>70</v>
      </c>
      <c r="C11" s="2746" t="s">
        <v>2508</v>
      </c>
      <c r="D11" s="2751">
        <v>4.4999999999999998E-2</v>
      </c>
      <c r="E11" s="2746" t="s">
        <v>2509</v>
      </c>
      <c r="F11" s="2752">
        <f>ROUND(1-(1/(POWER(1+D11,B11))),4)</f>
        <v>0.95409999999999995</v>
      </c>
    </row>
    <row r="12" spans="1:18">
      <c r="A12" s="2743" t="s">
        <v>2510</v>
      </c>
      <c r="B12" s="2751">
        <v>40</v>
      </c>
      <c r="C12" s="2746" t="s">
        <v>2511</v>
      </c>
      <c r="D12" s="2751">
        <v>4.4999999999999998E-2</v>
      </c>
      <c r="E12" s="2746" t="s">
        <v>2512</v>
      </c>
      <c r="F12" s="2752">
        <f>ROUND(1-(1/(POWER(1+D12,B12))),4)</f>
        <v>0.82809999999999995</v>
      </c>
    </row>
    <row r="13" spans="1:18">
      <c r="A13" s="2743" t="s">
        <v>2513</v>
      </c>
      <c r="B13" s="2746"/>
      <c r="C13" s="2746"/>
      <c r="D13" s="2741"/>
      <c r="E13" s="2741"/>
      <c r="F13" s="2742"/>
    </row>
    <row r="14" spans="1:18">
      <c r="A14" s="2743" t="s">
        <v>2514</v>
      </c>
      <c r="B14" s="2751">
        <v>5000</v>
      </c>
      <c r="C14" s="2745"/>
      <c r="D14" s="2741"/>
      <c r="E14" s="2741"/>
      <c r="F14" s="2742"/>
    </row>
    <row r="15" spans="1:18">
      <c r="A15" s="2743" t="s">
        <v>2515</v>
      </c>
      <c r="B15" s="2746">
        <f>ROUND(B14*F12/F11,2)</f>
        <v>4339.6899999999996</v>
      </c>
      <c r="C15" s="2746">
        <f>ROUND(F12/F11,4)</f>
        <v>0.8679</v>
      </c>
      <c r="D15" s="2741"/>
      <c r="E15" s="2741"/>
      <c r="F15" s="2742"/>
    </row>
    <row r="16" spans="1:18">
      <c r="A16" s="2743" t="s">
        <v>2516</v>
      </c>
      <c r="B16" s="2746"/>
      <c r="C16" s="2746"/>
      <c r="D16" s="2741"/>
      <c r="E16" s="2741"/>
      <c r="F16" s="2742"/>
    </row>
    <row r="17" spans="1:13">
      <c r="A17" s="2743" t="s">
        <v>2515</v>
      </c>
      <c r="B17" s="2751">
        <v>4810</v>
      </c>
      <c r="C17" s="2745"/>
      <c r="D17" s="2741"/>
      <c r="E17" s="2741"/>
      <c r="F17" s="2742"/>
    </row>
    <row r="18" spans="1:13" ht="14.25" thickBot="1">
      <c r="A18" s="2753" t="s">
        <v>2514</v>
      </c>
      <c r="B18" s="2754">
        <f>ROUND(B17*F11/F12,2)</f>
        <v>5541.87</v>
      </c>
      <c r="C18" s="2754">
        <f>ROUND(F11/F12,4)</f>
        <v>1.1521999999999999</v>
      </c>
      <c r="D18" s="2755"/>
      <c r="E18" s="2755"/>
      <c r="F18" s="2756"/>
    </row>
    <row r="19" spans="1:13" ht="14.25" thickBot="1"/>
    <row r="20" spans="1:13" s="2789" customFormat="1" ht="14.25" thickTop="1">
      <c r="A20" s="2786" t="s">
        <v>2517</v>
      </c>
      <c r="B20" s="2787"/>
      <c r="C20" s="2787"/>
      <c r="D20" s="2787"/>
      <c r="E20" s="2787"/>
      <c r="F20" s="2787"/>
      <c r="G20" s="2788"/>
      <c r="I20" s="2790" t="s">
        <v>2562</v>
      </c>
      <c r="J20" s="2790" t="s">
        <v>2567</v>
      </c>
      <c r="K20" s="2790"/>
      <c r="L20" s="2790"/>
      <c r="M20" s="2790"/>
    </row>
    <row r="21" spans="1:13">
      <c r="A21" s="2757"/>
      <c r="B21" s="2758" t="s">
        <v>2518</v>
      </c>
      <c r="C21" s="2758" t="s">
        <v>2519</v>
      </c>
      <c r="D21" s="2758" t="s">
        <v>2520</v>
      </c>
      <c r="E21" s="2758" t="s">
        <v>2521</v>
      </c>
      <c r="F21" s="2758" t="s">
        <v>2522</v>
      </c>
      <c r="G21" s="2759" t="s">
        <v>2523</v>
      </c>
      <c r="I21" s="2780">
        <v>5</v>
      </c>
      <c r="J21" s="2780">
        <v>54.2</v>
      </c>
    </row>
    <row r="22" spans="1:13">
      <c r="A22" s="2757" t="s">
        <v>2524</v>
      </c>
      <c r="B22" s="2760">
        <v>70</v>
      </c>
      <c r="C22" s="2760">
        <v>30</v>
      </c>
      <c r="D22" s="2761">
        <v>0.04</v>
      </c>
      <c r="E22" s="2758">
        <f>ROUND(POWER(1+D22,B22-C22)*(POWER(1+D22,C22)-1)/(POWER(1+D22,B22)-1),3)</f>
        <v>0.73899999999999999</v>
      </c>
      <c r="F22" s="2761">
        <v>0.7</v>
      </c>
      <c r="G22" s="2759">
        <f>ROUND(100*(1-(1-E22)*F22),1)</f>
        <v>81.7</v>
      </c>
      <c r="I22" s="2780">
        <v>10</v>
      </c>
      <c r="J22" s="2780">
        <v>65.400000000000006</v>
      </c>
      <c r="K22" s="2780">
        <f>J22-J21</f>
        <v>11.200000000000003</v>
      </c>
    </row>
    <row r="23" spans="1:13">
      <c r="A23" s="2757" t="s">
        <v>2525</v>
      </c>
      <c r="B23" s="2760">
        <v>70</v>
      </c>
      <c r="C23" s="2760">
        <v>40</v>
      </c>
      <c r="D23" s="2761">
        <v>0.04</v>
      </c>
      <c r="E23" s="2758">
        <f t="shared" ref="E23:E25" si="0">ROUND(POWER(1+D23,B23-C23)*(POWER(1+D23,C23)-1)/(POWER(1+D23,B23)-1),3)</f>
        <v>0.84599999999999997</v>
      </c>
      <c r="F23" s="2761">
        <f>F22</f>
        <v>0.7</v>
      </c>
      <c r="G23" s="2759">
        <f t="shared" ref="G23:G25" si="1">ROUND(100*(1-(1-E23)*F23),1)</f>
        <v>89.2</v>
      </c>
      <c r="I23" s="2780">
        <v>15</v>
      </c>
      <c r="J23" s="2780">
        <v>74.099999999999994</v>
      </c>
      <c r="K23" s="2780">
        <f t="shared" ref="K23:K30" si="2">J23-J22</f>
        <v>8.6999999999999886</v>
      </c>
      <c r="L23" s="2780" t="s">
        <v>2565</v>
      </c>
      <c r="M23" s="2780" t="s">
        <v>2566</v>
      </c>
    </row>
    <row r="24" spans="1:13">
      <c r="A24" s="2757" t="s">
        <v>2526</v>
      </c>
      <c r="B24" s="2760">
        <v>70</v>
      </c>
      <c r="C24" s="2760">
        <v>50</v>
      </c>
      <c r="D24" s="2761">
        <v>0.04</v>
      </c>
      <c r="E24" s="2758">
        <f t="shared" si="0"/>
        <v>0.91800000000000004</v>
      </c>
      <c r="F24" s="2761">
        <f>F23</f>
        <v>0.7</v>
      </c>
      <c r="G24" s="2759">
        <f t="shared" si="1"/>
        <v>94.3</v>
      </c>
      <c r="I24" s="2780">
        <v>20</v>
      </c>
      <c r="J24" s="2780">
        <v>81</v>
      </c>
      <c r="K24" s="2780">
        <f t="shared" si="2"/>
        <v>6.9000000000000057</v>
      </c>
      <c r="L24" s="2780" t="s">
        <v>2564</v>
      </c>
      <c r="M24" s="2780">
        <v>10</v>
      </c>
    </row>
    <row r="25" spans="1:13">
      <c r="A25" s="2757" t="s">
        <v>2527</v>
      </c>
      <c r="B25" s="2760">
        <v>70</v>
      </c>
      <c r="C25" s="2760">
        <v>60</v>
      </c>
      <c r="D25" s="2761">
        <v>0.04</v>
      </c>
      <c r="E25" s="2758">
        <f t="shared" si="0"/>
        <v>0.96699999999999997</v>
      </c>
      <c r="F25" s="2761">
        <f>F24</f>
        <v>0.7</v>
      </c>
      <c r="G25" s="2759">
        <f t="shared" si="1"/>
        <v>97.7</v>
      </c>
      <c r="I25" s="2780">
        <v>25</v>
      </c>
      <c r="J25" s="2780">
        <v>86.3</v>
      </c>
      <c r="K25" s="2780">
        <f t="shared" si="2"/>
        <v>5.2999999999999972</v>
      </c>
      <c r="L25" s="2780" t="s">
        <v>2568</v>
      </c>
      <c r="M25" s="2780">
        <v>8</v>
      </c>
    </row>
    <row r="26" spans="1:13">
      <c r="A26" s="2762"/>
      <c r="B26" s="2763"/>
      <c r="C26" s="2763"/>
      <c r="D26" s="2763"/>
      <c r="E26" s="2763"/>
      <c r="F26" s="2763"/>
      <c r="G26" s="2764"/>
      <c r="I26" s="2780">
        <v>30</v>
      </c>
      <c r="J26" s="2780">
        <v>90.5</v>
      </c>
      <c r="K26" s="2780">
        <f t="shared" si="2"/>
        <v>4.2000000000000028</v>
      </c>
      <c r="L26" s="2780" t="s">
        <v>2569</v>
      </c>
      <c r="M26" s="2780">
        <v>5</v>
      </c>
    </row>
    <row r="27" spans="1:13">
      <c r="A27" s="2762" t="s">
        <v>2528</v>
      </c>
      <c r="B27" s="2763"/>
      <c r="C27" s="2763"/>
      <c r="D27" s="2763"/>
      <c r="E27" s="2763"/>
      <c r="F27" s="2763"/>
      <c r="G27" s="2764"/>
      <c r="I27" s="2780">
        <v>35</v>
      </c>
      <c r="J27" s="2780">
        <v>93.8</v>
      </c>
      <c r="K27" s="2780">
        <f t="shared" si="2"/>
        <v>3.2999999999999972</v>
      </c>
      <c r="L27" s="2780" t="s">
        <v>2570</v>
      </c>
      <c r="M27" s="2780">
        <v>3</v>
      </c>
    </row>
    <row r="28" spans="1:13">
      <c r="A28" s="2762" t="s">
        <v>2529</v>
      </c>
      <c r="B28" s="2763"/>
      <c r="C28" s="2763"/>
      <c r="D28" s="2763"/>
      <c r="E28" s="2763"/>
      <c r="F28" s="2763"/>
      <c r="G28" s="2764"/>
      <c r="I28" s="2780">
        <v>40</v>
      </c>
      <c r="J28" s="2780">
        <v>96.4</v>
      </c>
      <c r="K28" s="2780">
        <f t="shared" si="2"/>
        <v>2.6000000000000085</v>
      </c>
      <c r="L28" s="2780" t="s">
        <v>2571</v>
      </c>
      <c r="M28" s="2780">
        <v>2</v>
      </c>
    </row>
    <row r="29" spans="1:13">
      <c r="A29" s="2762" t="s">
        <v>2530</v>
      </c>
      <c r="B29" s="2763"/>
      <c r="C29" s="2763"/>
      <c r="D29" s="2763"/>
      <c r="E29" s="2763"/>
      <c r="F29" s="2763"/>
      <c r="G29" s="2764"/>
      <c r="I29" s="2780">
        <v>45</v>
      </c>
      <c r="J29" s="2780">
        <v>98.4</v>
      </c>
      <c r="K29" s="2780">
        <f t="shared" si="2"/>
        <v>2</v>
      </c>
    </row>
    <row r="30" spans="1:13">
      <c r="A30" s="2762" t="s">
        <v>2531</v>
      </c>
      <c r="B30" s="2763"/>
      <c r="C30" s="2763"/>
      <c r="D30" s="2763"/>
      <c r="E30" s="2763"/>
      <c r="F30" s="2763"/>
      <c r="G30" s="2764"/>
      <c r="I30" s="2780">
        <v>50</v>
      </c>
      <c r="J30" s="2780">
        <v>100</v>
      </c>
      <c r="K30" s="2780">
        <f t="shared" si="2"/>
        <v>1.5999999999999943</v>
      </c>
    </row>
    <row r="31" spans="1:13">
      <c r="A31" s="2762" t="s">
        <v>2532</v>
      </c>
      <c r="B31" s="2763"/>
      <c r="C31" s="2763"/>
      <c r="D31" s="2763"/>
      <c r="E31" s="2763"/>
      <c r="F31" s="2763"/>
      <c r="G31" s="2764"/>
      <c r="I31" s="2780" t="s">
        <v>2563</v>
      </c>
    </row>
    <row r="32" spans="1:13">
      <c r="A32" s="2762" t="s">
        <v>2533</v>
      </c>
      <c r="B32" s="2763"/>
      <c r="C32" s="2763"/>
      <c r="D32" s="2763"/>
      <c r="E32" s="2763"/>
      <c r="F32" s="2763"/>
      <c r="G32" s="2764"/>
    </row>
    <row r="33" spans="1:13">
      <c r="A33" s="2762" t="s">
        <v>2534</v>
      </c>
      <c r="B33" s="2763"/>
      <c r="C33" s="2763"/>
      <c r="D33" s="2763"/>
      <c r="E33" s="2763"/>
      <c r="F33" s="2763"/>
      <c r="G33" s="2764"/>
      <c r="I33" s="2780" t="s">
        <v>2562</v>
      </c>
      <c r="J33" s="2780" t="s">
        <v>2572</v>
      </c>
    </row>
    <row r="34" spans="1:13">
      <c r="A34" s="2762" t="s">
        <v>2535</v>
      </c>
      <c r="B34" s="2763"/>
      <c r="C34" s="2763"/>
      <c r="D34" s="2763"/>
      <c r="E34" s="2763"/>
      <c r="F34" s="2763"/>
      <c r="G34" s="2764"/>
      <c r="I34" s="2780">
        <v>5</v>
      </c>
      <c r="J34" s="2780">
        <v>55.1</v>
      </c>
    </row>
    <row r="35" spans="1:13">
      <c r="A35" s="2762" t="s">
        <v>2536</v>
      </c>
      <c r="B35" s="2763"/>
      <c r="C35" s="2763"/>
      <c r="D35" s="2763"/>
      <c r="E35" s="2763"/>
      <c r="F35" s="2763"/>
      <c r="G35" s="2764"/>
      <c r="I35" s="2780">
        <v>10</v>
      </c>
      <c r="J35" s="2780">
        <v>67</v>
      </c>
      <c r="K35" s="2780">
        <f>J35-J34</f>
        <v>11.899999999999999</v>
      </c>
    </row>
    <row r="36" spans="1:13">
      <c r="A36" s="2762" t="s">
        <v>2537</v>
      </c>
      <c r="B36" s="2763"/>
      <c r="C36" s="2763"/>
      <c r="D36" s="2763"/>
      <c r="E36" s="2763"/>
      <c r="F36" s="2763"/>
      <c r="G36" s="2764"/>
      <c r="I36" s="2780">
        <v>15</v>
      </c>
      <c r="J36" s="2780">
        <v>76.3</v>
      </c>
      <c r="K36" s="2780">
        <f t="shared" ref="K36:K41" si="3">J36-J35</f>
        <v>9.2999999999999972</v>
      </c>
      <c r="L36" s="2780" t="s">
        <v>2565</v>
      </c>
      <c r="M36" s="2780" t="s">
        <v>2566</v>
      </c>
    </row>
    <row r="37" spans="1:13">
      <c r="A37" s="2762" t="s">
        <v>2538</v>
      </c>
      <c r="B37" s="2763"/>
      <c r="C37" s="2763"/>
      <c r="D37" s="2763"/>
      <c r="E37" s="2763"/>
      <c r="F37" s="2763"/>
      <c r="G37" s="2764"/>
      <c r="I37" s="2780">
        <v>20</v>
      </c>
      <c r="J37" s="2780">
        <v>83.6</v>
      </c>
      <c r="K37" s="2780">
        <f t="shared" si="3"/>
        <v>7.2999999999999972</v>
      </c>
      <c r="L37" s="2780" t="s">
        <v>2564</v>
      </c>
      <c r="M37" s="2780">
        <v>10</v>
      </c>
    </row>
    <row r="38" spans="1:13">
      <c r="A38" s="2762" t="s">
        <v>2539</v>
      </c>
      <c r="B38" s="2763"/>
      <c r="C38" s="2763"/>
      <c r="D38" s="2763"/>
      <c r="E38" s="2763"/>
      <c r="F38" s="2763"/>
      <c r="G38" s="2764"/>
      <c r="I38" s="2780">
        <v>25</v>
      </c>
      <c r="J38" s="2780">
        <v>89.3</v>
      </c>
      <c r="K38" s="2780">
        <f t="shared" si="3"/>
        <v>5.7000000000000028</v>
      </c>
      <c r="L38" s="2780" t="s">
        <v>2568</v>
      </c>
      <c r="M38" s="2780">
        <v>8</v>
      </c>
    </row>
    <row r="39" spans="1:13">
      <c r="A39" s="2762"/>
      <c r="B39" s="2763"/>
      <c r="C39" s="2763"/>
      <c r="D39" s="2763"/>
      <c r="E39" s="2763"/>
      <c r="F39" s="2763"/>
      <c r="G39" s="2764"/>
      <c r="I39" s="2780">
        <v>30</v>
      </c>
      <c r="J39" s="2780">
        <v>93.8</v>
      </c>
      <c r="K39" s="2780">
        <f t="shared" si="3"/>
        <v>4.5</v>
      </c>
      <c r="L39" s="2780" t="s">
        <v>2569</v>
      </c>
      <c r="M39" s="2780">
        <v>6</v>
      </c>
    </row>
    <row r="40" spans="1:13">
      <c r="A40" s="2765" t="s">
        <v>2540</v>
      </c>
      <c r="B40" s="2766"/>
      <c r="C40" s="2766"/>
      <c r="D40" s="2766"/>
      <c r="E40" s="2766"/>
      <c r="F40" s="2766"/>
      <c r="G40" s="2767"/>
      <c r="I40" s="2780">
        <v>35</v>
      </c>
      <c r="J40" s="2780">
        <v>97.2</v>
      </c>
      <c r="K40" s="2780">
        <f t="shared" si="3"/>
        <v>3.4000000000000057</v>
      </c>
      <c r="L40" s="2780" t="s">
        <v>2570</v>
      </c>
      <c r="M40" s="2780">
        <v>3</v>
      </c>
    </row>
    <row r="41" spans="1:13">
      <c r="A41" s="2768" t="s">
        <v>2541</v>
      </c>
      <c r="B41" s="2769" t="s">
        <v>2542</v>
      </c>
      <c r="C41" s="2770" t="s">
        <v>2543</v>
      </c>
      <c r="D41" s="2770" t="s">
        <v>2544</v>
      </c>
      <c r="E41" s="2771"/>
      <c r="F41" s="2772"/>
      <c r="G41" s="2773"/>
      <c r="I41" s="2780">
        <v>40</v>
      </c>
      <c r="J41" s="2780">
        <v>100</v>
      </c>
      <c r="K41" s="2780">
        <f t="shared" si="3"/>
        <v>2.7999999999999972</v>
      </c>
    </row>
    <row r="42" spans="1:13">
      <c r="A42" s="2768" t="s">
        <v>2545</v>
      </c>
      <c r="B42" s="2769" t="s">
        <v>2546</v>
      </c>
      <c r="C42" s="2770" t="s">
        <v>2547</v>
      </c>
      <c r="D42" s="2774" t="s">
        <v>2548</v>
      </c>
      <c r="E42" s="2766" t="s">
        <v>2549</v>
      </c>
      <c r="F42" s="2766"/>
      <c r="G42" s="2767"/>
    </row>
    <row r="43" spans="1:13">
      <c r="A43" s="2768" t="s">
        <v>2550</v>
      </c>
      <c r="B43" s="2769" t="s">
        <v>2551</v>
      </c>
      <c r="C43" s="2770" t="s">
        <v>2552</v>
      </c>
      <c r="D43" s="2770" t="s">
        <v>2553</v>
      </c>
      <c r="E43" s="2771" t="s">
        <v>2554</v>
      </c>
      <c r="F43" s="2772"/>
      <c r="G43" s="2773"/>
      <c r="I43" s="2780" t="s">
        <v>2562</v>
      </c>
      <c r="J43" s="2780" t="s">
        <v>2573</v>
      </c>
    </row>
    <row r="44" spans="1:13">
      <c r="A44" s="2768" t="s">
        <v>2555</v>
      </c>
      <c r="B44" s="2769" t="s">
        <v>2556</v>
      </c>
      <c r="C44" s="2770" t="s">
        <v>2557</v>
      </c>
      <c r="D44" s="2774">
        <v>0.5</v>
      </c>
      <c r="E44" s="2771" t="s">
        <v>2558</v>
      </c>
      <c r="F44" s="2772"/>
      <c r="G44" s="2773"/>
      <c r="I44" s="2780">
        <v>30</v>
      </c>
      <c r="J44" s="2780">
        <v>81.7</v>
      </c>
    </row>
    <row r="45" spans="1:13" ht="14.25" thickBot="1">
      <c r="A45" s="2775" t="s">
        <v>2559</v>
      </c>
      <c r="B45" s="2776" t="s">
        <v>2546</v>
      </c>
      <c r="C45" s="2777" t="s">
        <v>2546</v>
      </c>
      <c r="D45" s="2777" t="s">
        <v>2560</v>
      </c>
      <c r="E45" s="2778" t="s">
        <v>2561</v>
      </c>
      <c r="F45" s="2778"/>
      <c r="G45" s="2779"/>
      <c r="I45" s="2780">
        <v>40</v>
      </c>
      <c r="J45" s="2780">
        <v>89.2</v>
      </c>
      <c r="K45" s="2780">
        <f>J45-J44</f>
        <v>7.5</v>
      </c>
    </row>
    <row r="46" spans="1:13">
      <c r="I46" s="2780">
        <v>50</v>
      </c>
      <c r="J46" s="2780">
        <v>94.3</v>
      </c>
      <c r="K46" s="2780">
        <f t="shared" ref="K46:K47" si="4">J46-J45</f>
        <v>5.0999999999999943</v>
      </c>
    </row>
    <row r="47" spans="1:13">
      <c r="I47" s="2780">
        <v>60</v>
      </c>
      <c r="J47" s="2780">
        <v>97.7</v>
      </c>
      <c r="K47" s="278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6" sqref="C46"/>
    </sheetView>
  </sheetViews>
  <sheetFormatPr defaultColWidth="10" defaultRowHeight="12.75"/>
  <cols>
    <col min="1" max="1" width="16.875" style="1610" customWidth="1"/>
    <col min="2" max="2" width="10" style="1610" customWidth="1"/>
    <col min="3" max="3" width="11.5" style="1610" customWidth="1"/>
    <col min="4" max="4" width="10" style="1610" customWidth="1"/>
    <col min="5" max="5" width="12.625" style="1610" customWidth="1"/>
    <col min="6" max="6" width="10" style="1610" customWidth="1"/>
    <col min="7" max="7" width="10.75" style="1610" customWidth="1"/>
    <col min="8" max="8" width="10" style="1610" customWidth="1"/>
    <col min="9" max="9" width="11.125" style="1460" customWidth="1"/>
    <col min="10" max="10" width="10" style="1608" customWidth="1"/>
    <col min="11" max="11" width="10" style="2396" customWidth="1"/>
    <col min="12" max="13" width="10" style="2397" customWidth="1"/>
    <col min="14" max="14" width="10" style="1608" customWidth="1"/>
    <col min="15" max="15" width="10" style="9" customWidth="1"/>
    <col min="16" max="17" width="10" style="1608"/>
    <col min="18" max="18" width="10" style="1608" customWidth="1"/>
    <col min="19" max="30" width="10" style="1608"/>
    <col min="31" max="16384" width="10" style="1610"/>
  </cols>
  <sheetData>
    <row r="1" spans="1:30" ht="13.5" thickBot="1">
      <c r="A1" s="2173" t="s">
        <v>2162</v>
      </c>
      <c r="B1" s="3325" t="str">
        <f>IF(B10="北京市","北京市",C10)&amp;F10&amp;IF(结果表!G1="在建","出让国有建设用地使用权及在建建筑物",IF(结果表!G1="土地","出让国有建设用地使用权",))&amp;B9&amp;"预评估"</f>
        <v>北京市朝阳区清林东路4号6号楼负2层B202、负3层B302商业用房房地产抵押价值预评估</v>
      </c>
      <c r="C1" s="3326"/>
      <c r="D1" s="3326"/>
      <c r="E1" s="3326"/>
      <c r="F1" s="3326"/>
      <c r="G1" s="3326"/>
      <c r="H1" s="3326"/>
      <c r="I1" s="3327"/>
      <c r="J1" s="2236"/>
      <c r="K1" s="2175"/>
      <c r="L1" s="2176"/>
      <c r="M1" s="2176"/>
      <c r="N1" s="2174"/>
      <c r="O1" s="1458"/>
      <c r="P1" s="2174"/>
      <c r="Q1" s="2174"/>
      <c r="R1" s="2174"/>
      <c r="S1" s="1553" t="str">
        <f>IF(B10="北京市","北京市",C10)&amp;F10&amp;IF(结果表!G1="在建","出让国有建设用地使用权及在建建筑物房地产抵押价值",IF(结果表!G1="土地","出让国有建设用地使用权抵押价值",B9))</f>
        <v>北京市朝阳区清林东路4号6号楼负2层B202、负3层B302商业用房房地产抵押价值</v>
      </c>
      <c r="T1" s="1610"/>
      <c r="U1" s="1610"/>
      <c r="V1" s="1610"/>
      <c r="W1" s="1610"/>
      <c r="X1" s="1610"/>
      <c r="Y1" s="1610"/>
      <c r="Z1" s="1610"/>
      <c r="AA1" s="1610"/>
      <c r="AB1" s="1610"/>
    </row>
    <row r="2" spans="1:30">
      <c r="A2" s="2174" t="s">
        <v>2163</v>
      </c>
      <c r="B2" s="116"/>
      <c r="D2" s="2430"/>
      <c r="E2" s="2424"/>
      <c r="F2" s="2424"/>
      <c r="G2" s="2425"/>
      <c r="H2" s="2425"/>
      <c r="I2" s="2425"/>
      <c r="J2" s="2236"/>
      <c r="K2" s="2175"/>
      <c r="L2" s="2176"/>
      <c r="M2" s="2176"/>
      <c r="N2" s="2174"/>
      <c r="O2" s="1458"/>
      <c r="P2" s="2174"/>
      <c r="Q2" s="2174"/>
      <c r="R2" s="2174"/>
      <c r="S2" s="1553" t="str">
        <f>IF(B10="北京市","北京市",C10)&amp;F10&amp;IF(结果表!G1="在建","出让国有建设用地使用权及在建建筑物房地产",IF(结果表!G1="土地","出让国有建设用地使用权","房地产"))</f>
        <v>北京市朝阳区清林东路4号6号楼负2层B202、负3层B302商业用房房地产</v>
      </c>
      <c r="T2" s="1610"/>
      <c r="U2" s="1610"/>
      <c r="V2" s="1610"/>
      <c r="W2" s="1610"/>
      <c r="X2" s="1610"/>
      <c r="Y2" s="1610"/>
      <c r="Z2" s="1610"/>
      <c r="AA2" s="1610"/>
      <c r="AB2" s="1610"/>
    </row>
    <row r="3" spans="1:30">
      <c r="A3" s="288" t="s">
        <v>2164</v>
      </c>
      <c r="B3" s="2177">
        <v>45418</v>
      </c>
      <c r="C3" s="2178" t="s">
        <v>2165</v>
      </c>
      <c r="D3" s="2177">
        <f>B3</f>
        <v>45418</v>
      </c>
      <c r="E3" s="2425"/>
      <c r="F3" s="2425"/>
      <c r="G3" s="2425"/>
      <c r="H3" s="2425"/>
      <c r="I3" s="2425"/>
      <c r="J3" s="2236"/>
      <c r="K3" s="2175"/>
      <c r="L3" s="2176"/>
      <c r="M3" s="2176"/>
      <c r="N3" s="2174"/>
      <c r="O3" s="1458"/>
      <c r="P3" s="2174"/>
      <c r="Q3" s="2174"/>
      <c r="R3" s="2174"/>
      <c r="S3" s="1553"/>
      <c r="T3" s="1610"/>
      <c r="U3" s="1610"/>
      <c r="V3" s="1610"/>
      <c r="W3" s="1610"/>
      <c r="X3" s="1610"/>
      <c r="Y3" s="1610"/>
      <c r="Z3" s="1610"/>
      <c r="AA3" s="1610"/>
      <c r="AB3" s="1610"/>
    </row>
    <row r="4" spans="1:30" ht="13.5" thickBot="1">
      <c r="A4" s="1020" t="s">
        <v>2166</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6"/>
      <c r="K4" s="2181" t="str">
        <f>CONCATENATE(B4,"（注册号：",C4,")、",D4,"（注册号：",E4,")")</f>
        <v>（注册号：0)、（注册号：0)</v>
      </c>
      <c r="L4" s="2176"/>
      <c r="M4" s="2176"/>
      <c r="N4" s="2174"/>
      <c r="O4" s="1458"/>
      <c r="P4" s="2174"/>
      <c r="Q4" s="2174"/>
      <c r="R4" s="2174"/>
      <c r="S4" s="1553"/>
      <c r="T4" s="1610"/>
      <c r="U4" s="1610"/>
      <c r="V4" s="1610"/>
      <c r="W4" s="1610"/>
      <c r="X4" s="1610"/>
      <c r="Y4" s="1610"/>
      <c r="Z4" s="1610"/>
      <c r="AA4" s="1610"/>
      <c r="AB4" s="1610"/>
    </row>
    <row r="5" spans="1:30" ht="13.5" thickTop="1">
      <c r="A5" s="2182" t="s">
        <v>2167</v>
      </c>
      <c r="B5" s="3123" t="s">
        <v>3377</v>
      </c>
      <c r="C5" s="2183"/>
      <c r="D5" s="2184"/>
      <c r="E5" s="2425"/>
      <c r="F5" s="2425"/>
      <c r="G5" s="2425"/>
      <c r="H5" s="2425"/>
      <c r="I5" s="2425"/>
      <c r="J5" s="2236"/>
      <c r="K5" s="2181" t="str">
        <f>IF(F4="——","",IF(H4="——",F4&amp;"（注册号："&amp;G4&amp;")",CONCATENATE(F4,"（注册号：",G4,")、",H4,"（注册号：",I4,")")))</f>
        <v>（注册号：0)、（注册号：0)</v>
      </c>
      <c r="L5" s="2176"/>
      <c r="M5" s="2176"/>
      <c r="N5" s="2174"/>
      <c r="O5" s="1458"/>
      <c r="P5" s="2174"/>
      <c r="Q5" s="2174"/>
      <c r="R5" s="2174"/>
      <c r="S5" s="1610"/>
      <c r="T5" s="1610"/>
      <c r="U5" s="1610"/>
      <c r="V5" s="1610"/>
      <c r="W5" s="1610"/>
      <c r="X5" s="1610"/>
      <c r="Y5" s="1610"/>
      <c r="Z5" s="1610"/>
      <c r="AA5" s="1610"/>
      <c r="AB5" s="1610"/>
    </row>
    <row r="6" spans="1:30">
      <c r="A6" s="2185" t="s">
        <v>2168</v>
      </c>
      <c r="B6" s="2186"/>
      <c r="C6" s="2187"/>
      <c r="D6" s="2188"/>
      <c r="E6" s="2424"/>
      <c r="F6" s="2425"/>
      <c r="G6" s="2425"/>
      <c r="H6" s="2425"/>
      <c r="I6" s="2425"/>
      <c r="J6" s="2236"/>
      <c r="K6" s="2384" t="str">
        <f>IF(COUNTIF(B6,"*上海银行*"),"上海银行","")</f>
        <v/>
      </c>
      <c r="L6" s="2382"/>
      <c r="M6" s="2382"/>
      <c r="N6" s="2236"/>
      <c r="O6" s="1662"/>
      <c r="P6" s="2236"/>
      <c r="Q6" s="2236"/>
      <c r="R6" s="2236"/>
    </row>
    <row r="7" spans="1:30">
      <c r="A7" s="2185" t="s">
        <v>2169</v>
      </c>
      <c r="B7" s="2189"/>
      <c r="C7" s="2187"/>
      <c r="D7" s="2188"/>
      <c r="E7" s="2424"/>
      <c r="F7" s="2425"/>
      <c r="G7" s="2425"/>
      <c r="H7" s="2425"/>
      <c r="I7" s="2425"/>
      <c r="J7" s="2236"/>
      <c r="K7" s="2385"/>
      <c r="L7" s="2382"/>
      <c r="M7" s="2382"/>
      <c r="N7" s="2236"/>
      <c r="O7" s="1662"/>
      <c r="P7" s="2236"/>
      <c r="Q7" s="2236"/>
      <c r="R7" s="2236"/>
    </row>
    <row r="8" spans="1:30">
      <c r="A8" s="2190" t="s">
        <v>2170</v>
      </c>
      <c r="B8" s="2191" t="s">
        <v>3373</v>
      </c>
      <c r="C8" s="2192"/>
      <c r="D8" s="3328" t="s">
        <v>2171</v>
      </c>
      <c r="E8" s="2193"/>
      <c r="F8" s="2194"/>
      <c r="G8" s="2425"/>
      <c r="H8" s="2425"/>
      <c r="I8" s="2425"/>
      <c r="J8" s="2236"/>
      <c r="K8" s="2383"/>
      <c r="L8" s="2382"/>
      <c r="M8" s="2382"/>
      <c r="N8" s="2236"/>
      <c r="O8" s="1662"/>
      <c r="P8" s="2236"/>
      <c r="Q8" s="2236"/>
      <c r="R8" s="2236"/>
    </row>
    <row r="9" spans="1:30" ht="13.5" thickBot="1">
      <c r="A9" s="2195" t="s">
        <v>2172</v>
      </c>
      <c r="B9" s="2196" t="s">
        <v>3746</v>
      </c>
      <c r="C9" s="2197"/>
      <c r="D9" s="3329"/>
      <c r="E9" s="2196"/>
      <c r="F9" s="2198"/>
      <c r="G9" s="2426"/>
      <c r="H9" s="2426"/>
      <c r="I9" s="2426"/>
      <c r="J9" s="2236"/>
      <c r="K9" s="2385"/>
      <c r="L9" s="2382"/>
      <c r="M9" s="2382"/>
      <c r="N9" s="2236"/>
      <c r="O9" s="1662"/>
      <c r="P9" s="2236"/>
      <c r="Q9" s="2236"/>
      <c r="R9" s="2236"/>
    </row>
    <row r="10" spans="1:30" ht="13.5" thickTop="1">
      <c r="A10" s="2199" t="s">
        <v>2173</v>
      </c>
      <c r="B10" s="2200" t="s">
        <v>3747</v>
      </c>
      <c r="C10" s="2201"/>
      <c r="D10" s="2184"/>
      <c r="E10" s="2202" t="s">
        <v>2174</v>
      </c>
      <c r="F10" s="3160" t="s">
        <v>3749</v>
      </c>
      <c r="G10" s="2427"/>
      <c r="H10" s="2428"/>
      <c r="I10" s="2429"/>
      <c r="J10" s="2236"/>
      <c r="K10" s="2385"/>
      <c r="L10" s="2382"/>
      <c r="M10" s="2382"/>
      <c r="N10" s="2236"/>
      <c r="O10" s="1662"/>
      <c r="P10" s="2236"/>
      <c r="Q10" s="2236"/>
      <c r="R10" s="2236"/>
    </row>
    <row r="11" spans="1:30">
      <c r="A11" s="2203" t="s">
        <v>2175</v>
      </c>
      <c r="B11" s="2204" t="s">
        <v>3748</v>
      </c>
      <c r="C11" s="2205"/>
      <c r="D11" s="2206"/>
      <c r="E11" s="2174"/>
      <c r="F11" s="2174"/>
      <c r="G11" s="2174"/>
      <c r="H11" s="2174"/>
      <c r="I11" s="2174"/>
      <c r="J11" s="2782"/>
      <c r="K11" s="2382"/>
      <c r="L11" s="2382"/>
      <c r="M11" s="2382"/>
      <c r="N11" s="2236"/>
      <c r="O11" s="1662"/>
      <c r="P11" s="2236"/>
      <c r="Q11" s="2236"/>
      <c r="R11" s="2236"/>
    </row>
    <row r="12" spans="1:30">
      <c r="A12" s="2207" t="s">
        <v>2176</v>
      </c>
      <c r="B12" s="309" t="s">
        <v>2177</v>
      </c>
      <c r="C12" s="2208" t="s">
        <v>2178</v>
      </c>
      <c r="D12" s="2208" t="s">
        <v>2179</v>
      </c>
      <c r="E12" s="2208" t="s">
        <v>2180</v>
      </c>
      <c r="F12" s="2208" t="s">
        <v>2181</v>
      </c>
      <c r="G12" s="2208" t="s">
        <v>2182</v>
      </c>
      <c r="H12" s="2208" t="s">
        <v>2183</v>
      </c>
      <c r="I12" s="2781" t="s">
        <v>2574</v>
      </c>
      <c r="J12" s="2783"/>
      <c r="K12" s="2382"/>
      <c r="L12" s="2382"/>
      <c r="M12" s="2236"/>
      <c r="N12" s="1662"/>
      <c r="O12" s="2236"/>
      <c r="P12" s="2236"/>
      <c r="Q12" s="2236"/>
      <c r="AD12" s="1610"/>
    </row>
    <row r="13" spans="1:30" ht="24.75">
      <c r="A13" s="3102" t="s">
        <v>3330</v>
      </c>
      <c r="B13" s="2209" t="s">
        <v>2184</v>
      </c>
      <c r="C13" s="796"/>
      <c r="D13" s="3122">
        <v>55156</v>
      </c>
      <c r="E13" s="796"/>
      <c r="F13" s="3122">
        <v>58809</v>
      </c>
      <c r="G13" s="796"/>
      <c r="H13" s="796"/>
      <c r="I13" s="796"/>
      <c r="J13" s="2783"/>
      <c r="K13" s="2382" t="s">
        <v>3378</v>
      </c>
      <c r="L13" s="2382"/>
      <c r="M13" s="2236"/>
      <c r="N13" s="1662"/>
      <c r="O13" s="2236"/>
      <c r="P13" s="2236"/>
      <c r="Q13" s="2236"/>
      <c r="AD13" s="1610"/>
    </row>
    <row r="14" spans="1:30">
      <c r="A14" s="1011"/>
      <c r="B14" s="2209" t="s">
        <v>2185</v>
      </c>
      <c r="C14" s="2210"/>
      <c r="D14" s="2210">
        <v>40</v>
      </c>
      <c r="E14" s="2210"/>
      <c r="F14" s="2210">
        <v>50</v>
      </c>
      <c r="G14" s="2210"/>
      <c r="H14" s="2210"/>
      <c r="I14" s="2210"/>
      <c r="J14" s="2784"/>
      <c r="K14" s="2382"/>
      <c r="L14" s="2382"/>
      <c r="M14" s="2236"/>
      <c r="N14" s="1662"/>
      <c r="O14" s="2236"/>
      <c r="P14" s="2236"/>
      <c r="Q14" s="2236"/>
      <c r="AD14" s="1610"/>
    </row>
    <row r="15" spans="1:30">
      <c r="A15" s="306"/>
      <c r="B15" s="2211" t="s">
        <v>2186</v>
      </c>
      <c r="C15" s="2212" t="str">
        <f>IF(A13="出让",IF(C13="","",ROUNDDOWN(MIN((C13-$D$3)/365,C14),2)),C14)</f>
        <v/>
      </c>
      <c r="D15" s="2212">
        <f>IF(A13="出让",IF(D13="","",ROUNDDOWN(MIN((D13-$D$3)/365,D14),2)),D14)</f>
        <v>26.67</v>
      </c>
      <c r="E15" s="2212" t="str">
        <f>IF(A13="出让",IF(E13="","",ROUNDDOWN(MIN((E13-$D$3)/365,E14),2)),E14)</f>
        <v/>
      </c>
      <c r="F15" s="2212">
        <f>IF(A13="出让",IF(F13="","",ROUNDDOWN(MIN((F13-$D$3)/365,F14),2)),F14)</f>
        <v>36.68</v>
      </c>
      <c r="G15" s="2212" t="str">
        <f>IF(A13="出让",IF(G13="","",ROUNDDOWN(MIN((G13-$D$3)/365,G14),2)),G14)</f>
        <v/>
      </c>
      <c r="H15" s="2212" t="str">
        <f>IF(A13="出让",IF(H13="","",ROUNDDOWN(MIN((H13-$D$3)/365,H14),2)),H14)</f>
        <v/>
      </c>
      <c r="I15" s="2212" t="str">
        <f>IF(A13="出让",IF(I13="","",ROUNDDOWN(MIN((I13-$D$3)/365,I14),2)),I14)</f>
        <v/>
      </c>
      <c r="J15" s="2785"/>
      <c r="K15" s="1662"/>
      <c r="L15" s="1662"/>
      <c r="M15" s="2236"/>
      <c r="N15" s="1662"/>
      <c r="O15" s="2236"/>
      <c r="P15" s="2236"/>
      <c r="Q15" s="2236"/>
      <c r="AD15" s="1610"/>
    </row>
    <row r="16" spans="1:30">
      <c r="A16" s="2202" t="s">
        <v>2187</v>
      </c>
      <c r="B16" s="3335"/>
      <c r="C16" s="3336"/>
      <c r="D16" s="3337"/>
      <c r="E16" s="2213" t="s">
        <v>2188</v>
      </c>
      <c r="F16" s="3338"/>
      <c r="G16" s="3339"/>
      <c r="H16" s="3339"/>
      <c r="I16" s="3340"/>
      <c r="J16" s="2236"/>
      <c r="K16" s="2386"/>
      <c r="L16" s="1662"/>
      <c r="M16" s="1662"/>
      <c r="N16" s="2236"/>
      <c r="O16" s="1662"/>
      <c r="P16" s="2236"/>
      <c r="Q16" s="2236"/>
      <c r="R16" s="2236"/>
    </row>
    <row r="17" spans="1:28">
      <c r="A17" s="299" t="s">
        <v>2189</v>
      </c>
      <c r="B17" s="288" t="s">
        <v>2190</v>
      </c>
      <c r="C17" s="8">
        <f>'数据-汇总表'!E3</f>
        <v>5979.5300000000007</v>
      </c>
      <c r="D17" s="1248" t="s">
        <v>2191</v>
      </c>
      <c r="E17" s="3341" t="s">
        <v>2192</v>
      </c>
      <c r="F17" s="3342"/>
      <c r="G17" s="3342"/>
      <c r="H17" s="3342"/>
      <c r="I17" s="3343"/>
      <c r="J17" s="2236"/>
      <c r="K17" s="2387"/>
      <c r="L17" s="1662"/>
      <c r="M17" s="1662"/>
      <c r="N17" s="2236"/>
      <c r="O17" s="1662"/>
      <c r="P17" s="2236"/>
      <c r="Q17" s="2236"/>
      <c r="R17" s="2236"/>
      <c r="S17" s="2236"/>
      <c r="T17" s="2236"/>
      <c r="U17" s="2236"/>
      <c r="V17" s="2236"/>
    </row>
    <row r="18" spans="1:28" ht="24.75" thickBot="1">
      <c r="A18" s="2214" t="s">
        <v>2193</v>
      </c>
      <c r="B18" s="1020" t="s">
        <v>2194</v>
      </c>
      <c r="C18" s="2215">
        <f>'数据-汇总表'!D3</f>
        <v>0</v>
      </c>
      <c r="D18" s="1022" t="s">
        <v>2195</v>
      </c>
      <c r="E18" s="3344" t="s">
        <v>2196</v>
      </c>
      <c r="F18" s="3345"/>
      <c r="G18" s="3345"/>
      <c r="H18" s="3345"/>
      <c r="I18" s="3346"/>
      <c r="J18" s="2236"/>
      <c r="K18" s="2387"/>
      <c r="L18" s="1662"/>
      <c r="M18" s="1662"/>
      <c r="N18" s="2236"/>
      <c r="O18" s="1662"/>
      <c r="P18" s="2236"/>
      <c r="Q18" s="2236"/>
      <c r="R18" s="2236"/>
      <c r="S18" s="2236"/>
      <c r="T18" s="2236"/>
      <c r="U18" s="2236"/>
      <c r="V18" s="2236"/>
    </row>
    <row r="19" spans="1:28" ht="37.5" thickTop="1" thickBot="1">
      <c r="A19" s="313" t="s">
        <v>1052</v>
      </c>
      <c r="B19" s="293" t="s">
        <v>2197</v>
      </c>
      <c r="C19" s="1447"/>
      <c r="D19" s="1448" t="s">
        <v>2198</v>
      </c>
      <c r="E19" s="1449"/>
      <c r="F19" s="1450" t="str">
        <f>IF(AND(C19="是",E19="否"),"是否提供他项权证或相关说明","")</f>
        <v/>
      </c>
      <c r="G19" s="1451"/>
      <c r="H19" s="2425"/>
      <c r="I19" s="2425"/>
      <c r="J19" s="2236"/>
      <c r="K19" s="2385"/>
      <c r="L19" s="2382"/>
      <c r="M19" s="2382"/>
      <c r="N19" s="2236"/>
      <c r="O19" s="1662"/>
      <c r="P19" s="2236"/>
      <c r="Q19" s="2236"/>
      <c r="R19" s="2236"/>
      <c r="S19" s="2236"/>
      <c r="T19" s="2236"/>
      <c r="U19" s="2236"/>
      <c r="V19" s="2236"/>
    </row>
    <row r="20" spans="1:28">
      <c r="A20" s="2400" t="s">
        <v>2199</v>
      </c>
      <c r="B20" s="3331" t="s">
        <v>2200</v>
      </c>
      <c r="C20" s="3332"/>
      <c r="D20" s="3333" t="s">
        <v>2201</v>
      </c>
      <c r="E20" s="3334"/>
      <c r="F20" s="2413" t="s">
        <v>1053</v>
      </c>
      <c r="G20" s="2425"/>
      <c r="H20" s="2425"/>
      <c r="I20" s="2425"/>
      <c r="J20" s="2236"/>
      <c r="K20" s="3330" t="s">
        <v>2202</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58"/>
      <c r="P20" s="2174"/>
      <c r="Q20" s="2174"/>
      <c r="R20" s="2174"/>
      <c r="S20" s="2174"/>
      <c r="T20" s="2174"/>
      <c r="U20" s="2174"/>
      <c r="V20" s="2174"/>
      <c r="W20" s="1610"/>
      <c r="X20" s="1610"/>
      <c r="Y20" s="1610"/>
      <c r="Z20" s="1610"/>
      <c r="AA20" s="1610"/>
      <c r="AB20" s="1610"/>
    </row>
    <row r="21" spans="1:28" ht="24.75" thickBot="1">
      <c r="A21" s="2400"/>
      <c r="B21" s="2401" t="s">
        <v>2203</v>
      </c>
      <c r="C21" s="2287" t="s">
        <v>1054</v>
      </c>
      <c r="D21" s="1452" t="s">
        <v>2204</v>
      </c>
      <c r="E21" s="2402" t="s">
        <v>1054</v>
      </c>
      <c r="F21" s="2414"/>
      <c r="G21" s="2425"/>
      <c r="H21" s="2425"/>
      <c r="I21" s="2425"/>
      <c r="J21" s="2236"/>
      <c r="K21" s="3330"/>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58"/>
      <c r="P21" s="2174"/>
      <c r="Q21" s="2174"/>
      <c r="R21" s="2174"/>
      <c r="S21" s="2174"/>
      <c r="T21" s="2174"/>
      <c r="U21" s="2174"/>
      <c r="V21" s="2174"/>
      <c r="W21" s="1610"/>
      <c r="X21" s="1610"/>
      <c r="Y21" s="1610"/>
      <c r="Z21" s="1610"/>
      <c r="AA21" s="1610"/>
      <c r="AB21" s="1610"/>
    </row>
    <row r="22" spans="1:28" ht="24.75" thickBot="1">
      <c r="A22" s="2400"/>
      <c r="B22" s="2403" t="s">
        <v>2205</v>
      </c>
      <c r="C22" s="2287" t="s">
        <v>1055</v>
      </c>
      <c r="D22" s="2425"/>
      <c r="E22" s="2425"/>
      <c r="F22" s="2425"/>
      <c r="G22" s="2425"/>
      <c r="H22" s="2425"/>
      <c r="I22" s="2425"/>
      <c r="J22" s="2236"/>
      <c r="K22" s="3330"/>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58"/>
      <c r="P22" s="2174"/>
      <c r="Q22" s="2174"/>
      <c r="R22" s="2174"/>
      <c r="S22" s="2174"/>
      <c r="T22" s="2174"/>
      <c r="U22" s="2174"/>
      <c r="V22" s="2174"/>
      <c r="W22" s="1610"/>
      <c r="X22" s="1610"/>
      <c r="Y22" s="1610"/>
      <c r="Z22" s="1610"/>
      <c r="AA22" s="1610"/>
      <c r="AB22" s="1610"/>
    </row>
    <row r="23" spans="1:28">
      <c r="A23" s="2404" t="s">
        <v>2206</v>
      </c>
      <c r="B23" s="2284" t="s">
        <v>2207</v>
      </c>
      <c r="C23" s="2405"/>
      <c r="D23" s="2406" t="s">
        <v>2207</v>
      </c>
      <c r="E23" s="2407"/>
      <c r="F23" s="2425"/>
      <c r="G23" s="2425"/>
      <c r="H23" s="2425"/>
      <c r="I23" s="2425"/>
      <c r="J23" s="2236"/>
      <c r="K23" s="2384"/>
      <c r="L23" s="115"/>
      <c r="M23" s="2382"/>
      <c r="N23" s="2236"/>
      <c r="O23" s="1662"/>
      <c r="P23" s="2236"/>
      <c r="Q23" s="2236"/>
      <c r="R23" s="2236"/>
      <c r="S23" s="2236"/>
      <c r="T23" s="2236"/>
      <c r="U23" s="2236"/>
      <c r="V23" s="2236"/>
    </row>
    <row r="24" spans="1:28">
      <c r="A24" s="2404"/>
      <c r="B24" s="2284" t="s">
        <v>1056</v>
      </c>
      <c r="C24" s="2262"/>
      <c r="D24" s="2404" t="s">
        <v>1056</v>
      </c>
      <c r="E24" s="2408"/>
      <c r="F24" s="2425"/>
      <c r="G24" s="2425"/>
      <c r="H24" s="2425"/>
      <c r="I24" s="2425"/>
      <c r="J24" s="2236"/>
      <c r="K24" s="2384"/>
      <c r="L24" s="115"/>
      <c r="M24" s="2382"/>
      <c r="N24" s="2236"/>
      <c r="O24" s="1662"/>
      <c r="P24" s="2236"/>
      <c r="Q24" s="2236"/>
      <c r="R24" s="2236"/>
      <c r="S24" s="2236"/>
      <c r="T24" s="2236"/>
      <c r="U24" s="2236"/>
      <c r="V24" s="2236"/>
    </row>
    <row r="25" spans="1:28">
      <c r="A25" s="2404"/>
      <c r="B25" s="2284" t="s">
        <v>1057</v>
      </c>
      <c r="C25" s="2262"/>
      <c r="D25" s="2404" t="s">
        <v>1057</v>
      </c>
      <c r="E25" s="2408"/>
      <c r="F25" s="2425"/>
      <c r="G25" s="2425"/>
      <c r="H25" s="2425"/>
      <c r="I25" s="2425"/>
      <c r="J25" s="2236"/>
      <c r="K25" s="2385"/>
      <c r="L25" s="2382"/>
      <c r="M25" s="2382"/>
      <c r="N25" s="2236"/>
      <c r="O25" s="1662"/>
      <c r="P25" s="2236"/>
      <c r="Q25" s="2236"/>
      <c r="R25" s="2236"/>
      <c r="S25" s="2236"/>
      <c r="T25" s="2236"/>
      <c r="U25" s="2236"/>
      <c r="V25" s="2236"/>
    </row>
    <row r="26" spans="1:28" ht="13.5" thickBot="1">
      <c r="A26" s="2409"/>
      <c r="B26" s="2410" t="s">
        <v>1058</v>
      </c>
      <c r="C26" s="2411"/>
      <c r="D26" s="2409" t="s">
        <v>1058</v>
      </c>
      <c r="E26" s="2412"/>
      <c r="F26" s="2426"/>
      <c r="G26" s="2426"/>
      <c r="H26" s="2426"/>
      <c r="I26" s="2426"/>
      <c r="J26" s="2236"/>
      <c r="K26" s="2385"/>
      <c r="L26" s="2382"/>
      <c r="M26" s="2382"/>
      <c r="N26" s="2236"/>
      <c r="O26" s="1662"/>
      <c r="P26" s="2236"/>
      <c r="Q26" s="2236"/>
      <c r="R26" s="2236"/>
      <c r="S26" s="2236"/>
      <c r="T26" s="2236"/>
      <c r="U26" s="2236"/>
      <c r="V26" s="2236"/>
    </row>
    <row r="27" spans="1:28" ht="13.5" thickTop="1">
      <c r="A27" s="3319" t="s">
        <v>2208</v>
      </c>
      <c r="B27" s="306" t="s">
        <v>2209</v>
      </c>
      <c r="C27" s="2216"/>
      <c r="D27" s="2217"/>
      <c r="E27" s="2425"/>
      <c r="F27" s="2425"/>
      <c r="G27" s="2425"/>
      <c r="H27" s="2425"/>
      <c r="I27" s="2425"/>
      <c r="J27" s="2236"/>
      <c r="K27" s="2386"/>
      <c r="L27" s="1662"/>
      <c r="M27" s="1662"/>
      <c r="N27" s="2236"/>
      <c r="O27" s="1662"/>
      <c r="P27" s="2236"/>
      <c r="Q27" s="2236"/>
      <c r="R27" s="2236"/>
      <c r="S27" s="2236"/>
      <c r="T27" s="2236"/>
      <c r="U27" s="2236"/>
      <c r="V27" s="2236"/>
    </row>
    <row r="28" spans="1:28">
      <c r="A28" s="3319"/>
      <c r="B28" s="288" t="s">
        <v>2210</v>
      </c>
      <c r="C28" s="2218"/>
      <c r="D28" s="2219"/>
      <c r="E28" s="2425"/>
      <c r="F28" s="2425"/>
      <c r="G28" s="2425"/>
      <c r="H28" s="2425"/>
      <c r="I28" s="2425"/>
      <c r="J28" s="2236"/>
      <c r="K28" s="2385"/>
      <c r="L28" s="2382"/>
      <c r="M28" s="2382"/>
      <c r="N28" s="2236"/>
      <c r="O28" s="1662"/>
      <c r="P28" s="2236"/>
      <c r="Q28" s="2236"/>
      <c r="R28" s="2236"/>
      <c r="S28" s="2236"/>
      <c r="T28" s="2236"/>
      <c r="U28" s="2236"/>
      <c r="V28" s="2236"/>
    </row>
    <row r="29" spans="1:28">
      <c r="A29" s="3319"/>
      <c r="B29" s="288" t="s">
        <v>2211</v>
      </c>
      <c r="C29" s="2220"/>
      <c r="D29" s="2221"/>
      <c r="E29" s="2425"/>
      <c r="F29" s="2425"/>
      <c r="G29" s="2425"/>
      <c r="H29" s="2425"/>
      <c r="I29" s="2425"/>
      <c r="J29" s="2236"/>
      <c r="K29" s="2385"/>
      <c r="L29" s="2382"/>
      <c r="M29" s="2382"/>
      <c r="N29" s="2236"/>
      <c r="O29" s="1662"/>
      <c r="P29" s="2236"/>
      <c r="Q29" s="2236"/>
      <c r="R29" s="2236"/>
      <c r="S29" s="2236"/>
      <c r="T29" s="2236"/>
      <c r="U29" s="2236"/>
      <c r="V29" s="2236"/>
    </row>
    <row r="30" spans="1:28">
      <c r="A30" s="3320"/>
      <c r="B30" s="288" t="s">
        <v>2212</v>
      </c>
      <c r="C30" s="3321"/>
      <c r="D30" s="3322"/>
      <c r="E30" s="2425"/>
      <c r="F30" s="2425"/>
      <c r="G30" s="2425"/>
      <c r="H30" s="2425"/>
      <c r="I30" s="2425"/>
      <c r="J30" s="2236"/>
      <c r="K30" s="2385"/>
      <c r="L30" s="2382"/>
      <c r="M30" s="2382"/>
      <c r="N30" s="2236"/>
      <c r="O30" s="1662"/>
      <c r="P30" s="2236"/>
      <c r="Q30" s="2236"/>
      <c r="R30" s="2236"/>
      <c r="S30" s="2236"/>
      <c r="T30" s="2236"/>
      <c r="U30" s="2236"/>
      <c r="V30" s="2236"/>
    </row>
    <row r="31" spans="1:28">
      <c r="A31" s="3323" t="s">
        <v>2213</v>
      </c>
      <c r="B31" s="2222" t="s">
        <v>3379</v>
      </c>
      <c r="C31" s="12" t="str">
        <f>IF(B31="现房","成新及维护状况正常否",IF(B31="在建","工程状态是否正常",IF(B31="土地","是否闲置","-")))</f>
        <v>成新及维护状况正常否</v>
      </c>
      <c r="D31" s="1273"/>
      <c r="E31" s="2223"/>
      <c r="F31" s="2425"/>
      <c r="G31" s="2425"/>
      <c r="H31" s="2425"/>
      <c r="I31" s="2425"/>
      <c r="J31" s="2236"/>
      <c r="K31" s="2384"/>
      <c r="L31" s="2382"/>
      <c r="M31" s="2382"/>
      <c r="N31" s="2236"/>
      <c r="O31" s="1662"/>
      <c r="P31" s="2236"/>
      <c r="Q31" s="2236"/>
      <c r="R31" s="2236"/>
      <c r="S31" s="2236"/>
      <c r="T31" s="2236"/>
      <c r="U31" s="2236"/>
      <c r="V31" s="2236"/>
    </row>
    <row r="32" spans="1:28">
      <c r="A32" s="3324"/>
      <c r="B32" s="2222"/>
      <c r="C32" s="12" t="str">
        <f>IF(B32="现房","成新及维护状况是否正常",IF(B32="在建","工程状态是否正常",IF(B32="土地","是否闲置","-")))</f>
        <v>-</v>
      </c>
      <c r="D32" s="1273"/>
      <c r="E32" s="2223"/>
      <c r="F32" s="2425"/>
      <c r="G32" s="2425"/>
      <c r="H32" s="2425"/>
      <c r="I32" s="2425"/>
      <c r="J32" s="2236"/>
      <c r="K32" s="2385"/>
      <c r="L32" s="2382"/>
      <c r="M32" s="2382"/>
      <c r="N32" s="2236"/>
      <c r="O32" s="1662"/>
      <c r="P32" s="2236"/>
      <c r="Q32" s="2236"/>
      <c r="R32" s="2236"/>
      <c r="S32" s="2236"/>
      <c r="T32" s="2236"/>
      <c r="U32" s="2236"/>
      <c r="V32" s="2236"/>
    </row>
    <row r="33" spans="1:30">
      <c r="A33" s="3324"/>
      <c r="B33" s="2225"/>
      <c r="C33" s="1470" t="str">
        <f>IF(B33="现房","成新及维护状况是否正常",IF(B33="在建","工程状态是否正常",IF(B33="土地","是否闲置","-")))</f>
        <v>-</v>
      </c>
      <c r="D33" s="1266"/>
      <c r="E33" s="2226"/>
      <c r="F33" s="2425"/>
      <c r="G33" s="2425"/>
      <c r="H33" s="2425"/>
      <c r="I33" s="2425"/>
      <c r="J33" s="2236"/>
      <c r="K33" s="2385"/>
      <c r="L33" s="2382"/>
      <c r="M33" s="2382"/>
      <c r="N33" s="2236"/>
      <c r="O33" s="1662"/>
      <c r="P33" s="2236"/>
      <c r="Q33" s="2236"/>
      <c r="R33" s="2236"/>
      <c r="S33" s="2236"/>
      <c r="T33" s="2236"/>
      <c r="U33" s="2236"/>
      <c r="V33" s="2236"/>
    </row>
    <row r="34" spans="1:30">
      <c r="A34" s="288" t="s">
        <v>2214</v>
      </c>
      <c r="B34" s="1862"/>
      <c r="C34" s="1862"/>
      <c r="D34" s="1862"/>
      <c r="E34" s="1862"/>
      <c r="F34" s="1862"/>
      <c r="G34" s="1862"/>
      <c r="H34" s="1862"/>
      <c r="I34" s="2425"/>
      <c r="J34" s="2236"/>
      <c r="K34" s="8">
        <f>COUNTIF(B34:H34,"——")</f>
        <v>0</v>
      </c>
      <c r="L34" s="309" t="s">
        <v>2215</v>
      </c>
      <c r="M34" s="309" t="s">
        <v>2216</v>
      </c>
      <c r="N34" s="309" t="s">
        <v>2217</v>
      </c>
      <c r="O34" s="309" t="s">
        <v>2218</v>
      </c>
      <c r="P34" s="309" t="s">
        <v>2219</v>
      </c>
      <c r="Q34" s="309" t="s">
        <v>2220</v>
      </c>
      <c r="R34" s="309" t="s">
        <v>2221</v>
      </c>
      <c r="S34" s="3318" t="s">
        <v>2222</v>
      </c>
      <c r="T34" s="309" t="str">
        <f>NUMBERSTRING(7-K34,1)&amp;"通"</f>
        <v>七通</v>
      </c>
      <c r="U34" s="2236"/>
      <c r="V34" s="2236"/>
    </row>
    <row r="35" spans="1:30">
      <c r="A35" s="2227"/>
      <c r="B35" s="3318" t="s">
        <v>2223</v>
      </c>
      <c r="C35" s="3318"/>
      <c r="D35" s="3318"/>
      <c r="E35" s="3318"/>
      <c r="F35" s="8">
        <f>C10</f>
        <v>0</v>
      </c>
      <c r="G35" s="2425"/>
      <c r="H35" s="2425"/>
      <c r="I35" s="2425"/>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318"/>
      <c r="T35" s="132" t="str">
        <f>IF(T34="一通",L35,IF(T34="二通",M35,IF(T34="三通",N35,IF(T34="四通",O35,IF(T34="五通",P35,IF(T34="六通",Q35,R35))))))</f>
        <v>、、、、、、</v>
      </c>
      <c r="U35" s="2236"/>
      <c r="V35" s="2236"/>
    </row>
    <row r="36" spans="1:30">
      <c r="A36" s="2175"/>
      <c r="B36" s="8" t="s">
        <v>2179</v>
      </c>
      <c r="C36" s="8" t="s">
        <v>2180</v>
      </c>
      <c r="D36" s="8" t="s">
        <v>2178</v>
      </c>
      <c r="E36" s="8" t="s">
        <v>2183</v>
      </c>
      <c r="F36" s="2781" t="s">
        <v>2577</v>
      </c>
      <c r="G36" s="2425"/>
      <c r="H36" s="2425"/>
      <c r="I36" s="2425"/>
      <c r="J36" s="2236"/>
      <c r="K36" s="2385"/>
      <c r="L36" s="2382"/>
      <c r="M36" s="2382"/>
      <c r="N36" s="2236"/>
      <c r="O36" s="1662"/>
      <c r="P36" s="2236"/>
      <c r="Q36" s="2236"/>
      <c r="R36" s="2236"/>
      <c r="S36" s="2236"/>
      <c r="T36" s="2236"/>
      <c r="U36" s="2236"/>
      <c r="V36" s="2236"/>
    </row>
    <row r="37" spans="1:30">
      <c r="A37" s="2398" t="s">
        <v>2224</v>
      </c>
      <c r="B37" s="2228" t="s">
        <v>303</v>
      </c>
      <c r="C37" s="2228"/>
      <c r="D37" s="2228"/>
      <c r="E37" s="2228"/>
      <c r="F37" s="2228"/>
      <c r="G37" s="2425"/>
      <c r="H37" s="2425"/>
      <c r="I37" s="2425"/>
      <c r="J37" s="2236"/>
      <c r="K37" s="2385"/>
      <c r="L37" s="2382"/>
      <c r="M37" s="2382"/>
      <c r="N37" s="2236"/>
      <c r="O37" s="1662"/>
      <c r="P37" s="2236"/>
      <c r="Q37" s="2236"/>
      <c r="R37" s="2236"/>
      <c r="S37" s="2236"/>
      <c r="T37" s="2236"/>
      <c r="U37" s="2236"/>
      <c r="V37" s="2236"/>
    </row>
    <row r="38" spans="1:30" ht="13.5" thickBot="1">
      <c r="A38" s="2399" t="s">
        <v>2225</v>
      </c>
      <c r="B38" s="2229" t="s">
        <v>2981</v>
      </c>
      <c r="C38" s="2229"/>
      <c r="D38" s="2229"/>
      <c r="E38" s="2229"/>
      <c r="F38" s="2229"/>
      <c r="G38" s="2426"/>
      <c r="H38" s="2426"/>
      <c r="I38" s="2426"/>
      <c r="J38" s="2236"/>
      <c r="K38" s="2385"/>
      <c r="L38" s="2382"/>
      <c r="M38" s="2382"/>
      <c r="N38" s="2236"/>
      <c r="O38" s="1662"/>
      <c r="P38" s="2236"/>
      <c r="Q38" s="2236"/>
      <c r="R38" s="2236"/>
      <c r="S38" s="2236"/>
      <c r="T38" s="2236"/>
      <c r="U38" s="2236"/>
      <c r="V38" s="2236"/>
    </row>
    <row r="39" spans="1:30" s="2232" customFormat="1" ht="14.25" thickTop="1" thickBot="1">
      <c r="A39" s="2230" t="s">
        <v>2226</v>
      </c>
      <c r="B39" s="2231"/>
      <c r="C39" s="2231"/>
      <c r="D39" s="2231"/>
      <c r="E39" s="2231"/>
      <c r="F39" s="2231"/>
      <c r="G39" s="2231"/>
      <c r="H39" s="2231"/>
      <c r="I39" s="2231"/>
      <c r="J39" s="2390"/>
      <c r="K39" s="2391"/>
      <c r="L39" s="2390"/>
      <c r="M39" s="2390"/>
      <c r="N39" s="2390"/>
      <c r="O39" s="2392"/>
      <c r="P39" s="2390"/>
      <c r="Q39" s="2390"/>
      <c r="R39" s="2390"/>
      <c r="S39" s="2390"/>
      <c r="T39" s="2390"/>
      <c r="U39" s="2390"/>
      <c r="V39" s="2390"/>
      <c r="W39" s="2393"/>
      <c r="X39" s="2393"/>
      <c r="Y39" s="2393"/>
      <c r="Z39" s="2393"/>
      <c r="AA39" s="2393"/>
      <c r="AB39" s="2393"/>
      <c r="AC39" s="2393"/>
      <c r="AD39" s="2393"/>
    </row>
    <row r="40" spans="1:30">
      <c r="A40" s="2174"/>
      <c r="B40" s="2174"/>
      <c r="C40" s="2174"/>
      <c r="D40" s="2174"/>
      <c r="E40" s="2174"/>
      <c r="F40" s="2174"/>
      <c r="G40" s="2174"/>
      <c r="H40" s="2174"/>
      <c r="I40" s="1458"/>
      <c r="J40" s="2236"/>
      <c r="K40" s="2384"/>
      <c r="L40" s="1662"/>
      <c r="M40" s="1662"/>
      <c r="N40" s="2236"/>
      <c r="O40" s="1662"/>
      <c r="P40" s="2236"/>
      <c r="Q40" s="2236"/>
      <c r="R40" s="2236"/>
      <c r="S40" s="2236"/>
      <c r="T40" s="2236"/>
      <c r="U40" s="2236"/>
      <c r="V40" s="2236"/>
    </row>
    <row r="41" spans="1:30">
      <c r="A41" s="2233" t="s">
        <v>2227</v>
      </c>
      <c r="B41" s="1619"/>
      <c r="C41" s="1273"/>
      <c r="D41" s="2174"/>
      <c r="E41" s="2174"/>
      <c r="F41" s="2174"/>
      <c r="G41" s="2174"/>
      <c r="H41" s="2174"/>
      <c r="I41" s="1458"/>
      <c r="J41" s="2236"/>
      <c r="K41" s="2385"/>
      <c r="L41" s="2382"/>
      <c r="M41" s="2382"/>
      <c r="N41" s="2236"/>
      <c r="O41" s="1662"/>
      <c r="P41" s="2236"/>
      <c r="Q41" s="2236"/>
      <c r="R41" s="2236"/>
      <c r="S41" s="2236"/>
      <c r="T41" s="2236"/>
      <c r="U41" s="2236"/>
      <c r="V41" s="2236"/>
    </row>
    <row r="42" spans="1:30" ht="25.5">
      <c r="A42" s="309" t="s">
        <v>2228</v>
      </c>
      <c r="B42" s="8" t="s">
        <v>2229</v>
      </c>
      <c r="C42" s="8" t="s">
        <v>2230</v>
      </c>
      <c r="D42" s="8" t="s">
        <v>2231</v>
      </c>
      <c r="E42" s="8" t="s">
        <v>2232</v>
      </c>
      <c r="F42" s="8" t="s">
        <v>2233</v>
      </c>
      <c r="G42" s="8" t="s">
        <v>2234</v>
      </c>
      <c r="H42" s="8" t="s">
        <v>2235</v>
      </c>
      <c r="I42" s="8" t="s">
        <v>2236</v>
      </c>
      <c r="J42" s="2394" t="s">
        <v>2237</v>
      </c>
      <c r="K42" s="2395" t="s">
        <v>2238</v>
      </c>
      <c r="L42" s="2395" t="s">
        <v>2239</v>
      </c>
      <c r="M42" s="2395" t="s">
        <v>2240</v>
      </c>
      <c r="N42" s="2388" t="s">
        <v>2241</v>
      </c>
      <c r="O42" s="2388" t="s">
        <v>2242</v>
      </c>
      <c r="P42" s="2388" t="s">
        <v>2243</v>
      </c>
      <c r="Q42" s="2389" t="s">
        <v>2244</v>
      </c>
      <c r="R42" s="2389" t="s">
        <v>2245</v>
      </c>
      <c r="S42" s="2236"/>
      <c r="T42" s="2236"/>
      <c r="U42" s="2236"/>
      <c r="V42" s="2236"/>
    </row>
    <row r="43" spans="1:30" s="1608"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8"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8"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8"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8"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8"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8"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8"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8" customFormat="1">
      <c r="A51" s="1454"/>
      <c r="B51" s="1454"/>
      <c r="C51" s="622"/>
      <c r="D51" s="622"/>
      <c r="E51" s="622"/>
      <c r="F51" s="622"/>
      <c r="G51" s="622"/>
      <c r="H51" s="622"/>
      <c r="I51" s="622"/>
      <c r="J51" s="2234"/>
      <c r="K51" s="2235"/>
      <c r="L51" s="2235"/>
      <c r="M51" s="622"/>
      <c r="N51" s="622"/>
      <c r="O51" s="622"/>
      <c r="P51" s="622"/>
      <c r="Q51" s="622"/>
      <c r="R51" s="622"/>
    </row>
    <row r="52" spans="1:22" s="1608" customFormat="1">
      <c r="A52" s="1454"/>
      <c r="B52" s="1454"/>
      <c r="C52" s="1454"/>
      <c r="D52" s="1454"/>
      <c r="E52" s="1454"/>
      <c r="F52" s="622"/>
      <c r="G52" s="1454"/>
      <c r="H52" s="1454"/>
      <c r="I52" s="1454"/>
      <c r="J52" s="2237"/>
      <c r="K52" s="2235"/>
      <c r="L52" s="2235"/>
      <c r="M52" s="2235"/>
      <c r="N52" s="1454"/>
      <c r="O52" s="1454"/>
      <c r="P52" s="1454"/>
      <c r="Q52" s="1454"/>
      <c r="R52" s="1454"/>
    </row>
    <row r="53" spans="1:22" s="1608" customFormat="1">
      <c r="A53" s="1454"/>
      <c r="B53" s="1454"/>
      <c r="C53" s="1454"/>
      <c r="D53" s="1454"/>
      <c r="E53" s="1454"/>
      <c r="F53" s="622"/>
      <c r="G53" s="1454"/>
      <c r="H53" s="1454"/>
      <c r="I53" s="1454"/>
      <c r="J53" s="2237"/>
      <c r="K53" s="2235"/>
      <c r="L53" s="2235"/>
      <c r="M53" s="2235"/>
      <c r="N53" s="1454"/>
      <c r="O53" s="1454"/>
      <c r="P53" s="1454"/>
      <c r="Q53" s="1454"/>
      <c r="R53" s="1454"/>
    </row>
    <row r="54" spans="1:22" s="1608" customFormat="1">
      <c r="A54" s="1454"/>
      <c r="B54" s="1454"/>
      <c r="C54" s="1454"/>
      <c r="D54" s="1454"/>
      <c r="E54" s="1454"/>
      <c r="F54" s="622"/>
      <c r="G54" s="1454"/>
      <c r="H54" s="1454"/>
      <c r="I54" s="1454"/>
      <c r="J54" s="2237"/>
      <c r="K54" s="2235"/>
      <c r="L54" s="2235"/>
      <c r="M54" s="2235"/>
      <c r="N54" s="1454"/>
      <c r="O54" s="1454"/>
      <c r="P54" s="1454"/>
      <c r="Q54" s="1454"/>
      <c r="R54" s="1454"/>
    </row>
    <row r="55" spans="1:22" s="1608" customFormat="1">
      <c r="A55" s="1454"/>
      <c r="B55" s="1454"/>
      <c r="C55" s="1454"/>
      <c r="D55" s="1454"/>
      <c r="E55" s="1454"/>
      <c r="F55" s="622"/>
      <c r="G55" s="1454"/>
      <c r="H55" s="1454"/>
      <c r="I55" s="1454"/>
      <c r="J55" s="2237"/>
      <c r="K55" s="2235"/>
      <c r="L55" s="2235"/>
      <c r="M55" s="2235"/>
      <c r="N55" s="1454"/>
      <c r="O55" s="1454"/>
      <c r="P55" s="1454"/>
      <c r="Q55" s="1454"/>
      <c r="R55" s="1454"/>
    </row>
    <row r="56" spans="1:22" s="1608"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1059</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1060</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1061</v>
      </c>
      <c r="B2" s="8" t="s">
        <v>1062</v>
      </c>
      <c r="C2" s="8" t="s">
        <v>1063</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1064</v>
      </c>
      <c r="AZ2" s="980" t="s">
        <v>1065</v>
      </c>
      <c r="BA2" s="8" t="s">
        <v>1066</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5979.5300000000007</v>
      </c>
      <c r="C3" s="1461" t="s">
        <v>1067</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1068</v>
      </c>
      <c r="B5" s="1251"/>
      <c r="C5" s="1251"/>
      <c r="D5" s="1252"/>
      <c r="E5" s="13" t="s">
        <v>0</v>
      </c>
      <c r="F5" s="13">
        <f>SUM(F13:F587)</f>
        <v>0</v>
      </c>
      <c r="G5" s="13">
        <f>SUM(G13:G587)</f>
        <v>5979.5300000000007</v>
      </c>
      <c r="H5" s="13">
        <f t="shared" ref="H5:AT5" si="0">SUM(H13:H656)</f>
        <v>5979.5300000000007</v>
      </c>
      <c r="I5" s="13">
        <f t="shared" si="0"/>
        <v>5979.5300000000007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1068</v>
      </c>
      <c r="AW5" s="1251"/>
      <c r="AX5" s="1251"/>
      <c r="AY5" s="14" t="s">
        <v>2</v>
      </c>
      <c r="AZ5" s="15">
        <f t="shared" ref="AZ5:BT5" si="1">SUM(AZ13:AZ656)</f>
        <v>5979.5300000000007</v>
      </c>
      <c r="BA5" s="15">
        <f t="shared" si="1"/>
        <v>5979.5300000000007</v>
      </c>
      <c r="BB5" s="15">
        <f t="shared" si="1"/>
        <v>5979.5300000000007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1069</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1069</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1070</v>
      </c>
      <c r="B7" s="1453" t="s">
        <v>1071</v>
      </c>
      <c r="C7" s="1453" t="s">
        <v>1072</v>
      </c>
      <c r="D7" s="1453" t="s">
        <v>1073</v>
      </c>
      <c r="E7" s="1453" t="s">
        <v>1074</v>
      </c>
      <c r="F7" s="1453" t="s">
        <v>1075</v>
      </c>
      <c r="G7" s="1470" t="s">
        <v>1076</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1077</v>
      </c>
      <c r="AV7" s="20" t="s">
        <v>1078</v>
      </c>
      <c r="AW7" s="1458" t="s">
        <v>1079</v>
      </c>
      <c r="AX7" s="20" t="s">
        <v>1072</v>
      </c>
      <c r="AY7" s="1251" t="s">
        <v>1080</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1081</v>
      </c>
      <c r="H8" s="1476" t="s">
        <v>1082</v>
      </c>
      <c r="I8" s="1477"/>
      <c r="J8" s="1261"/>
      <c r="K8" s="1261"/>
      <c r="L8" s="1261"/>
      <c r="M8" s="1261"/>
      <c r="N8" s="1261"/>
      <c r="O8" s="1261"/>
      <c r="P8" s="1261"/>
      <c r="Q8" s="1261"/>
      <c r="R8" s="1261"/>
      <c r="S8" s="1261"/>
      <c r="T8" s="1261"/>
      <c r="U8" s="1261"/>
      <c r="V8" s="1478"/>
      <c r="W8" s="1261"/>
      <c r="X8" s="1261"/>
      <c r="Y8" s="1261"/>
      <c r="Z8" s="1261"/>
      <c r="AA8" s="1478"/>
      <c r="AB8" s="1479"/>
      <c r="AC8" s="754" t="s">
        <v>1083</v>
      </c>
      <c r="AD8" s="1480"/>
      <c r="AE8" s="1472"/>
      <c r="AF8" s="1261"/>
      <c r="AG8" s="1261"/>
      <c r="AH8" s="1261"/>
      <c r="AI8" s="1261"/>
      <c r="AJ8" s="1261"/>
      <c r="AK8" s="1261"/>
      <c r="AL8" s="1261"/>
      <c r="AM8" s="1261"/>
      <c r="AN8" s="1261"/>
      <c r="AO8" s="1261"/>
      <c r="AP8" s="1261"/>
      <c r="AQ8" s="1261"/>
      <c r="AR8" s="1261"/>
      <c r="AS8" s="1261"/>
      <c r="AT8" s="1000" t="s">
        <v>1084</v>
      </c>
      <c r="AU8" s="1474" t="s">
        <v>1085</v>
      </c>
      <c r="AV8" s="1000"/>
      <c r="AW8" s="1459"/>
      <c r="AX8" s="1000"/>
      <c r="AY8" s="1458" t="s">
        <v>1086</v>
      </c>
      <c r="AZ8" s="1260" t="s">
        <v>1087</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1088</v>
      </c>
      <c r="I9" s="1483" t="s">
        <v>3664</v>
      </c>
      <c r="J9" s="754"/>
      <c r="K9" s="1483"/>
      <c r="L9" s="754"/>
      <c r="M9" s="1483"/>
      <c r="N9" s="754"/>
      <c r="O9" s="1483"/>
      <c r="P9" s="754"/>
      <c r="Q9" s="1483"/>
      <c r="R9" s="754"/>
      <c r="S9" s="1483"/>
      <c r="T9" s="754"/>
      <c r="U9" s="1483"/>
      <c r="V9" s="754"/>
      <c r="W9" s="1483"/>
      <c r="X9" s="1484"/>
      <c r="Y9" s="1483"/>
      <c r="Z9" s="754"/>
      <c r="AA9" s="1483"/>
      <c r="AB9" s="754"/>
      <c r="AC9" s="1475" t="s">
        <v>1088</v>
      </c>
      <c r="AD9" s="12" t="s">
        <v>1089</v>
      </c>
      <c r="AE9" s="1006"/>
      <c r="AF9" s="12" t="s">
        <v>1090</v>
      </c>
      <c r="AG9" s="1006"/>
      <c r="AH9" s="12" t="s">
        <v>1089</v>
      </c>
      <c r="AI9" s="1006"/>
      <c r="AJ9" s="12" t="s">
        <v>1090</v>
      </c>
      <c r="AK9" s="1006"/>
      <c r="AL9" s="12" t="s">
        <v>1089</v>
      </c>
      <c r="AM9" s="1006"/>
      <c r="AN9" s="12" t="s">
        <v>1090</v>
      </c>
      <c r="AO9" s="1006"/>
      <c r="AP9" s="12" t="s">
        <v>1089</v>
      </c>
      <c r="AQ9" s="1006"/>
      <c r="AR9" s="12" t="s">
        <v>1090</v>
      </c>
      <c r="AS9" s="1485"/>
      <c r="AT9" s="1474"/>
      <c r="AU9" s="1474" t="s">
        <v>1091</v>
      </c>
      <c r="AV9" s="1000"/>
      <c r="AW9" s="1459"/>
      <c r="AX9" s="1000"/>
      <c r="AY9" s="25"/>
      <c r="AZ9" s="25" t="s">
        <v>1081</v>
      </c>
      <c r="BA9" s="1486" t="s">
        <v>1092</v>
      </c>
      <c r="BB9" s="1487"/>
      <c r="BC9" s="1018"/>
      <c r="BD9" s="1018"/>
      <c r="BE9" s="1018"/>
      <c r="BF9" s="1018"/>
      <c r="BG9" s="1018"/>
      <c r="BH9" s="1018"/>
      <c r="BI9" s="1018"/>
      <c r="BJ9" s="1018"/>
      <c r="BK9" s="1488"/>
      <c r="BL9" s="12" t="s">
        <v>1093</v>
      </c>
      <c r="BM9" s="1261"/>
      <c r="BN9" s="1477"/>
      <c r="BO9" s="1261"/>
      <c r="BP9" s="1261"/>
      <c r="BQ9" s="1261"/>
      <c r="BR9" s="1261"/>
      <c r="BS9" s="1261"/>
      <c r="BT9" s="23"/>
    </row>
    <row r="10" spans="1:72" s="1481" customFormat="1" ht="12.75">
      <c r="A10" s="1474"/>
      <c r="B10" s="1474"/>
      <c r="C10" s="1474"/>
      <c r="D10" s="1474"/>
      <c r="E10" s="1474"/>
      <c r="F10" s="1474"/>
      <c r="G10" s="1000"/>
      <c r="H10" s="25"/>
      <c r="I10" s="1483" t="s">
        <v>670</v>
      </c>
      <c r="J10" s="754"/>
      <c r="K10" s="1489"/>
      <c r="L10" s="754"/>
      <c r="M10" s="1489"/>
      <c r="N10" s="754"/>
      <c r="O10" s="1489"/>
      <c r="P10" s="754"/>
      <c r="Q10" s="1489"/>
      <c r="R10" s="754"/>
      <c r="S10" s="1489"/>
      <c r="T10" s="754"/>
      <c r="U10" s="1489"/>
      <c r="V10" s="754"/>
      <c r="W10" s="1489"/>
      <c r="X10" s="754"/>
      <c r="Y10" s="1489"/>
      <c r="Z10" s="754"/>
      <c r="AA10" s="1489"/>
      <c r="AB10" s="754"/>
      <c r="AC10" s="1000"/>
      <c r="AD10" s="12" t="s">
        <v>1094</v>
      </c>
      <c r="AE10" s="1490"/>
      <c r="AF10" s="12" t="s">
        <v>1094</v>
      </c>
      <c r="AG10" s="1490"/>
      <c r="AH10" s="12" t="s">
        <v>1095</v>
      </c>
      <c r="AI10" s="1490"/>
      <c r="AJ10" s="12" t="s">
        <v>1095</v>
      </c>
      <c r="AK10" s="1490"/>
      <c r="AL10" s="12" t="s">
        <v>1096</v>
      </c>
      <c r="AM10" s="1006"/>
      <c r="AN10" s="12" t="s">
        <v>1096</v>
      </c>
      <c r="AO10" s="1006"/>
      <c r="AP10" s="12" t="s">
        <v>1097</v>
      </c>
      <c r="AQ10" s="1006"/>
      <c r="AR10" s="12" t="s">
        <v>1097</v>
      </c>
      <c r="AS10" s="1006"/>
      <c r="AT10" s="1474"/>
      <c r="AU10" s="1474"/>
      <c r="AV10" s="1000"/>
      <c r="AW10" s="1459"/>
      <c r="AX10" s="1000"/>
      <c r="AY10" s="25"/>
      <c r="AZ10" s="25"/>
      <c r="BA10" s="1491" t="s">
        <v>1088</v>
      </c>
      <c r="BB10" s="1492" t="str">
        <f>I9</f>
        <v>地下</v>
      </c>
      <c r="BC10" s="26">
        <f>K9</f>
        <v>0</v>
      </c>
      <c r="BD10" s="26">
        <f>M9</f>
        <v>0</v>
      </c>
      <c r="BE10" s="26">
        <f>O9</f>
        <v>0</v>
      </c>
      <c r="BF10" s="26">
        <f>Q9</f>
        <v>0</v>
      </c>
      <c r="BG10" s="26">
        <f>S9</f>
        <v>0</v>
      </c>
      <c r="BH10" s="26">
        <f>U9</f>
        <v>0</v>
      </c>
      <c r="BI10" s="26">
        <f>W9</f>
        <v>0</v>
      </c>
      <c r="BJ10" s="26">
        <f>Y9</f>
        <v>0</v>
      </c>
      <c r="BK10" s="26">
        <f>AA9</f>
        <v>0</v>
      </c>
      <c r="BL10" s="22" t="s">
        <v>1088</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1098</v>
      </c>
      <c r="AE11" s="1262"/>
      <c r="AF11" s="1496" t="s">
        <v>1098</v>
      </c>
      <c r="AG11" s="1262"/>
      <c r="AH11" s="1496" t="s">
        <v>1099</v>
      </c>
      <c r="AI11" s="1497"/>
      <c r="AJ11" s="1496" t="s">
        <v>1099</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0" t="s">
        <v>1101</v>
      </c>
      <c r="W12" s="8" t="s">
        <v>1100</v>
      </c>
      <c r="X12" s="8" t="s">
        <v>1101</v>
      </c>
      <c r="Y12" s="8" t="s">
        <v>1100</v>
      </c>
      <c r="Z12" s="8" t="s">
        <v>1101</v>
      </c>
      <c r="AA12" s="8" t="s">
        <v>1100</v>
      </c>
      <c r="AB12" s="8" t="s">
        <v>1101</v>
      </c>
      <c r="AC12" s="1501"/>
      <c r="AD12" s="1252"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499" t="s">
        <v>1101</v>
      </c>
      <c r="AT12" s="1502"/>
      <c r="AU12" s="1499"/>
      <c r="AV12" s="28"/>
      <c r="AW12" s="1458"/>
      <c r="AX12" s="28"/>
      <c r="AY12" s="1503"/>
      <c r="AZ12" s="25"/>
      <c r="BA12" s="1491"/>
      <c r="BB12" s="21">
        <f>I11</f>
        <v>0</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t="s">
        <v>3662</v>
      </c>
      <c r="D13" s="1505" t="s">
        <v>3661</v>
      </c>
      <c r="E13" s="13">
        <f>IF($C$3="是",ROUND($A$3*G13/$B$3,2),ROUND($A$3*(G13-AT13)/$B$3,2))</f>
        <v>0</v>
      </c>
      <c r="F13" s="29"/>
      <c r="G13" s="30">
        <f>H13+AC13+AT13</f>
        <v>2852.38</v>
      </c>
      <c r="H13" s="17">
        <f>SUMIF(I$12:AB$12,"总值",I13:AB13)</f>
        <v>2852.38</v>
      </c>
      <c r="I13" s="1506">
        <v>2852.38</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t="str">
        <f t="shared" si="6"/>
        <v>地下2层</v>
      </c>
      <c r="AY13" s="1252">
        <f>ROUND($AY$6*AZ13/$AZ$5,2)</f>
        <v>0</v>
      </c>
      <c r="AZ13" s="13">
        <f>BA13+BL13</f>
        <v>2852.38</v>
      </c>
      <c r="BA13" s="13">
        <f>SUM(BB13:BK13)</f>
        <v>2852.38</v>
      </c>
      <c r="BB13" s="13">
        <f>IF($D13="是",I13-J13,0)</f>
        <v>2852.38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t="s">
        <v>3663</v>
      </c>
      <c r="D14" s="1505" t="s">
        <v>3661</v>
      </c>
      <c r="E14" s="13">
        <f>IF($C$3="是",ROUND($A$3*G14/$B$3,2),ROUND($A$3*(G14-AT14)/$B$3,2))</f>
        <v>0</v>
      </c>
      <c r="F14" s="29"/>
      <c r="G14" s="30">
        <f>H14+AC14+AT14</f>
        <v>3127.15</v>
      </c>
      <c r="H14" s="17">
        <f>SUMIF(I$12:AB$12,"总值",I14:AB14)</f>
        <v>3127.15</v>
      </c>
      <c r="I14" s="1506">
        <v>3127.15</v>
      </c>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t="str">
        <f t="shared" si="6"/>
        <v>地下3层</v>
      </c>
      <c r="AY14" s="1252">
        <f>ROUND($AY$6*AZ14/$AZ$5,2)</f>
        <v>0</v>
      </c>
      <c r="AZ14" s="13">
        <f>BA14+BL14</f>
        <v>3127.15</v>
      </c>
      <c r="BA14" s="13">
        <f>SUM(BB14:BK14)</f>
        <v>3127.15</v>
      </c>
      <c r="BB14" s="13">
        <f>IF($D14="是",I14-J14,0)</f>
        <v>3127.15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7"/>
  <sheetViews>
    <sheetView zoomScale="110" zoomScaleNormal="110" workbookViewId="0">
      <pane ySplit="1" topLeftCell="A265" activePane="bottomLeft" state="frozen"/>
      <selection pane="bottomLeft" activeCell="G279" sqref="G279"/>
    </sheetView>
  </sheetViews>
  <sheetFormatPr defaultRowHeight="20.100000000000001" customHeight="1"/>
  <cols>
    <col min="1" max="1" width="5.875" style="3125" customWidth="1"/>
    <col min="2" max="2" width="24" style="3125" customWidth="1"/>
    <col min="3" max="3" width="6.875" style="3125" customWidth="1"/>
    <col min="4" max="4" width="7.875" style="3125" customWidth="1"/>
    <col min="5" max="5" width="9" style="3125"/>
    <col min="6" max="6" width="9.5" style="3125" bestFit="1" customWidth="1"/>
    <col min="7" max="16384" width="9" style="3125"/>
  </cols>
  <sheetData>
    <row r="1" spans="1:7" ht="20.100000000000001" customHeight="1">
      <c r="A1" s="3124" t="s">
        <v>3380</v>
      </c>
      <c r="B1" s="3124" t="s">
        <v>3381</v>
      </c>
      <c r="C1" s="3124" t="s">
        <v>3382</v>
      </c>
      <c r="D1" s="3124" t="s">
        <v>3383</v>
      </c>
      <c r="E1" s="3124" t="s">
        <v>3384</v>
      </c>
      <c r="F1" s="3124" t="s">
        <v>3385</v>
      </c>
      <c r="G1" s="3124" t="s">
        <v>3386</v>
      </c>
    </row>
    <row r="2" spans="1:7" ht="20.100000000000001" customHeight="1">
      <c r="A2" s="3124">
        <v>1</v>
      </c>
      <c r="B2" s="3124" t="s">
        <v>3387</v>
      </c>
      <c r="C2" s="3124" t="s">
        <v>3388</v>
      </c>
      <c r="D2" s="3124" t="s">
        <v>3389</v>
      </c>
      <c r="E2" s="3124" t="s">
        <v>3390</v>
      </c>
      <c r="F2" s="3124">
        <v>43.36</v>
      </c>
      <c r="G2" s="3124"/>
    </row>
    <row r="3" spans="1:7" ht="20.100000000000001" customHeight="1">
      <c r="A3" s="3124">
        <v>2</v>
      </c>
      <c r="B3" s="3124" t="s">
        <v>3387</v>
      </c>
      <c r="C3" s="3124" t="s">
        <v>3388</v>
      </c>
      <c r="D3" s="3124" t="s">
        <v>3391</v>
      </c>
      <c r="E3" s="3124" t="s">
        <v>3390</v>
      </c>
      <c r="F3" s="3124">
        <v>43.36</v>
      </c>
      <c r="G3" s="3124"/>
    </row>
    <row r="4" spans="1:7" ht="20.100000000000001" customHeight="1">
      <c r="A4" s="3124">
        <v>3</v>
      </c>
      <c r="B4" s="3124" t="s">
        <v>3387</v>
      </c>
      <c r="C4" s="3124" t="s">
        <v>3388</v>
      </c>
      <c r="D4" s="3124" t="s">
        <v>3392</v>
      </c>
      <c r="E4" s="3124" t="s">
        <v>3390</v>
      </c>
      <c r="F4" s="3124">
        <v>45.24</v>
      </c>
      <c r="G4" s="3124"/>
    </row>
    <row r="5" spans="1:7" ht="20.100000000000001" customHeight="1">
      <c r="A5" s="3124">
        <v>4</v>
      </c>
      <c r="B5" s="3124" t="s">
        <v>3387</v>
      </c>
      <c r="C5" s="3124" t="s">
        <v>3388</v>
      </c>
      <c r="D5" s="3124" t="s">
        <v>3393</v>
      </c>
      <c r="E5" s="3124" t="s">
        <v>3390</v>
      </c>
      <c r="F5" s="3124">
        <v>43.36</v>
      </c>
      <c r="G5" s="3124"/>
    </row>
    <row r="6" spans="1:7" ht="20.100000000000001" customHeight="1">
      <c r="A6" s="3124">
        <v>5</v>
      </c>
      <c r="B6" s="3124" t="s">
        <v>3387</v>
      </c>
      <c r="C6" s="3124" t="s">
        <v>3388</v>
      </c>
      <c r="D6" s="3124" t="s">
        <v>3394</v>
      </c>
      <c r="E6" s="3124" t="s">
        <v>3390</v>
      </c>
      <c r="F6" s="3124">
        <v>45.24</v>
      </c>
      <c r="G6" s="3124"/>
    </row>
    <row r="7" spans="1:7" ht="20.100000000000001" customHeight="1">
      <c r="A7" s="3124">
        <v>6</v>
      </c>
      <c r="B7" s="3124" t="s">
        <v>3387</v>
      </c>
      <c r="C7" s="3124" t="s">
        <v>3388</v>
      </c>
      <c r="D7" s="3124" t="s">
        <v>3395</v>
      </c>
      <c r="E7" s="3124" t="s">
        <v>3390</v>
      </c>
      <c r="F7" s="3124">
        <v>45.24</v>
      </c>
      <c r="G7" s="3124"/>
    </row>
    <row r="8" spans="1:7" ht="20.100000000000001" customHeight="1">
      <c r="A8" s="3124">
        <v>7</v>
      </c>
      <c r="B8" s="3124" t="s">
        <v>3387</v>
      </c>
      <c r="C8" s="3124" t="s">
        <v>3388</v>
      </c>
      <c r="D8" s="3124" t="s">
        <v>3396</v>
      </c>
      <c r="E8" s="3124" t="s">
        <v>3390</v>
      </c>
      <c r="F8" s="3124">
        <v>45.24</v>
      </c>
      <c r="G8" s="3124"/>
    </row>
    <row r="9" spans="1:7" ht="20.100000000000001" customHeight="1">
      <c r="A9" s="3124">
        <v>8</v>
      </c>
      <c r="B9" s="3124" t="s">
        <v>3387</v>
      </c>
      <c r="C9" s="3124" t="s">
        <v>3388</v>
      </c>
      <c r="D9" s="3124" t="s">
        <v>3397</v>
      </c>
      <c r="E9" s="3124" t="s">
        <v>3390</v>
      </c>
      <c r="F9" s="3124">
        <v>45.24</v>
      </c>
      <c r="G9" s="3124"/>
    </row>
    <row r="10" spans="1:7" ht="20.100000000000001" customHeight="1">
      <c r="A10" s="3124">
        <v>9</v>
      </c>
      <c r="B10" s="3124" t="s">
        <v>3387</v>
      </c>
      <c r="C10" s="3124" t="s">
        <v>3388</v>
      </c>
      <c r="D10" s="3124" t="s">
        <v>3398</v>
      </c>
      <c r="E10" s="3124" t="s">
        <v>3390</v>
      </c>
      <c r="F10" s="3124">
        <v>47.05</v>
      </c>
      <c r="G10" s="3124"/>
    </row>
    <row r="11" spans="1:7" ht="20.100000000000001" customHeight="1">
      <c r="A11" s="3124">
        <v>10</v>
      </c>
      <c r="B11" s="3124" t="s">
        <v>3387</v>
      </c>
      <c r="C11" s="3124" t="s">
        <v>3388</v>
      </c>
      <c r="D11" s="3124" t="s">
        <v>3399</v>
      </c>
      <c r="E11" s="3124" t="s">
        <v>3390</v>
      </c>
      <c r="F11" s="3124">
        <v>47.05</v>
      </c>
      <c r="G11" s="3124"/>
    </row>
    <row r="12" spans="1:7" ht="20.100000000000001" customHeight="1">
      <c r="A12" s="3124">
        <v>11</v>
      </c>
      <c r="B12" s="3124" t="s">
        <v>3387</v>
      </c>
      <c r="C12" s="3124" t="s">
        <v>3388</v>
      </c>
      <c r="D12" s="3124" t="s">
        <v>3400</v>
      </c>
      <c r="E12" s="3124" t="s">
        <v>3390</v>
      </c>
      <c r="F12" s="3124">
        <v>47.01</v>
      </c>
      <c r="G12" s="3124"/>
    </row>
    <row r="13" spans="1:7" ht="20.100000000000001" customHeight="1">
      <c r="A13" s="3124">
        <v>12</v>
      </c>
      <c r="B13" s="3124" t="s">
        <v>3387</v>
      </c>
      <c r="C13" s="3124" t="s">
        <v>3388</v>
      </c>
      <c r="D13" s="3124" t="s">
        <v>3401</v>
      </c>
      <c r="E13" s="3124" t="s">
        <v>3390</v>
      </c>
      <c r="F13" s="3124">
        <v>45.24</v>
      </c>
      <c r="G13" s="3124"/>
    </row>
    <row r="14" spans="1:7" ht="20.100000000000001" customHeight="1">
      <c r="A14" s="3124">
        <v>13</v>
      </c>
      <c r="B14" s="3124" t="s">
        <v>3387</v>
      </c>
      <c r="C14" s="3124" t="s">
        <v>3388</v>
      </c>
      <c r="D14" s="3124" t="s">
        <v>3402</v>
      </c>
      <c r="E14" s="3124" t="s">
        <v>3390</v>
      </c>
      <c r="F14" s="3124">
        <v>43.36</v>
      </c>
      <c r="G14" s="3124"/>
    </row>
    <row r="15" spans="1:7" ht="20.100000000000001" customHeight="1">
      <c r="A15" s="3124">
        <v>14</v>
      </c>
      <c r="B15" s="3124" t="s">
        <v>3387</v>
      </c>
      <c r="C15" s="3124" t="s">
        <v>3388</v>
      </c>
      <c r="D15" s="3124" t="s">
        <v>3403</v>
      </c>
      <c r="E15" s="3124" t="s">
        <v>3390</v>
      </c>
      <c r="F15" s="3124">
        <v>45.24</v>
      </c>
      <c r="G15" s="3124"/>
    </row>
    <row r="16" spans="1:7" ht="20.100000000000001" customHeight="1">
      <c r="A16" s="3124">
        <v>15</v>
      </c>
      <c r="B16" s="3124" t="s">
        <v>3387</v>
      </c>
      <c r="C16" s="3124" t="s">
        <v>3388</v>
      </c>
      <c r="D16" s="3124" t="s">
        <v>3404</v>
      </c>
      <c r="E16" s="3124" t="s">
        <v>3390</v>
      </c>
      <c r="F16" s="3124">
        <v>45.24</v>
      </c>
      <c r="G16" s="3124"/>
    </row>
    <row r="17" spans="1:7" ht="20.100000000000001" customHeight="1">
      <c r="A17" s="3124">
        <v>16</v>
      </c>
      <c r="B17" s="3124" t="s">
        <v>3387</v>
      </c>
      <c r="C17" s="3124" t="s">
        <v>3388</v>
      </c>
      <c r="D17" s="3124" t="s">
        <v>3405</v>
      </c>
      <c r="E17" s="3124" t="s">
        <v>3390</v>
      </c>
      <c r="F17" s="3124">
        <v>39.590000000000003</v>
      </c>
      <c r="G17" s="3124"/>
    </row>
    <row r="18" spans="1:7" ht="20.100000000000001" customHeight="1">
      <c r="A18" s="3124">
        <v>17</v>
      </c>
      <c r="B18" s="3124" t="s">
        <v>3387</v>
      </c>
      <c r="C18" s="3124" t="s">
        <v>3388</v>
      </c>
      <c r="D18" s="3124" t="s">
        <v>3406</v>
      </c>
      <c r="E18" s="3124" t="s">
        <v>3390</v>
      </c>
      <c r="F18" s="3124">
        <v>45.24</v>
      </c>
      <c r="G18" s="3124"/>
    </row>
    <row r="19" spans="1:7" ht="20.100000000000001" customHeight="1">
      <c r="A19" s="3124">
        <v>18</v>
      </c>
      <c r="B19" s="3124" t="s">
        <v>3387</v>
      </c>
      <c r="C19" s="3124" t="s">
        <v>3388</v>
      </c>
      <c r="D19" s="3124" t="s">
        <v>3407</v>
      </c>
      <c r="E19" s="3124" t="s">
        <v>3390</v>
      </c>
      <c r="F19" s="3124">
        <v>45.24</v>
      </c>
      <c r="G19" s="3124"/>
    </row>
    <row r="20" spans="1:7" ht="20.100000000000001" customHeight="1">
      <c r="A20" s="3124">
        <v>19</v>
      </c>
      <c r="B20" s="3124" t="s">
        <v>3387</v>
      </c>
      <c r="C20" s="3124" t="s">
        <v>3388</v>
      </c>
      <c r="D20" s="3124" t="s">
        <v>3408</v>
      </c>
      <c r="E20" s="3124" t="s">
        <v>3390</v>
      </c>
      <c r="F20" s="3124">
        <v>35.82</v>
      </c>
      <c r="G20" s="3124"/>
    </row>
    <row r="21" spans="1:7" ht="20.100000000000001" customHeight="1">
      <c r="A21" s="3124">
        <v>20</v>
      </c>
      <c r="B21" s="3124" t="s">
        <v>3387</v>
      </c>
      <c r="C21" s="3124" t="s">
        <v>3388</v>
      </c>
      <c r="D21" s="3124" t="s">
        <v>3409</v>
      </c>
      <c r="E21" s="3124" t="s">
        <v>3390</v>
      </c>
      <c r="F21" s="3124">
        <v>45.24</v>
      </c>
      <c r="G21" s="3124"/>
    </row>
    <row r="22" spans="1:7" ht="20.100000000000001" customHeight="1">
      <c r="A22" s="3124">
        <v>21</v>
      </c>
      <c r="B22" s="3124" t="s">
        <v>3387</v>
      </c>
      <c r="C22" s="3124" t="s">
        <v>3388</v>
      </c>
      <c r="D22" s="3124" t="s">
        <v>3410</v>
      </c>
      <c r="E22" s="3124" t="s">
        <v>3390</v>
      </c>
      <c r="F22" s="3124">
        <v>43.36</v>
      </c>
      <c r="G22" s="3124"/>
    </row>
    <row r="23" spans="1:7" ht="20.100000000000001" customHeight="1">
      <c r="A23" s="3124">
        <v>22</v>
      </c>
      <c r="B23" s="3124" t="s">
        <v>3387</v>
      </c>
      <c r="C23" s="3124" t="s">
        <v>3388</v>
      </c>
      <c r="D23" s="3124" t="s">
        <v>3411</v>
      </c>
      <c r="E23" s="3124" t="s">
        <v>3390</v>
      </c>
      <c r="F23" s="3124">
        <v>45.24</v>
      </c>
      <c r="G23" s="3124"/>
    </row>
    <row r="24" spans="1:7" ht="20.100000000000001" customHeight="1">
      <c r="A24" s="3124">
        <v>23</v>
      </c>
      <c r="B24" s="3124" t="s">
        <v>3387</v>
      </c>
      <c r="C24" s="3124" t="s">
        <v>3388</v>
      </c>
      <c r="D24" s="3124" t="s">
        <v>3412</v>
      </c>
      <c r="E24" s="3124" t="s">
        <v>3390</v>
      </c>
      <c r="F24" s="3124">
        <v>45.24</v>
      </c>
      <c r="G24" s="3124"/>
    </row>
    <row r="25" spans="1:7" ht="20.100000000000001" customHeight="1">
      <c r="A25" s="3124">
        <v>24</v>
      </c>
      <c r="B25" s="3124" t="s">
        <v>3387</v>
      </c>
      <c r="C25" s="3124" t="s">
        <v>3388</v>
      </c>
      <c r="D25" s="3124" t="s">
        <v>3413</v>
      </c>
      <c r="E25" s="3124" t="s">
        <v>3390</v>
      </c>
      <c r="F25" s="3124">
        <v>45.24</v>
      </c>
      <c r="G25" s="3124"/>
    </row>
    <row r="26" spans="1:7" ht="20.100000000000001" customHeight="1">
      <c r="A26" s="3124">
        <v>25</v>
      </c>
      <c r="B26" s="3124" t="s">
        <v>3387</v>
      </c>
      <c r="C26" s="3124" t="s">
        <v>3388</v>
      </c>
      <c r="D26" s="3124" t="s">
        <v>3414</v>
      </c>
      <c r="E26" s="3124" t="s">
        <v>3390</v>
      </c>
      <c r="F26" s="3124">
        <v>45.24</v>
      </c>
      <c r="G26" s="3124"/>
    </row>
    <row r="27" spans="1:7" ht="20.100000000000001" customHeight="1">
      <c r="A27" s="3124">
        <v>26</v>
      </c>
      <c r="B27" s="3124" t="s">
        <v>3387</v>
      </c>
      <c r="C27" s="3124" t="s">
        <v>3388</v>
      </c>
      <c r="D27" s="3124" t="s">
        <v>3415</v>
      </c>
      <c r="E27" s="3124" t="s">
        <v>3390</v>
      </c>
      <c r="F27" s="3124">
        <v>45.24</v>
      </c>
      <c r="G27" s="3124"/>
    </row>
    <row r="28" spans="1:7" ht="20.100000000000001" customHeight="1">
      <c r="A28" s="3124">
        <v>27</v>
      </c>
      <c r="B28" s="3124" t="s">
        <v>3387</v>
      </c>
      <c r="C28" s="3124" t="s">
        <v>3388</v>
      </c>
      <c r="D28" s="3124" t="s">
        <v>3416</v>
      </c>
      <c r="E28" s="3124" t="s">
        <v>3390</v>
      </c>
      <c r="F28" s="3124">
        <v>45.24</v>
      </c>
      <c r="G28" s="3124"/>
    </row>
    <row r="29" spans="1:7" ht="20.100000000000001" customHeight="1">
      <c r="A29" s="3124">
        <v>28</v>
      </c>
      <c r="B29" s="3124" t="s">
        <v>3387</v>
      </c>
      <c r="C29" s="3124" t="s">
        <v>3388</v>
      </c>
      <c r="D29" s="3124" t="s">
        <v>3417</v>
      </c>
      <c r="E29" s="3124" t="s">
        <v>3390</v>
      </c>
      <c r="F29" s="3124">
        <v>43.36</v>
      </c>
      <c r="G29" s="3124"/>
    </row>
    <row r="30" spans="1:7" ht="20.100000000000001" customHeight="1">
      <c r="A30" s="3124">
        <v>29</v>
      </c>
      <c r="B30" s="3124" t="s">
        <v>3387</v>
      </c>
      <c r="C30" s="3124" t="s">
        <v>3388</v>
      </c>
      <c r="D30" s="3124" t="s">
        <v>3418</v>
      </c>
      <c r="E30" s="3124" t="s">
        <v>3390</v>
      </c>
      <c r="F30" s="3124">
        <v>47.05</v>
      </c>
      <c r="G30" s="3124"/>
    </row>
    <row r="31" spans="1:7" ht="20.100000000000001" customHeight="1">
      <c r="A31" s="3124">
        <v>30</v>
      </c>
      <c r="B31" s="3124" t="s">
        <v>3387</v>
      </c>
      <c r="C31" s="3124" t="s">
        <v>3388</v>
      </c>
      <c r="D31" s="3124" t="s">
        <v>3419</v>
      </c>
      <c r="E31" s="3124" t="s">
        <v>3390</v>
      </c>
      <c r="F31" s="3124">
        <v>45.09</v>
      </c>
      <c r="G31" s="3124"/>
    </row>
    <row r="32" spans="1:7" ht="20.100000000000001" customHeight="1">
      <c r="A32" s="3124">
        <v>31</v>
      </c>
      <c r="B32" s="3124" t="s">
        <v>3387</v>
      </c>
      <c r="C32" s="3124" t="s">
        <v>3388</v>
      </c>
      <c r="D32" s="3124" t="s">
        <v>3420</v>
      </c>
      <c r="E32" s="3124" t="s">
        <v>3390</v>
      </c>
      <c r="F32" s="3124">
        <v>47.05</v>
      </c>
      <c r="G32" s="3124"/>
    </row>
    <row r="33" spans="1:11" ht="20.100000000000001" customHeight="1">
      <c r="A33" s="3124">
        <v>32</v>
      </c>
      <c r="B33" s="3124" t="s">
        <v>3387</v>
      </c>
      <c r="C33" s="3124" t="s">
        <v>3388</v>
      </c>
      <c r="D33" s="3124" t="s">
        <v>3421</v>
      </c>
      <c r="E33" s="3124" t="s">
        <v>3390</v>
      </c>
      <c r="F33" s="3124">
        <v>47.05</v>
      </c>
      <c r="G33" s="3124"/>
      <c r="I33" s="3125">
        <f>SUM(F6:F33)</f>
        <v>1256.6799999999998</v>
      </c>
      <c r="J33" s="3125">
        <f>21.91+23.92</f>
        <v>45.83</v>
      </c>
      <c r="K33" s="3125">
        <f>I33+J33</f>
        <v>1302.5099999999998</v>
      </c>
    </row>
    <row r="34" spans="1:11" ht="20.100000000000001" customHeight="1">
      <c r="A34" s="3124">
        <v>33</v>
      </c>
      <c r="B34" s="3124" t="s">
        <v>3387</v>
      </c>
      <c r="C34" s="3124" t="s">
        <v>3388</v>
      </c>
      <c r="D34" s="3124" t="s">
        <v>3422</v>
      </c>
      <c r="E34" s="3124" t="s">
        <v>3390</v>
      </c>
      <c r="F34" s="3124">
        <v>45.09</v>
      </c>
      <c r="G34" s="3124"/>
    </row>
    <row r="35" spans="1:11" ht="20.100000000000001" customHeight="1">
      <c r="A35" s="3124">
        <v>34</v>
      </c>
      <c r="B35" s="3124" t="s">
        <v>3387</v>
      </c>
      <c r="C35" s="3124" t="s">
        <v>3388</v>
      </c>
      <c r="D35" s="3124" t="s">
        <v>3423</v>
      </c>
      <c r="E35" s="3124" t="s">
        <v>3390</v>
      </c>
      <c r="F35" s="3124">
        <v>47.05</v>
      </c>
      <c r="G35" s="3124"/>
    </row>
    <row r="36" spans="1:11" ht="20.100000000000001" customHeight="1">
      <c r="A36" s="3124">
        <v>35</v>
      </c>
      <c r="B36" s="3124" t="s">
        <v>3387</v>
      </c>
      <c r="C36" s="3124" t="s">
        <v>3388</v>
      </c>
      <c r="D36" s="3124" t="s">
        <v>3424</v>
      </c>
      <c r="E36" s="3124" t="s">
        <v>3390</v>
      </c>
      <c r="F36" s="3124">
        <v>47.05</v>
      </c>
      <c r="G36" s="3124"/>
    </row>
    <row r="37" spans="1:11" ht="20.100000000000001" customHeight="1">
      <c r="A37" s="3124">
        <v>36</v>
      </c>
      <c r="B37" s="3124" t="s">
        <v>3387</v>
      </c>
      <c r="C37" s="3124" t="s">
        <v>3388</v>
      </c>
      <c r="D37" s="3124" t="s">
        <v>3425</v>
      </c>
      <c r="E37" s="3124" t="s">
        <v>3390</v>
      </c>
      <c r="F37" s="3124">
        <v>45.09</v>
      </c>
      <c r="G37" s="3124"/>
    </row>
    <row r="38" spans="1:11" ht="20.100000000000001" customHeight="1">
      <c r="A38" s="3124">
        <v>37</v>
      </c>
      <c r="B38" s="3124" t="s">
        <v>3387</v>
      </c>
      <c r="C38" s="3124" t="s">
        <v>3388</v>
      </c>
      <c r="D38" s="3124" t="s">
        <v>3426</v>
      </c>
      <c r="E38" s="3124" t="s">
        <v>3390</v>
      </c>
      <c r="F38" s="3124">
        <v>47.05</v>
      </c>
      <c r="G38" s="3124"/>
    </row>
    <row r="39" spans="1:11" ht="20.100000000000001" customHeight="1">
      <c r="A39" s="3124">
        <v>38</v>
      </c>
      <c r="B39" s="3124" t="s">
        <v>3387</v>
      </c>
      <c r="C39" s="3124" t="s">
        <v>3388</v>
      </c>
      <c r="D39" s="3124" t="s">
        <v>3427</v>
      </c>
      <c r="E39" s="3124" t="s">
        <v>3390</v>
      </c>
      <c r="F39" s="3124">
        <v>45.24</v>
      </c>
      <c r="G39" s="3124"/>
    </row>
    <row r="40" spans="1:11" ht="20.100000000000001" customHeight="1">
      <c r="A40" s="3124">
        <v>39</v>
      </c>
      <c r="B40" s="3124" t="s">
        <v>3387</v>
      </c>
      <c r="C40" s="3124" t="s">
        <v>3388</v>
      </c>
      <c r="D40" s="3124" t="s">
        <v>3428</v>
      </c>
      <c r="E40" s="3124" t="s">
        <v>3390</v>
      </c>
      <c r="F40" s="3124">
        <v>37.700000000000003</v>
      </c>
      <c r="G40" s="3124"/>
    </row>
    <row r="41" spans="1:11" ht="20.100000000000001" customHeight="1">
      <c r="A41" s="3124">
        <v>40</v>
      </c>
      <c r="B41" s="3124" t="s">
        <v>3387</v>
      </c>
      <c r="C41" s="3124" t="s">
        <v>3388</v>
      </c>
      <c r="D41" s="3124" t="s">
        <v>3429</v>
      </c>
      <c r="E41" s="3124" t="s">
        <v>3390</v>
      </c>
      <c r="F41" s="3124">
        <v>45.24</v>
      </c>
      <c r="G41" s="3124"/>
    </row>
    <row r="42" spans="1:11" ht="20.100000000000001" customHeight="1">
      <c r="A42" s="3124">
        <v>41</v>
      </c>
      <c r="B42" s="3124" t="s">
        <v>3387</v>
      </c>
      <c r="C42" s="3124" t="s">
        <v>3388</v>
      </c>
      <c r="D42" s="3124" t="s">
        <v>3430</v>
      </c>
      <c r="E42" s="3124" t="s">
        <v>3390</v>
      </c>
      <c r="F42" s="3124">
        <v>47.05</v>
      </c>
      <c r="G42" s="3124"/>
    </row>
    <row r="43" spans="1:11" ht="20.100000000000001" customHeight="1">
      <c r="A43" s="3124">
        <v>42</v>
      </c>
      <c r="B43" s="3124" t="s">
        <v>3387</v>
      </c>
      <c r="C43" s="3124" t="s">
        <v>3388</v>
      </c>
      <c r="D43" s="3124" t="s">
        <v>3431</v>
      </c>
      <c r="E43" s="3124" t="s">
        <v>3390</v>
      </c>
      <c r="F43" s="3124">
        <v>45.09</v>
      </c>
      <c r="G43" s="3124"/>
    </row>
    <row r="44" spans="1:11" ht="20.100000000000001" customHeight="1">
      <c r="A44" s="3124">
        <v>43</v>
      </c>
      <c r="B44" s="3124" t="s">
        <v>3387</v>
      </c>
      <c r="C44" s="3124" t="s">
        <v>3388</v>
      </c>
      <c r="D44" s="3124" t="s">
        <v>3432</v>
      </c>
      <c r="E44" s="3124" t="s">
        <v>3390</v>
      </c>
      <c r="F44" s="3124">
        <v>47.05</v>
      </c>
      <c r="G44" s="3124"/>
    </row>
    <row r="45" spans="1:11" ht="20.100000000000001" customHeight="1">
      <c r="A45" s="3124">
        <v>44</v>
      </c>
      <c r="B45" s="3124" t="s">
        <v>3387</v>
      </c>
      <c r="C45" s="3124" t="s">
        <v>3388</v>
      </c>
      <c r="D45" s="3124" t="s">
        <v>3433</v>
      </c>
      <c r="E45" s="3124" t="s">
        <v>3390</v>
      </c>
      <c r="F45" s="3124">
        <v>47.05</v>
      </c>
      <c r="G45" s="3124"/>
    </row>
    <row r="46" spans="1:11" ht="20.100000000000001" customHeight="1">
      <c r="A46" s="3124">
        <v>45</v>
      </c>
      <c r="B46" s="3124" t="s">
        <v>3387</v>
      </c>
      <c r="C46" s="3124" t="s">
        <v>3388</v>
      </c>
      <c r="D46" s="3124" t="s">
        <v>3434</v>
      </c>
      <c r="E46" s="3124" t="s">
        <v>3390</v>
      </c>
      <c r="F46" s="3124">
        <v>45.09</v>
      </c>
      <c r="G46" s="3124"/>
    </row>
    <row r="47" spans="1:11" ht="20.100000000000001" customHeight="1">
      <c r="A47" s="3124">
        <v>46</v>
      </c>
      <c r="B47" s="3124" t="s">
        <v>3387</v>
      </c>
      <c r="C47" s="3124" t="s">
        <v>3388</v>
      </c>
      <c r="D47" s="3124" t="s">
        <v>3435</v>
      </c>
      <c r="E47" s="3124" t="s">
        <v>3390</v>
      </c>
      <c r="F47" s="3124">
        <v>47.05</v>
      </c>
      <c r="G47" s="3124"/>
    </row>
    <row r="48" spans="1:11" ht="20.100000000000001" customHeight="1">
      <c r="A48" s="3124">
        <v>47</v>
      </c>
      <c r="B48" s="3124" t="s">
        <v>3387</v>
      </c>
      <c r="C48" s="3124" t="s">
        <v>3388</v>
      </c>
      <c r="D48" s="3124" t="s">
        <v>3436</v>
      </c>
      <c r="E48" s="3124" t="s">
        <v>3390</v>
      </c>
      <c r="F48" s="3124">
        <v>47.05</v>
      </c>
      <c r="G48" s="3124"/>
    </row>
    <row r="49" spans="1:11" ht="20.100000000000001" customHeight="1">
      <c r="A49" s="3124">
        <v>48</v>
      </c>
      <c r="B49" s="3124" t="s">
        <v>3387</v>
      </c>
      <c r="C49" s="3124" t="s">
        <v>3388</v>
      </c>
      <c r="D49" s="3124" t="s">
        <v>3437</v>
      </c>
      <c r="E49" s="3124" t="s">
        <v>3390</v>
      </c>
      <c r="F49" s="3124">
        <v>45.09</v>
      </c>
      <c r="G49" s="3124"/>
    </row>
    <row r="50" spans="1:11" ht="20.100000000000001" customHeight="1">
      <c r="A50" s="3124">
        <v>49</v>
      </c>
      <c r="B50" s="3124" t="s">
        <v>3387</v>
      </c>
      <c r="C50" s="3124" t="s">
        <v>3388</v>
      </c>
      <c r="D50" s="3124" t="s">
        <v>3438</v>
      </c>
      <c r="E50" s="3124" t="s">
        <v>3390</v>
      </c>
      <c r="F50" s="3124">
        <v>47.05</v>
      </c>
      <c r="G50" s="3124"/>
    </row>
    <row r="51" spans="1:11" ht="20.100000000000001" customHeight="1">
      <c r="A51" s="3124">
        <v>50</v>
      </c>
      <c r="B51" s="3124" t="s">
        <v>3387</v>
      </c>
      <c r="C51" s="3124" t="s">
        <v>3388</v>
      </c>
      <c r="D51" s="3124" t="s">
        <v>3439</v>
      </c>
      <c r="E51" s="3124" t="s">
        <v>3390</v>
      </c>
      <c r="F51" s="3124">
        <v>47.05</v>
      </c>
      <c r="G51" s="3124"/>
    </row>
    <row r="52" spans="1:11" ht="20.100000000000001" customHeight="1">
      <c r="A52" s="3124">
        <v>51</v>
      </c>
      <c r="B52" s="3124" t="s">
        <v>3387</v>
      </c>
      <c r="C52" s="3124" t="s">
        <v>3388</v>
      </c>
      <c r="D52" s="3124" t="s">
        <v>3440</v>
      </c>
      <c r="E52" s="3124" t="s">
        <v>3390</v>
      </c>
      <c r="F52" s="3124">
        <v>45.09</v>
      </c>
      <c r="G52" s="3124"/>
    </row>
    <row r="53" spans="1:11" ht="20.100000000000001" customHeight="1">
      <c r="A53" s="3124">
        <v>52</v>
      </c>
      <c r="B53" s="3124" t="s">
        <v>3387</v>
      </c>
      <c r="C53" s="3124" t="s">
        <v>3388</v>
      </c>
      <c r="D53" s="3124" t="s">
        <v>3441</v>
      </c>
      <c r="E53" s="3124" t="s">
        <v>3390</v>
      </c>
      <c r="F53" s="3124">
        <v>47.05</v>
      </c>
      <c r="G53" s="3124"/>
    </row>
    <row r="54" spans="1:11" ht="20.100000000000001" customHeight="1">
      <c r="A54" s="3124">
        <v>53</v>
      </c>
      <c r="B54" s="3124" t="s">
        <v>3387</v>
      </c>
      <c r="C54" s="3124" t="s">
        <v>3388</v>
      </c>
      <c r="D54" s="3124" t="s">
        <v>3442</v>
      </c>
      <c r="E54" s="3124" t="s">
        <v>3390</v>
      </c>
      <c r="F54" s="3124">
        <v>47.05</v>
      </c>
      <c r="G54" s="3124"/>
    </row>
    <row r="55" spans="1:11" ht="20.100000000000001" customHeight="1">
      <c r="A55" s="3124">
        <v>54</v>
      </c>
      <c r="B55" s="3124" t="s">
        <v>3387</v>
      </c>
      <c r="C55" s="3124" t="s">
        <v>3388</v>
      </c>
      <c r="D55" s="3124" t="s">
        <v>3443</v>
      </c>
      <c r="E55" s="3124" t="s">
        <v>3390</v>
      </c>
      <c r="F55" s="3124">
        <v>45.09</v>
      </c>
      <c r="G55" s="3124"/>
    </row>
    <row r="56" spans="1:11" ht="20.100000000000001" customHeight="1">
      <c r="A56" s="3124">
        <v>55</v>
      </c>
      <c r="B56" s="3124" t="s">
        <v>3387</v>
      </c>
      <c r="C56" s="3124" t="s">
        <v>3388</v>
      </c>
      <c r="D56" s="3124" t="s">
        <v>3444</v>
      </c>
      <c r="E56" s="3124" t="s">
        <v>3390</v>
      </c>
      <c r="F56" s="3124">
        <v>47.05</v>
      </c>
      <c r="G56" s="3124"/>
    </row>
    <row r="57" spans="1:11" ht="20.100000000000001" customHeight="1">
      <c r="A57" s="3124">
        <v>56</v>
      </c>
      <c r="B57" s="3124" t="s">
        <v>3387</v>
      </c>
      <c r="C57" s="3124" t="s">
        <v>3388</v>
      </c>
      <c r="D57" s="3124" t="s">
        <v>3445</v>
      </c>
      <c r="E57" s="3124" t="s">
        <v>3390</v>
      </c>
      <c r="F57" s="3124">
        <v>47.05</v>
      </c>
      <c r="G57" s="3124"/>
    </row>
    <row r="58" spans="1:11" ht="20.100000000000001" customHeight="1">
      <c r="A58" s="3124">
        <v>57</v>
      </c>
      <c r="B58" s="3124" t="s">
        <v>3387</v>
      </c>
      <c r="C58" s="3124" t="s">
        <v>3388</v>
      </c>
      <c r="D58" s="3124" t="s">
        <v>3446</v>
      </c>
      <c r="E58" s="3124" t="s">
        <v>3390</v>
      </c>
      <c r="F58" s="3124">
        <v>45.09</v>
      </c>
      <c r="G58" s="3124"/>
    </row>
    <row r="59" spans="1:11" ht="20.100000000000001" customHeight="1">
      <c r="A59" s="3124">
        <v>58</v>
      </c>
      <c r="B59" s="3124" t="s">
        <v>3387</v>
      </c>
      <c r="C59" s="3124" t="s">
        <v>3388</v>
      </c>
      <c r="D59" s="3124" t="s">
        <v>3447</v>
      </c>
      <c r="E59" s="3124" t="s">
        <v>3390</v>
      </c>
      <c r="F59" s="3124">
        <v>47.05</v>
      </c>
      <c r="G59" s="3124"/>
      <c r="I59" s="3125">
        <f>SUM(F34:F59)</f>
        <v>1194.6499999999996</v>
      </c>
      <c r="J59" s="3125">
        <f>18.11+17.68+48.07+48.67</f>
        <v>132.53</v>
      </c>
      <c r="K59" s="3125">
        <f>I59+J59</f>
        <v>1327.1799999999996</v>
      </c>
    </row>
    <row r="60" spans="1:11" ht="20.100000000000001" customHeight="1">
      <c r="A60" s="3124">
        <v>59</v>
      </c>
      <c r="B60" s="3124" t="s">
        <v>3387</v>
      </c>
      <c r="C60" s="3124" t="s">
        <v>3388</v>
      </c>
      <c r="D60" s="3124" t="s">
        <v>3448</v>
      </c>
      <c r="E60" s="3124" t="s">
        <v>3390</v>
      </c>
      <c r="F60" s="3124">
        <v>45.24</v>
      </c>
      <c r="G60" s="3124"/>
    </row>
    <row r="61" spans="1:11" ht="20.100000000000001" customHeight="1">
      <c r="A61" s="3124">
        <v>60</v>
      </c>
      <c r="B61" s="3124" t="s">
        <v>3387</v>
      </c>
      <c r="C61" s="3124" t="s">
        <v>3388</v>
      </c>
      <c r="D61" s="3124" t="s">
        <v>3449</v>
      </c>
      <c r="E61" s="3124" t="s">
        <v>3390</v>
      </c>
      <c r="F61" s="3124">
        <v>45.24</v>
      </c>
      <c r="G61" s="3124"/>
    </row>
    <row r="62" spans="1:11" ht="20.100000000000001" customHeight="1">
      <c r="A62" s="3124">
        <v>61</v>
      </c>
      <c r="B62" s="3124" t="s">
        <v>3387</v>
      </c>
      <c r="C62" s="3124" t="s">
        <v>3388</v>
      </c>
      <c r="D62" s="3124" t="s">
        <v>3450</v>
      </c>
      <c r="E62" s="3124" t="s">
        <v>3390</v>
      </c>
      <c r="F62" s="3124">
        <v>45.24</v>
      </c>
      <c r="G62" s="3124"/>
    </row>
    <row r="63" spans="1:11" ht="20.100000000000001" customHeight="1">
      <c r="A63" s="3124">
        <v>62</v>
      </c>
      <c r="B63" s="3124" t="s">
        <v>3387</v>
      </c>
      <c r="C63" s="3124" t="s">
        <v>3388</v>
      </c>
      <c r="D63" s="3124" t="s">
        <v>3451</v>
      </c>
      <c r="E63" s="3124" t="s">
        <v>3390</v>
      </c>
      <c r="F63" s="3124">
        <v>45.24</v>
      </c>
      <c r="G63" s="3124"/>
    </row>
    <row r="64" spans="1:11" ht="20.100000000000001" customHeight="1">
      <c r="A64" s="3124">
        <v>63</v>
      </c>
      <c r="B64" s="3124" t="s">
        <v>3387</v>
      </c>
      <c r="C64" s="3124" t="s">
        <v>3388</v>
      </c>
      <c r="D64" s="3124" t="s">
        <v>3452</v>
      </c>
      <c r="E64" s="3124" t="s">
        <v>3390</v>
      </c>
      <c r="F64" s="3124">
        <v>47.13</v>
      </c>
      <c r="G64" s="3124"/>
    </row>
    <row r="65" spans="1:7" ht="20.100000000000001" customHeight="1">
      <c r="A65" s="3124">
        <v>64</v>
      </c>
      <c r="B65" s="3124" t="s">
        <v>3387</v>
      </c>
      <c r="C65" s="3124" t="s">
        <v>3388</v>
      </c>
      <c r="D65" s="3124" t="s">
        <v>3453</v>
      </c>
      <c r="E65" s="3124" t="s">
        <v>3390</v>
      </c>
      <c r="F65" s="3124">
        <v>47.13</v>
      </c>
      <c r="G65" s="3124"/>
    </row>
    <row r="66" spans="1:7" ht="20.100000000000001" customHeight="1">
      <c r="A66" s="3124">
        <v>65</v>
      </c>
      <c r="B66" s="3124" t="s">
        <v>3387</v>
      </c>
      <c r="C66" s="3124" t="s">
        <v>3388</v>
      </c>
      <c r="D66" s="3124" t="s">
        <v>3454</v>
      </c>
      <c r="E66" s="3124" t="s">
        <v>3390</v>
      </c>
      <c r="F66" s="3124">
        <v>47.13</v>
      </c>
      <c r="G66" s="3124"/>
    </row>
    <row r="67" spans="1:7" ht="20.100000000000001" customHeight="1">
      <c r="A67" s="3124">
        <v>66</v>
      </c>
      <c r="B67" s="3124" t="s">
        <v>3387</v>
      </c>
      <c r="C67" s="3124" t="s">
        <v>3388</v>
      </c>
      <c r="D67" s="3124" t="s">
        <v>3455</v>
      </c>
      <c r="E67" s="3124" t="s">
        <v>3390</v>
      </c>
      <c r="F67" s="3124">
        <v>47.13</v>
      </c>
      <c r="G67" s="3124"/>
    </row>
    <row r="68" spans="1:7" ht="20.100000000000001" customHeight="1">
      <c r="A68" s="3124">
        <v>67</v>
      </c>
      <c r="B68" s="3124" t="s">
        <v>3387</v>
      </c>
      <c r="C68" s="3124" t="s">
        <v>3388</v>
      </c>
      <c r="D68" s="3124" t="s">
        <v>3456</v>
      </c>
      <c r="E68" s="3124" t="s">
        <v>3390</v>
      </c>
      <c r="F68" s="3124">
        <v>47.05</v>
      </c>
      <c r="G68" s="3124"/>
    </row>
    <row r="69" spans="1:7" ht="20.100000000000001" customHeight="1">
      <c r="A69" s="3124">
        <v>68</v>
      </c>
      <c r="B69" s="3124" t="s">
        <v>3387</v>
      </c>
      <c r="C69" s="3124" t="s">
        <v>3388</v>
      </c>
      <c r="D69" s="3124" t="s">
        <v>3457</v>
      </c>
      <c r="E69" s="3124" t="s">
        <v>3390</v>
      </c>
      <c r="F69" s="3124">
        <v>45.09</v>
      </c>
      <c r="G69" s="3124"/>
    </row>
    <row r="70" spans="1:7" ht="20.100000000000001" customHeight="1">
      <c r="A70" s="3124">
        <v>69</v>
      </c>
      <c r="B70" s="3124" t="s">
        <v>3387</v>
      </c>
      <c r="C70" s="3124" t="s">
        <v>3388</v>
      </c>
      <c r="D70" s="3124" t="s">
        <v>3458</v>
      </c>
      <c r="E70" s="3124" t="s">
        <v>3390</v>
      </c>
      <c r="F70" s="3124">
        <v>47.05</v>
      </c>
      <c r="G70" s="3124"/>
    </row>
    <row r="71" spans="1:7" ht="20.100000000000001" customHeight="1">
      <c r="A71" s="3124">
        <v>70</v>
      </c>
      <c r="B71" s="3124" t="s">
        <v>3387</v>
      </c>
      <c r="C71" s="3124" t="s">
        <v>3388</v>
      </c>
      <c r="D71" s="3124" t="s">
        <v>3459</v>
      </c>
      <c r="E71" s="3124" t="s">
        <v>3390</v>
      </c>
      <c r="F71" s="3124">
        <v>47.05</v>
      </c>
      <c r="G71" s="3124"/>
    </row>
    <row r="72" spans="1:7" ht="20.100000000000001" customHeight="1">
      <c r="A72" s="3124">
        <v>71</v>
      </c>
      <c r="B72" s="3124" t="s">
        <v>3387</v>
      </c>
      <c r="C72" s="3124" t="s">
        <v>3388</v>
      </c>
      <c r="D72" s="3124" t="s">
        <v>3460</v>
      </c>
      <c r="E72" s="3124" t="s">
        <v>3390</v>
      </c>
      <c r="F72" s="3124">
        <v>45.09</v>
      </c>
      <c r="G72" s="3124"/>
    </row>
    <row r="73" spans="1:7" ht="20.100000000000001" customHeight="1">
      <c r="A73" s="3124">
        <v>72</v>
      </c>
      <c r="B73" s="3124" t="s">
        <v>3387</v>
      </c>
      <c r="C73" s="3124" t="s">
        <v>3388</v>
      </c>
      <c r="D73" s="3124" t="s">
        <v>3461</v>
      </c>
      <c r="E73" s="3124" t="s">
        <v>3390</v>
      </c>
      <c r="F73" s="3124">
        <v>47.05</v>
      </c>
      <c r="G73" s="3124"/>
    </row>
    <row r="74" spans="1:7" ht="20.100000000000001" customHeight="1">
      <c r="A74" s="3124">
        <v>73</v>
      </c>
      <c r="B74" s="3124" t="s">
        <v>3387</v>
      </c>
      <c r="C74" s="3124" t="s">
        <v>3388</v>
      </c>
      <c r="D74" s="3124" t="s">
        <v>3462</v>
      </c>
      <c r="E74" s="3124" t="s">
        <v>3390</v>
      </c>
      <c r="F74" s="3124">
        <v>47.05</v>
      </c>
      <c r="G74" s="3124"/>
    </row>
    <row r="75" spans="1:7" ht="20.100000000000001" customHeight="1">
      <c r="A75" s="3124">
        <v>74</v>
      </c>
      <c r="B75" s="3124" t="s">
        <v>3387</v>
      </c>
      <c r="C75" s="3124" t="s">
        <v>3388</v>
      </c>
      <c r="D75" s="3124" t="s">
        <v>3463</v>
      </c>
      <c r="E75" s="3124" t="s">
        <v>3390</v>
      </c>
      <c r="F75" s="3124">
        <v>45.09</v>
      </c>
      <c r="G75" s="3124"/>
    </row>
    <row r="76" spans="1:7" ht="20.100000000000001" customHeight="1">
      <c r="A76" s="3124">
        <v>75</v>
      </c>
      <c r="B76" s="3124" t="s">
        <v>3387</v>
      </c>
      <c r="C76" s="3124" t="s">
        <v>3388</v>
      </c>
      <c r="D76" s="3124" t="s">
        <v>3464</v>
      </c>
      <c r="E76" s="3124" t="s">
        <v>3390</v>
      </c>
      <c r="F76" s="3124">
        <v>47.05</v>
      </c>
      <c r="G76" s="3124"/>
    </row>
    <row r="77" spans="1:7" ht="20.100000000000001" customHeight="1">
      <c r="A77" s="3124">
        <v>76</v>
      </c>
      <c r="B77" s="3124" t="s">
        <v>3387</v>
      </c>
      <c r="C77" s="3124" t="s">
        <v>3388</v>
      </c>
      <c r="D77" s="3124" t="s">
        <v>3465</v>
      </c>
      <c r="E77" s="3124" t="s">
        <v>3390</v>
      </c>
      <c r="F77" s="3124">
        <v>47.05</v>
      </c>
      <c r="G77" s="3124"/>
    </row>
    <row r="78" spans="1:7" ht="20.100000000000001" customHeight="1">
      <c r="A78" s="3124">
        <v>77</v>
      </c>
      <c r="B78" s="3124" t="s">
        <v>3387</v>
      </c>
      <c r="C78" s="3124" t="s">
        <v>3388</v>
      </c>
      <c r="D78" s="3124" t="s">
        <v>3466</v>
      </c>
      <c r="E78" s="3124" t="s">
        <v>3390</v>
      </c>
      <c r="F78" s="3124">
        <v>45.09</v>
      </c>
      <c r="G78" s="3124"/>
    </row>
    <row r="79" spans="1:7" ht="20.100000000000001" customHeight="1">
      <c r="A79" s="3124">
        <v>78</v>
      </c>
      <c r="B79" s="3124" t="s">
        <v>3387</v>
      </c>
      <c r="C79" s="3124" t="s">
        <v>3388</v>
      </c>
      <c r="D79" s="3124" t="s">
        <v>3467</v>
      </c>
      <c r="E79" s="3124" t="s">
        <v>3390</v>
      </c>
      <c r="F79" s="3124">
        <v>47.05</v>
      </c>
      <c r="G79" s="3124"/>
    </row>
    <row r="80" spans="1:7" ht="20.100000000000001" customHeight="1">
      <c r="A80" s="3124">
        <v>79</v>
      </c>
      <c r="B80" s="3124" t="s">
        <v>3387</v>
      </c>
      <c r="C80" s="3124" t="s">
        <v>3388</v>
      </c>
      <c r="D80" s="3124" t="s">
        <v>3468</v>
      </c>
      <c r="E80" s="3124" t="s">
        <v>3390</v>
      </c>
      <c r="F80" s="3124">
        <v>47.05</v>
      </c>
      <c r="G80" s="3124"/>
    </row>
    <row r="81" spans="1:7" ht="20.100000000000001" customHeight="1">
      <c r="A81" s="3124">
        <v>80</v>
      </c>
      <c r="B81" s="3124" t="s">
        <v>3387</v>
      </c>
      <c r="C81" s="3124" t="s">
        <v>3388</v>
      </c>
      <c r="D81" s="3124" t="s">
        <v>3469</v>
      </c>
      <c r="E81" s="3124" t="s">
        <v>3390</v>
      </c>
      <c r="F81" s="3124">
        <v>45.09</v>
      </c>
      <c r="G81" s="3124"/>
    </row>
    <row r="82" spans="1:7" ht="20.100000000000001" customHeight="1">
      <c r="A82" s="3124">
        <v>81</v>
      </c>
      <c r="B82" s="3124" t="s">
        <v>3387</v>
      </c>
      <c r="C82" s="3124" t="s">
        <v>3388</v>
      </c>
      <c r="D82" s="3124" t="s">
        <v>3470</v>
      </c>
      <c r="E82" s="3124" t="s">
        <v>3390</v>
      </c>
      <c r="F82" s="3124">
        <v>47.05</v>
      </c>
      <c r="G82" s="3124"/>
    </row>
    <row r="83" spans="1:7" ht="20.100000000000001" customHeight="1">
      <c r="A83" s="3124">
        <v>82</v>
      </c>
      <c r="B83" s="3124" t="s">
        <v>3387</v>
      </c>
      <c r="C83" s="3124" t="s">
        <v>3388</v>
      </c>
      <c r="D83" s="3124" t="s">
        <v>3471</v>
      </c>
      <c r="E83" s="3124" t="s">
        <v>3390</v>
      </c>
      <c r="F83" s="3124">
        <v>47.05</v>
      </c>
      <c r="G83" s="3124"/>
    </row>
    <row r="84" spans="1:7" ht="20.100000000000001" customHeight="1">
      <c r="A84" s="3124">
        <v>83</v>
      </c>
      <c r="B84" s="3124" t="s">
        <v>3387</v>
      </c>
      <c r="C84" s="3124" t="s">
        <v>3388</v>
      </c>
      <c r="D84" s="3124" t="s">
        <v>3472</v>
      </c>
      <c r="E84" s="3124" t="s">
        <v>3390</v>
      </c>
      <c r="F84" s="3124">
        <v>45.09</v>
      </c>
      <c r="G84" s="3124"/>
    </row>
    <row r="85" spans="1:7" ht="20.100000000000001" customHeight="1">
      <c r="A85" s="3124">
        <v>84</v>
      </c>
      <c r="B85" s="3124" t="s">
        <v>3387</v>
      </c>
      <c r="C85" s="3124" t="s">
        <v>3388</v>
      </c>
      <c r="D85" s="3124" t="s">
        <v>3473</v>
      </c>
      <c r="E85" s="3124" t="s">
        <v>3390</v>
      </c>
      <c r="F85" s="3124">
        <v>47.05</v>
      </c>
      <c r="G85" s="3124"/>
    </row>
    <row r="86" spans="1:7" ht="20.100000000000001" customHeight="1">
      <c r="A86" s="3124">
        <v>85</v>
      </c>
      <c r="B86" s="3124" t="s">
        <v>3387</v>
      </c>
      <c r="C86" s="3124" t="s">
        <v>3388</v>
      </c>
      <c r="D86" s="3124" t="s">
        <v>3474</v>
      </c>
      <c r="E86" s="3124" t="s">
        <v>3390</v>
      </c>
      <c r="F86" s="3124">
        <v>47.05</v>
      </c>
      <c r="G86" s="3124"/>
    </row>
    <row r="87" spans="1:7" ht="20.100000000000001" customHeight="1">
      <c r="A87" s="3124">
        <v>86</v>
      </c>
      <c r="B87" s="3124" t="s">
        <v>3387</v>
      </c>
      <c r="C87" s="3124" t="s">
        <v>3388</v>
      </c>
      <c r="D87" s="3124" t="s">
        <v>3475</v>
      </c>
      <c r="E87" s="3124" t="s">
        <v>3390</v>
      </c>
      <c r="F87" s="3124">
        <v>45.09</v>
      </c>
      <c r="G87" s="3124"/>
    </row>
    <row r="88" spans="1:7" ht="20.100000000000001" customHeight="1">
      <c r="A88" s="3124">
        <v>87</v>
      </c>
      <c r="B88" s="3124" t="s">
        <v>3387</v>
      </c>
      <c r="C88" s="3124" t="s">
        <v>3388</v>
      </c>
      <c r="D88" s="3124" t="s">
        <v>3476</v>
      </c>
      <c r="E88" s="3124" t="s">
        <v>3390</v>
      </c>
      <c r="F88" s="3124">
        <v>47.05</v>
      </c>
      <c r="G88" s="3124"/>
    </row>
    <row r="89" spans="1:7" ht="20.100000000000001" customHeight="1">
      <c r="A89" s="3124">
        <v>88</v>
      </c>
      <c r="B89" s="3124" t="s">
        <v>3387</v>
      </c>
      <c r="C89" s="3124" t="s">
        <v>3388</v>
      </c>
      <c r="D89" s="3124" t="s">
        <v>3477</v>
      </c>
      <c r="E89" s="3124" t="s">
        <v>3390</v>
      </c>
      <c r="F89" s="3124">
        <v>47.05</v>
      </c>
      <c r="G89" s="3124"/>
    </row>
    <row r="90" spans="1:7" ht="20.100000000000001" customHeight="1">
      <c r="A90" s="3124">
        <v>89</v>
      </c>
      <c r="B90" s="3124" t="s">
        <v>3387</v>
      </c>
      <c r="C90" s="3124" t="s">
        <v>3388</v>
      </c>
      <c r="D90" s="3124" t="s">
        <v>3478</v>
      </c>
      <c r="E90" s="3124" t="s">
        <v>3390</v>
      </c>
      <c r="F90" s="3124">
        <v>45.09</v>
      </c>
      <c r="G90" s="3124"/>
    </row>
    <row r="91" spans="1:7" ht="20.100000000000001" customHeight="1">
      <c r="A91" s="3124">
        <v>90</v>
      </c>
      <c r="B91" s="3124" t="s">
        <v>3387</v>
      </c>
      <c r="C91" s="3124" t="s">
        <v>3388</v>
      </c>
      <c r="D91" s="3124" t="s">
        <v>3479</v>
      </c>
      <c r="E91" s="3124" t="s">
        <v>3390</v>
      </c>
      <c r="F91" s="3124">
        <v>47.05</v>
      </c>
      <c r="G91" s="3124"/>
    </row>
    <row r="92" spans="1:7" ht="20.100000000000001" customHeight="1">
      <c r="A92" s="3124">
        <v>91</v>
      </c>
      <c r="B92" s="3124" t="s">
        <v>3387</v>
      </c>
      <c r="C92" s="3124" t="s">
        <v>3388</v>
      </c>
      <c r="D92" s="3124" t="s">
        <v>3480</v>
      </c>
      <c r="E92" s="3124" t="s">
        <v>3390</v>
      </c>
      <c r="F92" s="3124">
        <v>47.05</v>
      </c>
      <c r="G92" s="3124"/>
    </row>
    <row r="93" spans="1:7" ht="20.100000000000001" customHeight="1">
      <c r="A93" s="3124">
        <v>92</v>
      </c>
      <c r="B93" s="3124" t="s">
        <v>3387</v>
      </c>
      <c r="C93" s="3124" t="s">
        <v>3388</v>
      </c>
      <c r="D93" s="3124" t="s">
        <v>3481</v>
      </c>
      <c r="E93" s="3124" t="s">
        <v>3390</v>
      </c>
      <c r="F93" s="3124">
        <v>45.09</v>
      </c>
      <c r="G93" s="3124"/>
    </row>
    <row r="94" spans="1:7" ht="20.100000000000001" customHeight="1">
      <c r="A94" s="3124">
        <v>93</v>
      </c>
      <c r="B94" s="3124" t="s">
        <v>3387</v>
      </c>
      <c r="C94" s="3124" t="s">
        <v>3388</v>
      </c>
      <c r="D94" s="3124" t="s">
        <v>3482</v>
      </c>
      <c r="E94" s="3124" t="s">
        <v>3390</v>
      </c>
      <c r="F94" s="3124">
        <v>47.05</v>
      </c>
      <c r="G94" s="3124"/>
    </row>
    <row r="95" spans="1:7" ht="20.100000000000001" customHeight="1">
      <c r="A95" s="3124">
        <v>94</v>
      </c>
      <c r="B95" s="3124" t="s">
        <v>3387</v>
      </c>
      <c r="C95" s="3124" t="s">
        <v>3388</v>
      </c>
      <c r="D95" s="3124" t="s">
        <v>3483</v>
      </c>
      <c r="E95" s="3124" t="s">
        <v>3390</v>
      </c>
      <c r="F95" s="3124">
        <v>47.05</v>
      </c>
      <c r="G95" s="3124"/>
    </row>
    <row r="96" spans="1:7" ht="20.100000000000001" customHeight="1">
      <c r="A96" s="3124">
        <v>95</v>
      </c>
      <c r="B96" s="3124" t="s">
        <v>3387</v>
      </c>
      <c r="C96" s="3124" t="s">
        <v>3388</v>
      </c>
      <c r="D96" s="3124" t="s">
        <v>3484</v>
      </c>
      <c r="E96" s="3124" t="s">
        <v>3390</v>
      </c>
      <c r="F96" s="3124">
        <v>45.09</v>
      </c>
      <c r="G96" s="3124"/>
    </row>
    <row r="97" spans="1:7" ht="20.100000000000001" customHeight="1">
      <c r="A97" s="3124">
        <v>96</v>
      </c>
      <c r="B97" s="3124" t="s">
        <v>3387</v>
      </c>
      <c r="C97" s="3124" t="s">
        <v>3388</v>
      </c>
      <c r="D97" s="3124" t="s">
        <v>3485</v>
      </c>
      <c r="E97" s="3124" t="s">
        <v>3390</v>
      </c>
      <c r="F97" s="3124">
        <v>47.05</v>
      </c>
      <c r="G97" s="3124"/>
    </row>
    <row r="98" spans="1:7" ht="20.100000000000001" customHeight="1">
      <c r="A98" s="3124">
        <v>97</v>
      </c>
      <c r="B98" s="3124" t="s">
        <v>3387</v>
      </c>
      <c r="C98" s="3124" t="s">
        <v>3388</v>
      </c>
      <c r="D98" s="3124" t="s">
        <v>3486</v>
      </c>
      <c r="E98" s="3124" t="s">
        <v>3390</v>
      </c>
      <c r="F98" s="3124">
        <v>46.11</v>
      </c>
      <c r="G98" s="3124"/>
    </row>
    <row r="99" spans="1:7" ht="20.100000000000001" customHeight="1">
      <c r="A99" s="3124">
        <v>98</v>
      </c>
      <c r="B99" s="3124" t="s">
        <v>3387</v>
      </c>
      <c r="C99" s="3124" t="s">
        <v>3388</v>
      </c>
      <c r="D99" s="3124" t="s">
        <v>3487</v>
      </c>
      <c r="E99" s="3124" t="s">
        <v>3390</v>
      </c>
      <c r="F99" s="3124">
        <v>44.19</v>
      </c>
      <c r="G99" s="3124"/>
    </row>
    <row r="100" spans="1:7" ht="20.100000000000001" customHeight="1">
      <c r="A100" s="3124">
        <v>99</v>
      </c>
      <c r="B100" s="3124" t="s">
        <v>3387</v>
      </c>
      <c r="C100" s="3124" t="s">
        <v>3388</v>
      </c>
      <c r="D100" s="3124" t="s">
        <v>3488</v>
      </c>
      <c r="E100" s="3124" t="s">
        <v>3390</v>
      </c>
      <c r="F100" s="3124">
        <v>46.15</v>
      </c>
      <c r="G100" s="3124"/>
    </row>
    <row r="101" spans="1:7" ht="20.100000000000001" customHeight="1">
      <c r="A101" s="3124">
        <v>100</v>
      </c>
      <c r="B101" s="3124" t="s">
        <v>3387</v>
      </c>
      <c r="C101" s="3124" t="s">
        <v>3388</v>
      </c>
      <c r="D101" s="3124" t="s">
        <v>3489</v>
      </c>
      <c r="E101" s="3124" t="s">
        <v>3390</v>
      </c>
      <c r="F101" s="3124">
        <v>46.11</v>
      </c>
      <c r="G101" s="3124"/>
    </row>
    <row r="102" spans="1:7" ht="20.100000000000001" customHeight="1">
      <c r="A102" s="3124">
        <v>101</v>
      </c>
      <c r="B102" s="3124" t="s">
        <v>3387</v>
      </c>
      <c r="C102" s="3124" t="s">
        <v>3388</v>
      </c>
      <c r="D102" s="3124" t="s">
        <v>3490</v>
      </c>
      <c r="E102" s="3124" t="s">
        <v>3390</v>
      </c>
      <c r="F102" s="3124">
        <v>44.22</v>
      </c>
      <c r="G102" s="3124"/>
    </row>
    <row r="103" spans="1:7" ht="20.100000000000001" customHeight="1">
      <c r="A103" s="3124">
        <v>102</v>
      </c>
      <c r="B103" s="3124" t="s">
        <v>3387</v>
      </c>
      <c r="C103" s="3124" t="s">
        <v>3388</v>
      </c>
      <c r="D103" s="3124" t="s">
        <v>3491</v>
      </c>
      <c r="E103" s="3124" t="s">
        <v>3390</v>
      </c>
      <c r="F103" s="3124">
        <v>46.15</v>
      </c>
      <c r="G103" s="3124"/>
    </row>
    <row r="104" spans="1:7" ht="20.100000000000001" customHeight="1">
      <c r="A104" s="3124">
        <v>103</v>
      </c>
      <c r="B104" s="3124" t="s">
        <v>3387</v>
      </c>
      <c r="C104" s="3124" t="s">
        <v>3388</v>
      </c>
      <c r="D104" s="3124" t="s">
        <v>3492</v>
      </c>
      <c r="E104" s="3124" t="s">
        <v>3390</v>
      </c>
      <c r="F104" s="3124">
        <v>45.24</v>
      </c>
      <c r="G104" s="3124"/>
    </row>
    <row r="105" spans="1:7" ht="20.100000000000001" customHeight="1">
      <c r="A105" s="3124">
        <v>104</v>
      </c>
      <c r="B105" s="3124" t="s">
        <v>3387</v>
      </c>
      <c r="C105" s="3124" t="s">
        <v>3388</v>
      </c>
      <c r="D105" s="3124" t="s">
        <v>3493</v>
      </c>
      <c r="E105" s="3124" t="s">
        <v>3390</v>
      </c>
      <c r="F105" s="3124">
        <v>45.24</v>
      </c>
      <c r="G105" s="3124"/>
    </row>
    <row r="106" spans="1:7" ht="20.100000000000001" customHeight="1">
      <c r="A106" s="3124">
        <v>105</v>
      </c>
      <c r="B106" s="3124" t="s">
        <v>3387</v>
      </c>
      <c r="C106" s="3124" t="s">
        <v>3388</v>
      </c>
      <c r="D106" s="3124" t="s">
        <v>3494</v>
      </c>
      <c r="E106" s="3124" t="s">
        <v>3390</v>
      </c>
      <c r="F106" s="3124">
        <v>45.24</v>
      </c>
      <c r="G106" s="3124"/>
    </row>
    <row r="107" spans="1:7" ht="20.100000000000001" customHeight="1">
      <c r="A107" s="3124">
        <v>106</v>
      </c>
      <c r="B107" s="3124" t="s">
        <v>3387</v>
      </c>
      <c r="C107" s="3124" t="s">
        <v>3388</v>
      </c>
      <c r="D107" s="3124" t="s">
        <v>3495</v>
      </c>
      <c r="E107" s="3124" t="s">
        <v>3390</v>
      </c>
      <c r="F107" s="3124">
        <v>45.24</v>
      </c>
      <c r="G107" s="3124"/>
    </row>
    <row r="108" spans="1:7" ht="20.100000000000001" customHeight="1">
      <c r="A108" s="3124">
        <v>107</v>
      </c>
      <c r="B108" s="3124" t="s">
        <v>3387</v>
      </c>
      <c r="C108" s="3124" t="s">
        <v>3388</v>
      </c>
      <c r="D108" s="3124" t="s">
        <v>3496</v>
      </c>
      <c r="E108" s="3124" t="s">
        <v>3390</v>
      </c>
      <c r="F108" s="3124">
        <v>45.24</v>
      </c>
      <c r="G108" s="3124"/>
    </row>
    <row r="109" spans="1:7" ht="20.100000000000001" customHeight="1">
      <c r="A109" s="3124">
        <v>108</v>
      </c>
      <c r="B109" s="3124" t="s">
        <v>3387</v>
      </c>
      <c r="C109" s="3124" t="s">
        <v>3388</v>
      </c>
      <c r="D109" s="3124" t="s">
        <v>3497</v>
      </c>
      <c r="E109" s="3124" t="s">
        <v>3390</v>
      </c>
      <c r="F109" s="3124">
        <v>45.24</v>
      </c>
      <c r="G109" s="3124"/>
    </row>
    <row r="110" spans="1:7" ht="20.100000000000001" customHeight="1">
      <c r="A110" s="3124">
        <v>109</v>
      </c>
      <c r="B110" s="3124" t="s">
        <v>3387</v>
      </c>
      <c r="C110" s="3124" t="s">
        <v>3388</v>
      </c>
      <c r="D110" s="3124" t="s">
        <v>3498</v>
      </c>
      <c r="E110" s="3124" t="s">
        <v>3390</v>
      </c>
      <c r="F110" s="3124">
        <v>45.24</v>
      </c>
      <c r="G110" s="3124"/>
    </row>
    <row r="111" spans="1:7" ht="20.100000000000001" customHeight="1">
      <c r="A111" s="3124">
        <v>110</v>
      </c>
      <c r="B111" s="3124" t="s">
        <v>3387</v>
      </c>
      <c r="C111" s="3124" t="s">
        <v>3388</v>
      </c>
      <c r="D111" s="3124" t="s">
        <v>3499</v>
      </c>
      <c r="E111" s="3124" t="s">
        <v>3390</v>
      </c>
      <c r="F111" s="3124">
        <v>45.24</v>
      </c>
      <c r="G111" s="3124"/>
    </row>
    <row r="112" spans="1:7" ht="20.100000000000001" customHeight="1">
      <c r="A112" s="3124">
        <v>111</v>
      </c>
      <c r="B112" s="3124" t="s">
        <v>3387</v>
      </c>
      <c r="C112" s="3124" t="s">
        <v>3388</v>
      </c>
      <c r="D112" s="3124" t="s">
        <v>3500</v>
      </c>
      <c r="E112" s="3124" t="s">
        <v>3390</v>
      </c>
      <c r="F112" s="3124">
        <v>45.24</v>
      </c>
      <c r="G112" s="3124"/>
    </row>
    <row r="113" spans="1:9" ht="20.100000000000001" customHeight="1">
      <c r="A113" s="3124">
        <v>112</v>
      </c>
      <c r="B113" s="3124" t="s">
        <v>3387</v>
      </c>
      <c r="C113" s="3124" t="s">
        <v>3388</v>
      </c>
      <c r="D113" s="3124" t="s">
        <v>3501</v>
      </c>
      <c r="E113" s="3124" t="s">
        <v>3390</v>
      </c>
      <c r="F113" s="3124">
        <v>45.24</v>
      </c>
      <c r="G113" s="3124"/>
    </row>
    <row r="114" spans="1:9" ht="20.100000000000001" customHeight="1">
      <c r="A114" s="3124">
        <v>113</v>
      </c>
      <c r="B114" s="3124" t="s">
        <v>3387</v>
      </c>
      <c r="C114" s="3124" t="s">
        <v>3388</v>
      </c>
      <c r="D114" s="3124" t="s">
        <v>3502</v>
      </c>
      <c r="E114" s="3124" t="s">
        <v>3390</v>
      </c>
      <c r="F114" s="3124">
        <v>45.24</v>
      </c>
      <c r="G114" s="3124"/>
    </row>
    <row r="115" spans="1:9" ht="20.100000000000001" customHeight="1">
      <c r="A115" s="3124">
        <v>114</v>
      </c>
      <c r="B115" s="3124" t="s">
        <v>3387</v>
      </c>
      <c r="C115" s="3124" t="s">
        <v>3388</v>
      </c>
      <c r="D115" s="3124" t="s">
        <v>3503</v>
      </c>
      <c r="E115" s="3124" t="s">
        <v>3390</v>
      </c>
      <c r="F115" s="3124">
        <v>45.24</v>
      </c>
      <c r="G115" s="3124"/>
    </row>
    <row r="116" spans="1:9" ht="20.100000000000001" customHeight="1">
      <c r="A116" s="3124">
        <v>115</v>
      </c>
      <c r="B116" s="3124" t="s">
        <v>3387</v>
      </c>
      <c r="C116" s="3124" t="s">
        <v>3388</v>
      </c>
      <c r="D116" s="3124" t="s">
        <v>3504</v>
      </c>
      <c r="E116" s="3124" t="s">
        <v>3390</v>
      </c>
      <c r="F116" s="3124">
        <v>45.24</v>
      </c>
      <c r="G116" s="3124"/>
    </row>
    <row r="117" spans="1:9" ht="20.100000000000001" customHeight="1">
      <c r="A117" s="3124">
        <v>116</v>
      </c>
      <c r="B117" s="3124" t="s">
        <v>3387</v>
      </c>
      <c r="C117" s="3124" t="s">
        <v>3388</v>
      </c>
      <c r="D117" s="3124" t="s">
        <v>3505</v>
      </c>
      <c r="E117" s="3124" t="s">
        <v>3390</v>
      </c>
      <c r="F117" s="3124">
        <v>45.24</v>
      </c>
      <c r="G117" s="3124"/>
      <c r="I117" s="3125">
        <f>SUM(F88:F117)</f>
        <v>1370.91</v>
      </c>
    </row>
    <row r="118" spans="1:9" ht="20.100000000000001" customHeight="1">
      <c r="A118" s="3124">
        <v>117</v>
      </c>
      <c r="B118" s="3124" t="s">
        <v>3387</v>
      </c>
      <c r="C118" s="3124" t="s">
        <v>3388</v>
      </c>
      <c r="D118" s="3124" t="s">
        <v>3506</v>
      </c>
      <c r="E118" s="3124" t="s">
        <v>3390</v>
      </c>
      <c r="F118" s="3124">
        <v>45.24</v>
      </c>
      <c r="G118" s="3124"/>
    </row>
    <row r="119" spans="1:9" ht="20.100000000000001" customHeight="1">
      <c r="A119" s="3124">
        <v>118</v>
      </c>
      <c r="B119" s="3124" t="s">
        <v>3387</v>
      </c>
      <c r="C119" s="3124" t="s">
        <v>3388</v>
      </c>
      <c r="D119" s="3124" t="s">
        <v>3507</v>
      </c>
      <c r="E119" s="3124" t="s">
        <v>3390</v>
      </c>
      <c r="F119" s="3124">
        <v>45.24</v>
      </c>
      <c r="G119" s="3124"/>
    </row>
    <row r="120" spans="1:9" ht="20.100000000000001" customHeight="1">
      <c r="A120" s="3124">
        <v>119</v>
      </c>
      <c r="B120" s="3124" t="s">
        <v>3387</v>
      </c>
      <c r="C120" s="3124" t="s">
        <v>3388</v>
      </c>
      <c r="D120" s="3124" t="s">
        <v>3508</v>
      </c>
      <c r="E120" s="3124" t="s">
        <v>3390</v>
      </c>
      <c r="F120" s="3124">
        <v>45.24</v>
      </c>
      <c r="G120" s="3124"/>
    </row>
    <row r="121" spans="1:9" ht="20.100000000000001" customHeight="1">
      <c r="A121" s="3124">
        <v>120</v>
      </c>
      <c r="B121" s="3124" t="s">
        <v>3387</v>
      </c>
      <c r="C121" s="3124" t="s">
        <v>3388</v>
      </c>
      <c r="D121" s="3124" t="s">
        <v>3509</v>
      </c>
      <c r="E121" s="3124" t="s">
        <v>3390</v>
      </c>
      <c r="F121" s="3124">
        <v>45.24</v>
      </c>
      <c r="G121" s="3124"/>
    </row>
    <row r="122" spans="1:9" ht="20.100000000000001" customHeight="1">
      <c r="A122" s="3124">
        <v>121</v>
      </c>
      <c r="B122" s="3124" t="s">
        <v>3387</v>
      </c>
      <c r="C122" s="3124" t="s">
        <v>3388</v>
      </c>
      <c r="D122" s="3124" t="s">
        <v>3510</v>
      </c>
      <c r="E122" s="3124" t="s">
        <v>3390</v>
      </c>
      <c r="F122" s="3124">
        <v>45.24</v>
      </c>
      <c r="G122" s="3124"/>
    </row>
    <row r="123" spans="1:9" ht="20.100000000000001" customHeight="1">
      <c r="A123" s="3124">
        <v>122</v>
      </c>
      <c r="B123" s="3124" t="s">
        <v>3387</v>
      </c>
      <c r="C123" s="3124" t="s">
        <v>3388</v>
      </c>
      <c r="D123" s="3124" t="s">
        <v>3511</v>
      </c>
      <c r="E123" s="3124" t="s">
        <v>3390</v>
      </c>
      <c r="F123" s="3124">
        <v>45.24</v>
      </c>
      <c r="G123" s="3124"/>
    </row>
    <row r="124" spans="1:9" ht="20.100000000000001" customHeight="1">
      <c r="A124" s="3124">
        <v>123</v>
      </c>
      <c r="B124" s="3124" t="s">
        <v>3387</v>
      </c>
      <c r="C124" s="3124" t="s">
        <v>3388</v>
      </c>
      <c r="D124" s="3124" t="s">
        <v>3512</v>
      </c>
      <c r="E124" s="3124" t="s">
        <v>3390</v>
      </c>
      <c r="F124" s="3124">
        <v>45.24</v>
      </c>
      <c r="G124" s="3124"/>
    </row>
    <row r="125" spans="1:9" ht="20.100000000000001" customHeight="1">
      <c r="A125" s="3124">
        <v>124</v>
      </c>
      <c r="B125" s="3124" t="s">
        <v>3387</v>
      </c>
      <c r="C125" s="3124" t="s">
        <v>3388</v>
      </c>
      <c r="D125" s="3124" t="s">
        <v>3513</v>
      </c>
      <c r="E125" s="3124" t="s">
        <v>3390</v>
      </c>
      <c r="F125" s="3124">
        <v>45.24</v>
      </c>
      <c r="G125" s="3124"/>
    </row>
    <row r="126" spans="1:9" ht="20.100000000000001" customHeight="1">
      <c r="A126" s="3124">
        <v>125</v>
      </c>
      <c r="B126" s="3124" t="s">
        <v>3387</v>
      </c>
      <c r="C126" s="3124" t="s">
        <v>3388</v>
      </c>
      <c r="D126" s="3124" t="s">
        <v>3514</v>
      </c>
      <c r="E126" s="3124" t="s">
        <v>3390</v>
      </c>
      <c r="F126" s="3124">
        <v>45.24</v>
      </c>
      <c r="G126" s="3124"/>
    </row>
    <row r="127" spans="1:9" ht="20.100000000000001" customHeight="1">
      <c r="A127" s="3124">
        <v>126</v>
      </c>
      <c r="B127" s="3124" t="s">
        <v>3387</v>
      </c>
      <c r="C127" s="3124" t="s">
        <v>3388</v>
      </c>
      <c r="D127" s="3124" t="s">
        <v>3515</v>
      </c>
      <c r="E127" s="3124" t="s">
        <v>3390</v>
      </c>
      <c r="F127" s="3124">
        <v>45.24</v>
      </c>
      <c r="G127" s="3124"/>
    </row>
    <row r="128" spans="1:9" ht="20.100000000000001" customHeight="1">
      <c r="A128" s="3124">
        <v>127</v>
      </c>
      <c r="B128" s="3124" t="s">
        <v>3387</v>
      </c>
      <c r="C128" s="3124" t="s">
        <v>3388</v>
      </c>
      <c r="D128" s="3124" t="s">
        <v>3516</v>
      </c>
      <c r="E128" s="3124" t="s">
        <v>3390</v>
      </c>
      <c r="F128" s="3124">
        <v>45.24</v>
      </c>
      <c r="G128" s="3124"/>
    </row>
    <row r="129" spans="1:11" ht="20.100000000000001" customHeight="1">
      <c r="A129" s="3124">
        <v>128</v>
      </c>
      <c r="B129" s="3124" t="s">
        <v>3387</v>
      </c>
      <c r="C129" s="3124" t="s">
        <v>3388</v>
      </c>
      <c r="D129" s="3124" t="s">
        <v>3517</v>
      </c>
      <c r="E129" s="3124" t="s">
        <v>3390</v>
      </c>
      <c r="F129" s="3124">
        <v>45.24</v>
      </c>
      <c r="G129" s="3124"/>
    </row>
    <row r="130" spans="1:11" ht="20.100000000000001" customHeight="1">
      <c r="A130" s="3124">
        <v>129</v>
      </c>
      <c r="B130" s="3124" t="s">
        <v>3387</v>
      </c>
      <c r="C130" s="3124" t="s">
        <v>3388</v>
      </c>
      <c r="D130" s="3124" t="s">
        <v>3518</v>
      </c>
      <c r="E130" s="3124" t="s">
        <v>3390</v>
      </c>
      <c r="F130" s="3124">
        <v>45.24</v>
      </c>
      <c r="G130" s="3124"/>
    </row>
    <row r="131" spans="1:11" ht="20.100000000000001" customHeight="1">
      <c r="A131" s="3124">
        <v>130</v>
      </c>
      <c r="B131" s="3124" t="s">
        <v>3387</v>
      </c>
      <c r="C131" s="3124" t="s">
        <v>3388</v>
      </c>
      <c r="D131" s="3124" t="s">
        <v>3519</v>
      </c>
      <c r="E131" s="3124" t="s">
        <v>3390</v>
      </c>
      <c r="F131" s="3124">
        <v>45.24</v>
      </c>
      <c r="G131" s="3124"/>
    </row>
    <row r="132" spans="1:11" ht="20.100000000000001" customHeight="1">
      <c r="A132" s="3124">
        <v>131</v>
      </c>
      <c r="B132" s="3124" t="s">
        <v>3387</v>
      </c>
      <c r="C132" s="3124" t="s">
        <v>3388</v>
      </c>
      <c r="D132" s="3124" t="s">
        <v>3520</v>
      </c>
      <c r="E132" s="3124" t="s">
        <v>3390</v>
      </c>
      <c r="F132" s="3124">
        <v>45.24</v>
      </c>
      <c r="G132" s="3124"/>
    </row>
    <row r="133" spans="1:11" ht="20.100000000000001" customHeight="1">
      <c r="A133" s="3124">
        <v>132</v>
      </c>
      <c r="B133" s="3124" t="s">
        <v>3387</v>
      </c>
      <c r="C133" s="3124" t="s">
        <v>3388</v>
      </c>
      <c r="D133" s="3124" t="s">
        <v>3521</v>
      </c>
      <c r="E133" s="3124" t="s">
        <v>3390</v>
      </c>
      <c r="F133" s="3124">
        <v>45.24</v>
      </c>
      <c r="G133" s="3124"/>
    </row>
    <row r="134" spans="1:11" ht="20.100000000000001" customHeight="1">
      <c r="A134" s="3124">
        <v>133</v>
      </c>
      <c r="B134" s="3124" t="s">
        <v>3387</v>
      </c>
      <c r="C134" s="3124" t="s">
        <v>3388</v>
      </c>
      <c r="D134" s="3124" t="s">
        <v>3522</v>
      </c>
      <c r="E134" s="3124" t="s">
        <v>3390</v>
      </c>
      <c r="F134" s="3124">
        <v>45.24</v>
      </c>
      <c r="G134" s="3124"/>
    </row>
    <row r="135" spans="1:11" ht="20.100000000000001" customHeight="1">
      <c r="A135" s="3124">
        <v>134</v>
      </c>
      <c r="B135" s="3124" t="s">
        <v>3387</v>
      </c>
      <c r="C135" s="3124" t="s">
        <v>3388</v>
      </c>
      <c r="D135" s="3124" t="s">
        <v>3523</v>
      </c>
      <c r="E135" s="3124" t="s">
        <v>3390</v>
      </c>
      <c r="F135" s="3124">
        <v>45.24</v>
      </c>
      <c r="G135" s="3124"/>
    </row>
    <row r="136" spans="1:11" ht="20.100000000000001" customHeight="1">
      <c r="A136" s="3124">
        <v>135</v>
      </c>
      <c r="B136" s="3124" t="s">
        <v>3387</v>
      </c>
      <c r="C136" s="3124" t="s">
        <v>3388</v>
      </c>
      <c r="D136" s="3124" t="s">
        <v>3524</v>
      </c>
      <c r="E136" s="3124" t="s">
        <v>3390</v>
      </c>
      <c r="F136" s="3124">
        <v>45.24</v>
      </c>
      <c r="G136" s="3124"/>
    </row>
    <row r="137" spans="1:11" ht="20.100000000000001" customHeight="1">
      <c r="A137" s="3124">
        <v>136</v>
      </c>
      <c r="B137" s="3124" t="s">
        <v>3387</v>
      </c>
      <c r="C137" s="3124" t="s">
        <v>3388</v>
      </c>
      <c r="D137" s="3124" t="s">
        <v>3525</v>
      </c>
      <c r="E137" s="3124" t="s">
        <v>3390</v>
      </c>
      <c r="F137" s="3124">
        <v>45.24</v>
      </c>
      <c r="G137" s="3124"/>
    </row>
    <row r="138" spans="1:11" ht="20.100000000000001" customHeight="1">
      <c r="A138" s="3124">
        <v>137</v>
      </c>
      <c r="B138" s="3124" t="s">
        <v>3387</v>
      </c>
      <c r="C138" s="3124" t="s">
        <v>3388</v>
      </c>
      <c r="D138" s="3124" t="s">
        <v>3526</v>
      </c>
      <c r="E138" s="3124" t="s">
        <v>3390</v>
      </c>
      <c r="F138" s="3124">
        <v>45.24</v>
      </c>
      <c r="G138" s="3124"/>
    </row>
    <row r="139" spans="1:11" ht="20.100000000000001" customHeight="1">
      <c r="A139" s="3124">
        <v>138</v>
      </c>
      <c r="B139" s="3124" t="s">
        <v>3387</v>
      </c>
      <c r="C139" s="3124" t="s">
        <v>3388</v>
      </c>
      <c r="D139" s="3124" t="s">
        <v>3527</v>
      </c>
      <c r="E139" s="3124" t="s">
        <v>3390</v>
      </c>
      <c r="F139" s="3124">
        <v>45.24</v>
      </c>
      <c r="G139" s="3124"/>
    </row>
    <row r="140" spans="1:11" ht="20.100000000000001" customHeight="1">
      <c r="A140" s="3124">
        <v>139</v>
      </c>
      <c r="B140" s="3124" t="s">
        <v>3387</v>
      </c>
      <c r="C140" s="3124" t="s">
        <v>3388</v>
      </c>
      <c r="D140" s="3124" t="s">
        <v>3528</v>
      </c>
      <c r="E140" s="3124" t="s">
        <v>3390</v>
      </c>
      <c r="F140" s="3124">
        <v>52.78</v>
      </c>
      <c r="G140" s="3124"/>
    </row>
    <row r="141" spans="1:11" ht="20.100000000000001" customHeight="1">
      <c r="A141" s="3124">
        <v>140</v>
      </c>
      <c r="B141" s="3124" t="s">
        <v>3387</v>
      </c>
      <c r="C141" s="3124" t="s">
        <v>3388</v>
      </c>
      <c r="D141" s="3124" t="s">
        <v>3529</v>
      </c>
      <c r="E141" s="3124" t="s">
        <v>3390</v>
      </c>
      <c r="F141" s="3124">
        <v>43.36</v>
      </c>
      <c r="G141" s="3124"/>
      <c r="I141" s="3125">
        <f>SUM(F118:F141)</f>
        <v>1091.42</v>
      </c>
      <c r="J141" s="3125">
        <f>48.07+56.55+45.24*3+48.07</f>
        <v>288.41000000000003</v>
      </c>
      <c r="K141" s="3125">
        <f>I141+J141</f>
        <v>1379.8300000000002</v>
      </c>
    </row>
    <row r="142" spans="1:11" ht="20.100000000000001" customHeight="1">
      <c r="A142" s="3124">
        <v>141</v>
      </c>
      <c r="B142" s="3124" t="s">
        <v>3387</v>
      </c>
      <c r="C142" s="3124" t="s">
        <v>3388</v>
      </c>
      <c r="D142" s="3124" t="s">
        <v>3530</v>
      </c>
      <c r="E142" s="3124" t="s">
        <v>3390</v>
      </c>
      <c r="F142" s="3124">
        <v>43.36</v>
      </c>
      <c r="G142" s="3124"/>
    </row>
    <row r="143" spans="1:11" ht="20.100000000000001" customHeight="1">
      <c r="A143" s="3124">
        <v>142</v>
      </c>
      <c r="B143" s="3124" t="s">
        <v>3387</v>
      </c>
      <c r="C143" s="3124" t="s">
        <v>3388</v>
      </c>
      <c r="D143" s="3124" t="s">
        <v>3531</v>
      </c>
      <c r="E143" s="3124" t="s">
        <v>3390</v>
      </c>
      <c r="F143" s="3124">
        <v>43.36</v>
      </c>
      <c r="G143" s="3124"/>
    </row>
    <row r="144" spans="1:11" ht="20.100000000000001" customHeight="1">
      <c r="A144" s="3124">
        <v>143</v>
      </c>
      <c r="B144" s="3124" t="s">
        <v>3387</v>
      </c>
      <c r="C144" s="3124" t="s">
        <v>3388</v>
      </c>
      <c r="D144" s="3124" t="s">
        <v>3532</v>
      </c>
      <c r="E144" s="3124" t="s">
        <v>3390</v>
      </c>
      <c r="F144" s="3124">
        <v>40.380000000000003</v>
      </c>
      <c r="G144" s="3124"/>
    </row>
    <row r="145" spans="1:7" ht="20.100000000000001" customHeight="1">
      <c r="A145" s="3124">
        <v>144</v>
      </c>
      <c r="B145" s="3124" t="s">
        <v>3387</v>
      </c>
      <c r="C145" s="3124" t="s">
        <v>3388</v>
      </c>
      <c r="D145" s="3124" t="s">
        <v>3533</v>
      </c>
      <c r="E145" s="3124" t="s">
        <v>3390</v>
      </c>
      <c r="F145" s="3124">
        <v>40.380000000000003</v>
      </c>
      <c r="G145" s="3124"/>
    </row>
    <row r="146" spans="1:7" ht="20.100000000000001" customHeight="1">
      <c r="A146" s="3124">
        <v>145</v>
      </c>
      <c r="B146" s="3124" t="s">
        <v>3387</v>
      </c>
      <c r="C146" s="3124" t="s">
        <v>3388</v>
      </c>
      <c r="D146" s="3124" t="s">
        <v>3534</v>
      </c>
      <c r="E146" s="3124" t="s">
        <v>3390</v>
      </c>
      <c r="F146" s="3124">
        <v>47.13</v>
      </c>
      <c r="G146" s="3124"/>
    </row>
    <row r="147" spans="1:7" ht="20.100000000000001" customHeight="1">
      <c r="A147" s="3124">
        <v>146</v>
      </c>
      <c r="B147" s="3124" t="s">
        <v>3387</v>
      </c>
      <c r="C147" s="3124" t="s">
        <v>3388</v>
      </c>
      <c r="D147" s="3124" t="s">
        <v>3535</v>
      </c>
      <c r="E147" s="3124" t="s">
        <v>3390</v>
      </c>
      <c r="F147" s="3124">
        <v>45.24</v>
      </c>
      <c r="G147" s="3124"/>
    </row>
    <row r="148" spans="1:7" ht="20.100000000000001" customHeight="1">
      <c r="A148" s="3124">
        <v>147</v>
      </c>
      <c r="B148" s="3124" t="s">
        <v>3387</v>
      </c>
      <c r="C148" s="3124" t="s">
        <v>3388</v>
      </c>
      <c r="D148" s="3124" t="s">
        <v>3536</v>
      </c>
      <c r="E148" s="3124" t="s">
        <v>3390</v>
      </c>
      <c r="F148" s="3124">
        <v>45.24</v>
      </c>
      <c r="G148" s="3124"/>
    </row>
    <row r="149" spans="1:7" ht="20.100000000000001" customHeight="1">
      <c r="A149" s="3124">
        <v>148</v>
      </c>
      <c r="B149" s="3124" t="s">
        <v>3387</v>
      </c>
      <c r="C149" s="3124" t="s">
        <v>3388</v>
      </c>
      <c r="D149" s="3124" t="s">
        <v>3537</v>
      </c>
      <c r="E149" s="3124" t="s">
        <v>3390</v>
      </c>
      <c r="F149" s="3124">
        <v>45.24</v>
      </c>
      <c r="G149" s="3124"/>
    </row>
    <row r="150" spans="1:7" ht="20.100000000000001" customHeight="1">
      <c r="A150" s="3124">
        <v>149</v>
      </c>
      <c r="B150" s="3124" t="s">
        <v>3387</v>
      </c>
      <c r="C150" s="3124" t="s">
        <v>3388</v>
      </c>
      <c r="D150" s="3124" t="s">
        <v>3538</v>
      </c>
      <c r="E150" s="3124" t="s">
        <v>3390</v>
      </c>
      <c r="F150" s="3124">
        <v>41.47</v>
      </c>
      <c r="G150" s="3124"/>
    </row>
    <row r="151" spans="1:7" ht="20.100000000000001" customHeight="1">
      <c r="A151" s="3124">
        <v>150</v>
      </c>
      <c r="B151" s="3124" t="s">
        <v>3387</v>
      </c>
      <c r="C151" s="3124" t="s">
        <v>3388</v>
      </c>
      <c r="D151" s="3124" t="s">
        <v>3539</v>
      </c>
      <c r="E151" s="3124" t="s">
        <v>3390</v>
      </c>
      <c r="F151" s="3124">
        <v>45.24</v>
      </c>
      <c r="G151" s="3124"/>
    </row>
    <row r="152" spans="1:7" ht="20.100000000000001" customHeight="1">
      <c r="A152" s="3124">
        <v>151</v>
      </c>
      <c r="B152" s="3124" t="s">
        <v>3387</v>
      </c>
      <c r="C152" s="3124" t="s">
        <v>3388</v>
      </c>
      <c r="D152" s="3124" t="s">
        <v>3540</v>
      </c>
      <c r="E152" s="3124" t="s">
        <v>3390</v>
      </c>
      <c r="F152" s="3124">
        <v>47.05</v>
      </c>
      <c r="G152" s="3124"/>
    </row>
    <row r="153" spans="1:7" ht="20.100000000000001" customHeight="1">
      <c r="A153" s="3124">
        <v>152</v>
      </c>
      <c r="B153" s="3124" t="s">
        <v>3387</v>
      </c>
      <c r="C153" s="3124" t="s">
        <v>3388</v>
      </c>
      <c r="D153" s="3124" t="s">
        <v>3541</v>
      </c>
      <c r="E153" s="3124" t="s">
        <v>3390</v>
      </c>
      <c r="F153" s="3124">
        <v>47.05</v>
      </c>
      <c r="G153" s="3124"/>
    </row>
    <row r="154" spans="1:7" ht="20.100000000000001" customHeight="1">
      <c r="A154" s="3124">
        <v>153</v>
      </c>
      <c r="B154" s="3124" t="s">
        <v>3387</v>
      </c>
      <c r="C154" s="3124" t="s">
        <v>3388</v>
      </c>
      <c r="D154" s="3124" t="s">
        <v>3542</v>
      </c>
      <c r="E154" s="3124" t="s">
        <v>3390</v>
      </c>
      <c r="F154" s="3124">
        <v>47.05</v>
      </c>
      <c r="G154" s="3124"/>
    </row>
    <row r="155" spans="1:7" ht="20.100000000000001" customHeight="1">
      <c r="A155" s="3124">
        <v>154</v>
      </c>
      <c r="B155" s="3124" t="s">
        <v>3387</v>
      </c>
      <c r="C155" s="3124" t="s">
        <v>3388</v>
      </c>
      <c r="D155" s="3124" t="s">
        <v>3543</v>
      </c>
      <c r="E155" s="3124" t="s">
        <v>3390</v>
      </c>
      <c r="F155" s="3124">
        <v>45.09</v>
      </c>
      <c r="G155" s="3124"/>
    </row>
    <row r="156" spans="1:7" ht="20.100000000000001" customHeight="1">
      <c r="A156" s="3124">
        <v>155</v>
      </c>
      <c r="B156" s="3124" t="s">
        <v>3387</v>
      </c>
      <c r="C156" s="3124" t="s">
        <v>3388</v>
      </c>
      <c r="D156" s="3124" t="s">
        <v>3544</v>
      </c>
      <c r="E156" s="3124" t="s">
        <v>3390</v>
      </c>
      <c r="F156" s="3124">
        <v>47.05</v>
      </c>
      <c r="G156" s="3124"/>
    </row>
    <row r="157" spans="1:7" ht="20.100000000000001" customHeight="1">
      <c r="A157" s="3124">
        <v>156</v>
      </c>
      <c r="B157" s="3124" t="s">
        <v>3387</v>
      </c>
      <c r="C157" s="3124" t="s">
        <v>3388</v>
      </c>
      <c r="D157" s="3124" t="s">
        <v>3545</v>
      </c>
      <c r="E157" s="3124" t="s">
        <v>3390</v>
      </c>
      <c r="F157" s="3124">
        <v>47.05</v>
      </c>
      <c r="G157" s="3124"/>
    </row>
    <row r="158" spans="1:7" ht="20.100000000000001" customHeight="1">
      <c r="A158" s="3124">
        <v>157</v>
      </c>
      <c r="B158" s="3124" t="s">
        <v>3387</v>
      </c>
      <c r="C158" s="3124" t="s">
        <v>3388</v>
      </c>
      <c r="D158" s="3124" t="s">
        <v>3546</v>
      </c>
      <c r="E158" s="3124" t="s">
        <v>3390</v>
      </c>
      <c r="F158" s="3124">
        <v>45.09</v>
      </c>
      <c r="G158" s="3124"/>
    </row>
    <row r="159" spans="1:7" ht="20.100000000000001" customHeight="1">
      <c r="A159" s="3124">
        <v>158</v>
      </c>
      <c r="B159" s="3124" t="s">
        <v>3387</v>
      </c>
      <c r="C159" s="3124" t="s">
        <v>3388</v>
      </c>
      <c r="D159" s="3124" t="s">
        <v>3547</v>
      </c>
      <c r="E159" s="3124" t="s">
        <v>3390</v>
      </c>
      <c r="F159" s="3124">
        <v>47.05</v>
      </c>
      <c r="G159" s="3124"/>
    </row>
    <row r="160" spans="1:7" ht="20.100000000000001" customHeight="1">
      <c r="A160" s="3124">
        <v>159</v>
      </c>
      <c r="B160" s="3124" t="s">
        <v>3387</v>
      </c>
      <c r="C160" s="3124" t="s">
        <v>3388</v>
      </c>
      <c r="D160" s="3124" t="s">
        <v>3548</v>
      </c>
      <c r="E160" s="3124" t="s">
        <v>3390</v>
      </c>
      <c r="F160" s="3124">
        <v>47.05</v>
      </c>
      <c r="G160" s="3124"/>
    </row>
    <row r="161" spans="1:7" ht="20.100000000000001" customHeight="1">
      <c r="A161" s="3124">
        <v>160</v>
      </c>
      <c r="B161" s="3124" t="s">
        <v>3387</v>
      </c>
      <c r="C161" s="3124" t="s">
        <v>3388</v>
      </c>
      <c r="D161" s="3124" t="s">
        <v>3549</v>
      </c>
      <c r="E161" s="3124" t="s">
        <v>3390</v>
      </c>
      <c r="F161" s="3124">
        <v>45.09</v>
      </c>
      <c r="G161" s="3124"/>
    </row>
    <row r="162" spans="1:7" ht="20.100000000000001" customHeight="1">
      <c r="A162" s="3124">
        <v>161</v>
      </c>
      <c r="B162" s="3124" t="s">
        <v>3387</v>
      </c>
      <c r="C162" s="3124" t="s">
        <v>3388</v>
      </c>
      <c r="D162" s="3124" t="s">
        <v>3550</v>
      </c>
      <c r="E162" s="3124" t="s">
        <v>3390</v>
      </c>
      <c r="F162" s="3124">
        <v>47.05</v>
      </c>
      <c r="G162" s="3124"/>
    </row>
    <row r="163" spans="1:7" ht="20.100000000000001" customHeight="1">
      <c r="A163" s="3124">
        <v>162</v>
      </c>
      <c r="B163" s="3124" t="s">
        <v>3387</v>
      </c>
      <c r="C163" s="3124" t="s">
        <v>3388</v>
      </c>
      <c r="D163" s="3124" t="s">
        <v>3551</v>
      </c>
      <c r="E163" s="3124" t="s">
        <v>3390</v>
      </c>
      <c r="F163" s="3124">
        <v>47.05</v>
      </c>
      <c r="G163" s="3124"/>
    </row>
    <row r="164" spans="1:7" ht="20.100000000000001" customHeight="1">
      <c r="A164" s="3124">
        <v>163</v>
      </c>
      <c r="B164" s="3124" t="s">
        <v>3387</v>
      </c>
      <c r="C164" s="3124" t="s">
        <v>3388</v>
      </c>
      <c r="D164" s="3124" t="s">
        <v>3552</v>
      </c>
      <c r="E164" s="3124" t="s">
        <v>3390</v>
      </c>
      <c r="F164" s="3124">
        <v>45.09</v>
      </c>
      <c r="G164" s="3124"/>
    </row>
    <row r="165" spans="1:7" ht="20.100000000000001" customHeight="1">
      <c r="A165" s="3124">
        <v>164</v>
      </c>
      <c r="B165" s="3124" t="s">
        <v>3387</v>
      </c>
      <c r="C165" s="3124" t="s">
        <v>3388</v>
      </c>
      <c r="D165" s="3124" t="s">
        <v>3553</v>
      </c>
      <c r="E165" s="3124" t="s">
        <v>3390</v>
      </c>
      <c r="F165" s="3124">
        <v>47.05</v>
      </c>
      <c r="G165" s="3124"/>
    </row>
    <row r="166" spans="1:7" ht="20.100000000000001" customHeight="1">
      <c r="A166" s="3124">
        <v>165</v>
      </c>
      <c r="B166" s="3124" t="s">
        <v>3387</v>
      </c>
      <c r="C166" s="3124" t="s">
        <v>3388</v>
      </c>
      <c r="D166" s="3124" t="s">
        <v>3554</v>
      </c>
      <c r="E166" s="3124" t="s">
        <v>3390</v>
      </c>
      <c r="F166" s="3124">
        <v>45.24</v>
      </c>
      <c r="G166" s="3124"/>
    </row>
    <row r="167" spans="1:7" ht="20.100000000000001" customHeight="1">
      <c r="A167" s="3124">
        <v>166</v>
      </c>
      <c r="B167" s="3124" t="s">
        <v>3387</v>
      </c>
      <c r="C167" s="3124" t="s">
        <v>3388</v>
      </c>
      <c r="D167" s="3124" t="s">
        <v>3555</v>
      </c>
      <c r="E167" s="3124" t="s">
        <v>3390</v>
      </c>
      <c r="F167" s="3124">
        <v>45.24</v>
      </c>
      <c r="G167" s="3124"/>
    </row>
    <row r="168" spans="1:7" ht="20.100000000000001" customHeight="1">
      <c r="A168" s="3124">
        <v>167</v>
      </c>
      <c r="B168" s="3124" t="s">
        <v>3387</v>
      </c>
      <c r="C168" s="3124" t="s">
        <v>3388</v>
      </c>
      <c r="D168" s="3124" t="s">
        <v>3556</v>
      </c>
      <c r="E168" s="3124" t="s">
        <v>3390</v>
      </c>
      <c r="F168" s="3124">
        <v>45.24</v>
      </c>
      <c r="G168" s="3124"/>
    </row>
    <row r="169" spans="1:7" ht="20.100000000000001" customHeight="1">
      <c r="A169" s="3124">
        <v>168</v>
      </c>
      <c r="B169" s="3124" t="s">
        <v>3387</v>
      </c>
      <c r="C169" s="3124" t="s">
        <v>3388</v>
      </c>
      <c r="D169" s="3124" t="s">
        <v>3557</v>
      </c>
      <c r="E169" s="3124" t="s">
        <v>3390</v>
      </c>
      <c r="F169" s="3124">
        <v>45.24</v>
      </c>
      <c r="G169" s="3124"/>
    </row>
    <row r="170" spans="1:7" ht="20.100000000000001" customHeight="1">
      <c r="A170" s="3124">
        <v>169</v>
      </c>
      <c r="B170" s="3124" t="s">
        <v>3387</v>
      </c>
      <c r="C170" s="3124" t="s">
        <v>3388</v>
      </c>
      <c r="D170" s="3124" t="s">
        <v>3558</v>
      </c>
      <c r="E170" s="3124" t="s">
        <v>3390</v>
      </c>
      <c r="F170" s="3124">
        <v>45.24</v>
      </c>
      <c r="G170" s="3124"/>
    </row>
    <row r="171" spans="1:7" ht="20.100000000000001" customHeight="1">
      <c r="A171" s="3124">
        <v>170</v>
      </c>
      <c r="B171" s="3124" t="s">
        <v>3387</v>
      </c>
      <c r="C171" s="3124" t="s">
        <v>3388</v>
      </c>
      <c r="D171" s="3124" t="s">
        <v>3559</v>
      </c>
      <c r="E171" s="3124" t="s">
        <v>3390</v>
      </c>
      <c r="F171" s="3124">
        <v>45.24</v>
      </c>
      <c r="G171" s="3124"/>
    </row>
    <row r="172" spans="1:7" ht="20.100000000000001" customHeight="1">
      <c r="A172" s="3124">
        <v>171</v>
      </c>
      <c r="B172" s="3124" t="s">
        <v>3387</v>
      </c>
      <c r="C172" s="3124" t="s">
        <v>3388</v>
      </c>
      <c r="D172" s="3124" t="s">
        <v>3560</v>
      </c>
      <c r="E172" s="3124" t="s">
        <v>3390</v>
      </c>
      <c r="F172" s="3124">
        <v>45.24</v>
      </c>
      <c r="G172" s="3124"/>
    </row>
    <row r="173" spans="1:7" ht="20.100000000000001" customHeight="1">
      <c r="A173" s="3124">
        <v>172</v>
      </c>
      <c r="B173" s="3124" t="s">
        <v>3387</v>
      </c>
      <c r="C173" s="3124" t="s">
        <v>3388</v>
      </c>
      <c r="D173" s="3124" t="s">
        <v>3561</v>
      </c>
      <c r="E173" s="3124" t="s">
        <v>3390</v>
      </c>
      <c r="F173" s="3124">
        <v>45.24</v>
      </c>
      <c r="G173" s="3124"/>
    </row>
    <row r="174" spans="1:7" ht="20.100000000000001" customHeight="1">
      <c r="A174" s="3124">
        <v>173</v>
      </c>
      <c r="B174" s="3124" t="s">
        <v>3387</v>
      </c>
      <c r="C174" s="3124" t="s">
        <v>3388</v>
      </c>
      <c r="D174" s="3124" t="s">
        <v>3562</v>
      </c>
      <c r="E174" s="3124" t="s">
        <v>3390</v>
      </c>
      <c r="F174" s="3124">
        <v>45.24</v>
      </c>
      <c r="G174" s="3124"/>
    </row>
    <row r="175" spans="1:7" ht="20.100000000000001" customHeight="1">
      <c r="A175" s="3124">
        <v>174</v>
      </c>
      <c r="B175" s="3124" t="s">
        <v>3387</v>
      </c>
      <c r="C175" s="3124" t="s">
        <v>3388</v>
      </c>
      <c r="D175" s="3124" t="s">
        <v>3563</v>
      </c>
      <c r="E175" s="3124" t="s">
        <v>3390</v>
      </c>
      <c r="F175" s="3124">
        <v>45.24</v>
      </c>
      <c r="G175" s="3124"/>
    </row>
    <row r="176" spans="1:7" ht="20.100000000000001" customHeight="1">
      <c r="A176" s="3124">
        <v>175</v>
      </c>
      <c r="B176" s="3124" t="s">
        <v>3387</v>
      </c>
      <c r="C176" s="3124" t="s">
        <v>3388</v>
      </c>
      <c r="D176" s="3124" t="s">
        <v>3564</v>
      </c>
      <c r="E176" s="3124" t="s">
        <v>3390</v>
      </c>
      <c r="F176" s="3124">
        <v>45.24</v>
      </c>
      <c r="G176" s="3124"/>
    </row>
    <row r="177" spans="1:7" ht="20.100000000000001" customHeight="1">
      <c r="A177" s="3124">
        <v>176</v>
      </c>
      <c r="B177" s="3124" t="s">
        <v>3387</v>
      </c>
      <c r="C177" s="3124" t="s">
        <v>3388</v>
      </c>
      <c r="D177" s="3124" t="s">
        <v>3565</v>
      </c>
      <c r="E177" s="3124" t="s">
        <v>3390</v>
      </c>
      <c r="F177" s="3124">
        <v>45.24</v>
      </c>
      <c r="G177" s="3124"/>
    </row>
    <row r="178" spans="1:7" ht="20.100000000000001" customHeight="1">
      <c r="A178" s="3124">
        <v>177</v>
      </c>
      <c r="B178" s="3124" t="s">
        <v>3387</v>
      </c>
      <c r="C178" s="3124" t="s">
        <v>3388</v>
      </c>
      <c r="D178" s="3124" t="s">
        <v>3566</v>
      </c>
      <c r="E178" s="3124" t="s">
        <v>3390</v>
      </c>
      <c r="F178" s="3124">
        <v>47.96</v>
      </c>
      <c r="G178" s="3124"/>
    </row>
    <row r="179" spans="1:7" ht="20.100000000000001" customHeight="1">
      <c r="A179" s="3124">
        <v>178</v>
      </c>
      <c r="B179" s="3124" t="s">
        <v>3387</v>
      </c>
      <c r="C179" s="3124" t="s">
        <v>3388</v>
      </c>
      <c r="D179" s="3124" t="s">
        <v>3567</v>
      </c>
      <c r="E179" s="3124" t="s">
        <v>3390</v>
      </c>
      <c r="F179" s="3124">
        <v>47.96</v>
      </c>
      <c r="G179" s="3124"/>
    </row>
    <row r="180" spans="1:7" ht="20.100000000000001" customHeight="1">
      <c r="A180" s="3124">
        <v>179</v>
      </c>
      <c r="B180" s="3124" t="s">
        <v>3387</v>
      </c>
      <c r="C180" s="3124" t="s">
        <v>3388</v>
      </c>
      <c r="D180" s="3124" t="s">
        <v>3568</v>
      </c>
      <c r="E180" s="3124" t="s">
        <v>3390</v>
      </c>
      <c r="F180" s="3124">
        <v>47.96</v>
      </c>
      <c r="G180" s="3124"/>
    </row>
    <row r="181" spans="1:7" ht="20.100000000000001" customHeight="1">
      <c r="A181" s="3124">
        <v>180</v>
      </c>
      <c r="B181" s="3124" t="s">
        <v>3387</v>
      </c>
      <c r="C181" s="3124" t="s">
        <v>3388</v>
      </c>
      <c r="D181" s="3124" t="s">
        <v>3569</v>
      </c>
      <c r="E181" s="3124" t="s">
        <v>3390</v>
      </c>
      <c r="F181" s="3124">
        <v>47.96</v>
      </c>
      <c r="G181" s="3124"/>
    </row>
    <row r="182" spans="1:7" ht="20.100000000000001" customHeight="1">
      <c r="A182" s="3124">
        <v>181</v>
      </c>
      <c r="B182" s="3124" t="s">
        <v>3387</v>
      </c>
      <c r="C182" s="3124" t="s">
        <v>3388</v>
      </c>
      <c r="D182" s="3124" t="s">
        <v>3570</v>
      </c>
      <c r="E182" s="3124" t="s">
        <v>3390</v>
      </c>
      <c r="F182" s="3124">
        <v>47.96</v>
      </c>
      <c r="G182" s="3124"/>
    </row>
    <row r="183" spans="1:7" ht="20.100000000000001" customHeight="1">
      <c r="A183" s="3124">
        <v>182</v>
      </c>
      <c r="B183" s="3124" t="s">
        <v>3387</v>
      </c>
      <c r="C183" s="3124" t="s">
        <v>3388</v>
      </c>
      <c r="D183" s="3124" t="s">
        <v>3571</v>
      </c>
      <c r="E183" s="3124" t="s">
        <v>3390</v>
      </c>
      <c r="F183" s="3124">
        <v>47.96</v>
      </c>
      <c r="G183" s="3124"/>
    </row>
    <row r="184" spans="1:7" ht="20.100000000000001" customHeight="1">
      <c r="A184" s="3124">
        <v>183</v>
      </c>
      <c r="B184" s="3124" t="s">
        <v>3387</v>
      </c>
      <c r="C184" s="3124" t="s">
        <v>3388</v>
      </c>
      <c r="D184" s="3124" t="s">
        <v>3572</v>
      </c>
      <c r="E184" s="3124" t="s">
        <v>3390</v>
      </c>
      <c r="F184" s="3124">
        <v>47.96</v>
      </c>
      <c r="G184" s="3124"/>
    </row>
    <row r="185" spans="1:7" ht="20.100000000000001" customHeight="1">
      <c r="A185" s="3124">
        <v>184</v>
      </c>
      <c r="B185" s="3124" t="s">
        <v>3387</v>
      </c>
      <c r="C185" s="3124" t="s">
        <v>3388</v>
      </c>
      <c r="D185" s="3124" t="s">
        <v>3573</v>
      </c>
      <c r="E185" s="3124" t="s">
        <v>3390</v>
      </c>
      <c r="F185" s="3124">
        <v>47.96</v>
      </c>
      <c r="G185" s="3124"/>
    </row>
    <row r="186" spans="1:7" ht="20.100000000000001" customHeight="1">
      <c r="A186" s="3124">
        <v>185</v>
      </c>
      <c r="B186" s="3124" t="s">
        <v>3387</v>
      </c>
      <c r="C186" s="3124" t="s">
        <v>3388</v>
      </c>
      <c r="D186" s="3124" t="s">
        <v>3574</v>
      </c>
      <c r="E186" s="3124" t="s">
        <v>3390</v>
      </c>
      <c r="F186" s="3124">
        <v>47.96</v>
      </c>
      <c r="G186" s="3124"/>
    </row>
    <row r="187" spans="1:7" ht="20.100000000000001" customHeight="1">
      <c r="A187" s="3124">
        <v>186</v>
      </c>
      <c r="B187" s="3124" t="s">
        <v>3387</v>
      </c>
      <c r="C187" s="3124" t="s">
        <v>3388</v>
      </c>
      <c r="D187" s="3124" t="s">
        <v>3575</v>
      </c>
      <c r="E187" s="3124" t="s">
        <v>3390</v>
      </c>
      <c r="F187" s="3124">
        <v>47.96</v>
      </c>
      <c r="G187" s="3124"/>
    </row>
    <row r="188" spans="1:7" ht="20.100000000000001" customHeight="1">
      <c r="A188" s="3124">
        <v>187</v>
      </c>
      <c r="B188" s="3124" t="s">
        <v>3387</v>
      </c>
      <c r="C188" s="3124" t="s">
        <v>3388</v>
      </c>
      <c r="D188" s="3124" t="s">
        <v>3576</v>
      </c>
      <c r="E188" s="3124" t="s">
        <v>3390</v>
      </c>
      <c r="F188" s="3124">
        <v>47.96</v>
      </c>
      <c r="G188" s="3124"/>
    </row>
    <row r="189" spans="1:7" ht="20.100000000000001" customHeight="1">
      <c r="A189" s="3124">
        <v>188</v>
      </c>
      <c r="B189" s="3124" t="s">
        <v>3387</v>
      </c>
      <c r="C189" s="3124" t="s">
        <v>3388</v>
      </c>
      <c r="D189" s="3124" t="s">
        <v>3577</v>
      </c>
      <c r="E189" s="3124" t="s">
        <v>3390</v>
      </c>
      <c r="F189" s="3124">
        <v>47.96</v>
      </c>
      <c r="G189" s="3124"/>
    </row>
    <row r="190" spans="1:7" ht="20.100000000000001" customHeight="1">
      <c r="A190" s="3124">
        <v>189</v>
      </c>
      <c r="B190" s="3124" t="s">
        <v>3387</v>
      </c>
      <c r="C190" s="3124" t="s">
        <v>3388</v>
      </c>
      <c r="D190" s="3124" t="s">
        <v>3578</v>
      </c>
      <c r="E190" s="3124" t="s">
        <v>3390</v>
      </c>
      <c r="F190" s="3124">
        <v>46.15</v>
      </c>
      <c r="G190" s="3124"/>
    </row>
    <row r="191" spans="1:7" ht="20.100000000000001" customHeight="1">
      <c r="A191" s="3124">
        <v>190</v>
      </c>
      <c r="B191" s="3124" t="s">
        <v>3387</v>
      </c>
      <c r="C191" s="3124" t="s">
        <v>3388</v>
      </c>
      <c r="D191" s="3124" t="s">
        <v>3579</v>
      </c>
      <c r="E191" s="3124" t="s">
        <v>3390</v>
      </c>
      <c r="F191" s="3124">
        <v>46.15</v>
      </c>
      <c r="G191" s="3124"/>
    </row>
    <row r="192" spans="1:7" ht="20.100000000000001" customHeight="1">
      <c r="A192" s="3124">
        <v>191</v>
      </c>
      <c r="B192" s="3124" t="s">
        <v>3387</v>
      </c>
      <c r="C192" s="3124" t="s">
        <v>3388</v>
      </c>
      <c r="D192" s="3124" t="s">
        <v>3580</v>
      </c>
      <c r="E192" s="3124" t="s">
        <v>3390</v>
      </c>
      <c r="F192" s="3124">
        <v>46.11</v>
      </c>
      <c r="G192" s="3124"/>
    </row>
    <row r="193" spans="1:7" ht="20.100000000000001" customHeight="1">
      <c r="A193" s="3124">
        <v>192</v>
      </c>
      <c r="B193" s="3124" t="s">
        <v>3387</v>
      </c>
      <c r="C193" s="3124" t="s">
        <v>3388</v>
      </c>
      <c r="D193" s="3124" t="s">
        <v>3581</v>
      </c>
      <c r="E193" s="3124" t="s">
        <v>3390</v>
      </c>
      <c r="F193" s="3124">
        <v>43.36</v>
      </c>
      <c r="G193" s="3124"/>
    </row>
    <row r="194" spans="1:7" ht="20.100000000000001" customHeight="1">
      <c r="A194" s="3124">
        <v>193</v>
      </c>
      <c r="B194" s="3124" t="s">
        <v>3387</v>
      </c>
      <c r="C194" s="3124" t="s">
        <v>3388</v>
      </c>
      <c r="D194" s="3124" t="s">
        <v>3582</v>
      </c>
      <c r="E194" s="3124" t="s">
        <v>3390</v>
      </c>
      <c r="F194" s="3124">
        <v>44.34</v>
      </c>
      <c r="G194" s="3124"/>
    </row>
    <row r="195" spans="1:7" ht="20.100000000000001" customHeight="1">
      <c r="A195" s="3124">
        <v>194</v>
      </c>
      <c r="B195" s="3124" t="s">
        <v>3387</v>
      </c>
      <c r="C195" s="3124" t="s">
        <v>3388</v>
      </c>
      <c r="D195" s="3124" t="s">
        <v>3583</v>
      </c>
      <c r="E195" s="3124" t="s">
        <v>3390</v>
      </c>
      <c r="F195" s="3124">
        <v>42.49</v>
      </c>
      <c r="G195" s="3124"/>
    </row>
    <row r="196" spans="1:7" ht="20.100000000000001" customHeight="1">
      <c r="A196" s="3124">
        <v>195</v>
      </c>
      <c r="B196" s="3124" t="s">
        <v>3387</v>
      </c>
      <c r="C196" s="3124" t="s">
        <v>3388</v>
      </c>
      <c r="D196" s="3124" t="s">
        <v>3584</v>
      </c>
      <c r="E196" s="3124" t="s">
        <v>3390</v>
      </c>
      <c r="F196" s="3124">
        <v>44.34</v>
      </c>
      <c r="G196" s="3124"/>
    </row>
    <row r="197" spans="1:7" ht="20.100000000000001" customHeight="1">
      <c r="A197" s="3124">
        <v>196</v>
      </c>
      <c r="B197" s="3124" t="s">
        <v>3387</v>
      </c>
      <c r="C197" s="3124" t="s">
        <v>3388</v>
      </c>
      <c r="D197" s="3124" t="s">
        <v>3585</v>
      </c>
      <c r="E197" s="3124" t="s">
        <v>3390</v>
      </c>
      <c r="F197" s="3124">
        <v>44.34</v>
      </c>
      <c r="G197" s="3124"/>
    </row>
    <row r="198" spans="1:7" ht="20.100000000000001" customHeight="1">
      <c r="A198" s="3124">
        <v>197</v>
      </c>
      <c r="B198" s="3124" t="s">
        <v>3387</v>
      </c>
      <c r="C198" s="3124" t="s">
        <v>3388</v>
      </c>
      <c r="D198" s="3124" t="s">
        <v>3586</v>
      </c>
      <c r="E198" s="3124" t="s">
        <v>3390</v>
      </c>
      <c r="F198" s="3124">
        <v>42.49</v>
      </c>
      <c r="G198" s="3124"/>
    </row>
    <row r="199" spans="1:7" ht="20.100000000000001" customHeight="1">
      <c r="A199" s="3124">
        <v>198</v>
      </c>
      <c r="B199" s="3124" t="s">
        <v>3387</v>
      </c>
      <c r="C199" s="3124" t="s">
        <v>3388</v>
      </c>
      <c r="D199" s="3124" t="s">
        <v>3587</v>
      </c>
      <c r="E199" s="3124" t="s">
        <v>3390</v>
      </c>
      <c r="F199" s="3124">
        <v>44.34</v>
      </c>
      <c r="G199" s="3124"/>
    </row>
    <row r="200" spans="1:7" ht="20.100000000000001" customHeight="1">
      <c r="A200" s="3124">
        <v>199</v>
      </c>
      <c r="B200" s="3124" t="s">
        <v>3387</v>
      </c>
      <c r="C200" s="3124" t="s">
        <v>3388</v>
      </c>
      <c r="D200" s="3124" t="s">
        <v>3588</v>
      </c>
      <c r="E200" s="3124" t="s">
        <v>3390</v>
      </c>
      <c r="F200" s="3124">
        <v>44.34</v>
      </c>
      <c r="G200" s="3124"/>
    </row>
    <row r="201" spans="1:7" ht="20.100000000000001" customHeight="1">
      <c r="A201" s="3124">
        <v>200</v>
      </c>
      <c r="B201" s="3124" t="s">
        <v>3387</v>
      </c>
      <c r="C201" s="3124" t="s">
        <v>3388</v>
      </c>
      <c r="D201" s="3124" t="s">
        <v>3589</v>
      </c>
      <c r="E201" s="3124" t="s">
        <v>3390</v>
      </c>
      <c r="F201" s="3124">
        <v>44.34</v>
      </c>
      <c r="G201" s="3124"/>
    </row>
    <row r="202" spans="1:7" ht="20.100000000000001" customHeight="1">
      <c r="A202" s="3124">
        <v>201</v>
      </c>
      <c r="B202" s="3124" t="s">
        <v>3387</v>
      </c>
      <c r="C202" s="3124" t="s">
        <v>3388</v>
      </c>
      <c r="D202" s="3124" t="s">
        <v>3590</v>
      </c>
      <c r="E202" s="3124" t="s">
        <v>3390</v>
      </c>
      <c r="F202" s="3124">
        <v>44.34</v>
      </c>
      <c r="G202" s="3124"/>
    </row>
    <row r="203" spans="1:7" ht="20.100000000000001" customHeight="1">
      <c r="A203" s="3124">
        <v>202</v>
      </c>
      <c r="B203" s="3124" t="s">
        <v>3387</v>
      </c>
      <c r="C203" s="3124" t="s">
        <v>3388</v>
      </c>
      <c r="D203" s="3124" t="s">
        <v>3591</v>
      </c>
      <c r="E203" s="3124" t="s">
        <v>3390</v>
      </c>
      <c r="F203" s="3124">
        <v>44.34</v>
      </c>
      <c r="G203" s="3124"/>
    </row>
    <row r="204" spans="1:7" ht="20.100000000000001" customHeight="1">
      <c r="A204" s="3124">
        <v>203</v>
      </c>
      <c r="B204" s="3124" t="s">
        <v>3387</v>
      </c>
      <c r="C204" s="3124" t="s">
        <v>3388</v>
      </c>
      <c r="D204" s="3124" t="s">
        <v>3592</v>
      </c>
      <c r="E204" s="3124" t="s">
        <v>3390</v>
      </c>
      <c r="F204" s="3124">
        <v>42.49</v>
      </c>
      <c r="G204" s="3124"/>
    </row>
    <row r="205" spans="1:7" ht="20.100000000000001" customHeight="1">
      <c r="A205" s="3124">
        <v>204</v>
      </c>
      <c r="B205" s="3124" t="s">
        <v>3387</v>
      </c>
      <c r="C205" s="3124" t="s">
        <v>3388</v>
      </c>
      <c r="D205" s="3124" t="s">
        <v>3593</v>
      </c>
      <c r="E205" s="3124" t="s">
        <v>3390</v>
      </c>
      <c r="F205" s="3124">
        <v>44.34</v>
      </c>
      <c r="G205" s="3124"/>
    </row>
    <row r="206" spans="1:7" ht="20.100000000000001" customHeight="1">
      <c r="A206" s="3124">
        <v>205</v>
      </c>
      <c r="B206" s="3124" t="s">
        <v>3387</v>
      </c>
      <c r="C206" s="3124" t="s">
        <v>3388</v>
      </c>
      <c r="D206" s="3124" t="s">
        <v>3594</v>
      </c>
      <c r="E206" s="3124" t="s">
        <v>3390</v>
      </c>
      <c r="F206" s="3124">
        <v>44.34</v>
      </c>
      <c r="G206" s="3124"/>
    </row>
    <row r="207" spans="1:7" ht="20.100000000000001" customHeight="1">
      <c r="A207" s="3124">
        <v>206</v>
      </c>
      <c r="B207" s="3124" t="s">
        <v>3387</v>
      </c>
      <c r="C207" s="3124" t="s">
        <v>3388</v>
      </c>
      <c r="D207" s="3124" t="s">
        <v>3595</v>
      </c>
      <c r="E207" s="3124" t="s">
        <v>3390</v>
      </c>
      <c r="F207" s="3124">
        <v>44.34</v>
      </c>
      <c r="G207" s="3124"/>
    </row>
    <row r="208" spans="1:7" ht="20.100000000000001" customHeight="1">
      <c r="A208" s="3124">
        <v>207</v>
      </c>
      <c r="B208" s="3124" t="s">
        <v>3387</v>
      </c>
      <c r="C208" s="3124" t="s">
        <v>3388</v>
      </c>
      <c r="D208" s="3124" t="s">
        <v>3596</v>
      </c>
      <c r="E208" s="3124" t="s">
        <v>3390</v>
      </c>
      <c r="F208" s="3124">
        <v>44.34</v>
      </c>
      <c r="G208" s="3124"/>
    </row>
    <row r="209" spans="1:7" ht="20.100000000000001" customHeight="1">
      <c r="A209" s="3124">
        <v>208</v>
      </c>
      <c r="B209" s="3124" t="s">
        <v>3387</v>
      </c>
      <c r="C209" s="3124" t="s">
        <v>3388</v>
      </c>
      <c r="D209" s="3124" t="s">
        <v>3597</v>
      </c>
      <c r="E209" s="3124" t="s">
        <v>3390</v>
      </c>
      <c r="F209" s="3124">
        <v>45.24</v>
      </c>
      <c r="G209" s="3124"/>
    </row>
    <row r="210" spans="1:7" ht="20.100000000000001" customHeight="1">
      <c r="A210" s="3124">
        <v>209</v>
      </c>
      <c r="B210" s="3124" t="s">
        <v>3387</v>
      </c>
      <c r="C210" s="3124" t="s">
        <v>3388</v>
      </c>
      <c r="D210" s="3124" t="s">
        <v>3598</v>
      </c>
      <c r="E210" s="3124" t="s">
        <v>3390</v>
      </c>
      <c r="F210" s="3124">
        <v>45.24</v>
      </c>
      <c r="G210" s="3124"/>
    </row>
    <row r="211" spans="1:7" ht="20.100000000000001" customHeight="1">
      <c r="A211" s="3124">
        <v>210</v>
      </c>
      <c r="B211" s="3124" t="s">
        <v>3387</v>
      </c>
      <c r="C211" s="3124" t="s">
        <v>3388</v>
      </c>
      <c r="D211" s="3124" t="s">
        <v>3599</v>
      </c>
      <c r="E211" s="3124" t="s">
        <v>3390</v>
      </c>
      <c r="F211" s="3124">
        <v>45.24</v>
      </c>
      <c r="G211" s="3124"/>
    </row>
    <row r="212" spans="1:7" ht="20.100000000000001" customHeight="1">
      <c r="A212" s="3124">
        <v>211</v>
      </c>
      <c r="B212" s="3124" t="s">
        <v>3387</v>
      </c>
      <c r="C212" s="3124" t="s">
        <v>3388</v>
      </c>
      <c r="D212" s="3124" t="s">
        <v>3600</v>
      </c>
      <c r="E212" s="3124" t="s">
        <v>3390</v>
      </c>
      <c r="F212" s="3124">
        <v>45.24</v>
      </c>
      <c r="G212" s="3124"/>
    </row>
    <row r="213" spans="1:7" ht="20.100000000000001" customHeight="1">
      <c r="A213" s="3124">
        <v>212</v>
      </c>
      <c r="B213" s="3124" t="s">
        <v>3387</v>
      </c>
      <c r="C213" s="3124" t="s">
        <v>3388</v>
      </c>
      <c r="D213" s="3124" t="s">
        <v>3601</v>
      </c>
      <c r="E213" s="3124" t="s">
        <v>3390</v>
      </c>
      <c r="F213" s="3124">
        <v>45.24</v>
      </c>
      <c r="G213" s="3124"/>
    </row>
    <row r="214" spans="1:7" ht="20.100000000000001" customHeight="1">
      <c r="A214" s="3124">
        <v>213</v>
      </c>
      <c r="B214" s="3124" t="s">
        <v>3387</v>
      </c>
      <c r="C214" s="3124" t="s">
        <v>3388</v>
      </c>
      <c r="D214" s="3124" t="s">
        <v>3602</v>
      </c>
      <c r="E214" s="3124" t="s">
        <v>3390</v>
      </c>
      <c r="F214" s="3124">
        <v>45.24</v>
      </c>
      <c r="G214" s="3124"/>
    </row>
    <row r="215" spans="1:7" ht="20.100000000000001" customHeight="1">
      <c r="A215" s="3124">
        <v>214</v>
      </c>
      <c r="B215" s="3124" t="s">
        <v>3387</v>
      </c>
      <c r="C215" s="3124" t="s">
        <v>3388</v>
      </c>
      <c r="D215" s="3124" t="s">
        <v>3603</v>
      </c>
      <c r="E215" s="3124" t="s">
        <v>3390</v>
      </c>
      <c r="F215" s="3124">
        <v>45.24</v>
      </c>
      <c r="G215" s="3124"/>
    </row>
    <row r="216" spans="1:7" ht="20.100000000000001" customHeight="1">
      <c r="A216" s="3124">
        <v>215</v>
      </c>
      <c r="B216" s="3124" t="s">
        <v>3387</v>
      </c>
      <c r="C216" s="3124" t="s">
        <v>3388</v>
      </c>
      <c r="D216" s="3124" t="s">
        <v>3604</v>
      </c>
      <c r="E216" s="3124" t="s">
        <v>3390</v>
      </c>
      <c r="F216" s="3124">
        <v>45.24</v>
      </c>
      <c r="G216" s="3124"/>
    </row>
    <row r="217" spans="1:7" ht="20.100000000000001" customHeight="1">
      <c r="A217" s="3124">
        <v>216</v>
      </c>
      <c r="B217" s="3124" t="s">
        <v>3387</v>
      </c>
      <c r="C217" s="3124" t="s">
        <v>3388</v>
      </c>
      <c r="D217" s="3124" t="s">
        <v>3605</v>
      </c>
      <c r="E217" s="3124" t="s">
        <v>3390</v>
      </c>
      <c r="F217" s="3124">
        <v>45.24</v>
      </c>
      <c r="G217" s="3124"/>
    </row>
    <row r="218" spans="1:7" ht="20.100000000000001" customHeight="1">
      <c r="A218" s="3124">
        <v>217</v>
      </c>
      <c r="B218" s="3124" t="s">
        <v>3387</v>
      </c>
      <c r="C218" s="3124" t="s">
        <v>3388</v>
      </c>
      <c r="D218" s="3124" t="s">
        <v>3606</v>
      </c>
      <c r="E218" s="3124" t="s">
        <v>3390</v>
      </c>
      <c r="F218" s="3124">
        <v>45.24</v>
      </c>
      <c r="G218" s="3124"/>
    </row>
    <row r="219" spans="1:7" ht="20.100000000000001" customHeight="1">
      <c r="A219" s="3124">
        <v>218</v>
      </c>
      <c r="B219" s="3124" t="s">
        <v>3387</v>
      </c>
      <c r="C219" s="3124" t="s">
        <v>3388</v>
      </c>
      <c r="D219" s="3124" t="s">
        <v>3607</v>
      </c>
      <c r="E219" s="3124" t="s">
        <v>3390</v>
      </c>
      <c r="F219" s="3124">
        <v>45.24</v>
      </c>
      <c r="G219" s="3124"/>
    </row>
    <row r="220" spans="1:7" ht="20.100000000000001" customHeight="1">
      <c r="A220" s="3124">
        <v>219</v>
      </c>
      <c r="B220" s="3124" t="s">
        <v>3387</v>
      </c>
      <c r="C220" s="3124" t="s">
        <v>3388</v>
      </c>
      <c r="D220" s="3124" t="s">
        <v>3608</v>
      </c>
      <c r="E220" s="3124" t="s">
        <v>3390</v>
      </c>
      <c r="F220" s="3124">
        <v>45.24</v>
      </c>
      <c r="G220" s="3124"/>
    </row>
    <row r="221" spans="1:7" ht="20.100000000000001" customHeight="1">
      <c r="A221" s="3124">
        <v>220</v>
      </c>
      <c r="B221" s="3124" t="s">
        <v>3387</v>
      </c>
      <c r="C221" s="3124" t="s">
        <v>3388</v>
      </c>
      <c r="D221" s="3124" t="s">
        <v>3609</v>
      </c>
      <c r="E221" s="3124" t="s">
        <v>3390</v>
      </c>
      <c r="F221" s="3124">
        <v>46.6</v>
      </c>
      <c r="G221" s="3124"/>
    </row>
    <row r="222" spans="1:7" ht="20.100000000000001" customHeight="1">
      <c r="A222" s="3124">
        <v>221</v>
      </c>
      <c r="B222" s="3124" t="s">
        <v>3387</v>
      </c>
      <c r="C222" s="3124" t="s">
        <v>3388</v>
      </c>
      <c r="D222" s="3124" t="s">
        <v>3610</v>
      </c>
      <c r="E222" s="3124" t="s">
        <v>3390</v>
      </c>
      <c r="F222" s="3124">
        <v>46.6</v>
      </c>
      <c r="G222" s="3124"/>
    </row>
    <row r="223" spans="1:7" ht="20.100000000000001" customHeight="1">
      <c r="A223" s="3124">
        <v>222</v>
      </c>
      <c r="B223" s="3124" t="s">
        <v>3387</v>
      </c>
      <c r="C223" s="3124" t="s">
        <v>3388</v>
      </c>
      <c r="D223" s="3124" t="s">
        <v>3611</v>
      </c>
      <c r="E223" s="3124" t="s">
        <v>3390</v>
      </c>
      <c r="F223" s="3124">
        <v>46.6</v>
      </c>
      <c r="G223" s="3124"/>
    </row>
    <row r="224" spans="1:7" ht="20.100000000000001" customHeight="1">
      <c r="A224" s="3124">
        <v>223</v>
      </c>
      <c r="B224" s="3124" t="s">
        <v>3387</v>
      </c>
      <c r="C224" s="3124" t="s">
        <v>3388</v>
      </c>
      <c r="D224" s="3124" t="s">
        <v>3612</v>
      </c>
      <c r="E224" s="3124" t="s">
        <v>3390</v>
      </c>
      <c r="F224" s="3124">
        <v>46.6</v>
      </c>
      <c r="G224" s="3124"/>
    </row>
    <row r="225" spans="1:7" ht="20.100000000000001" customHeight="1">
      <c r="A225" s="3124">
        <v>224</v>
      </c>
      <c r="B225" s="3124" t="s">
        <v>3387</v>
      </c>
      <c r="C225" s="3124" t="s">
        <v>3388</v>
      </c>
      <c r="D225" s="3124" t="s">
        <v>3613</v>
      </c>
      <c r="E225" s="3124" t="s">
        <v>3390</v>
      </c>
      <c r="F225" s="3124">
        <v>46.6</v>
      </c>
      <c r="G225" s="3124"/>
    </row>
    <row r="226" spans="1:7" ht="20.100000000000001" customHeight="1">
      <c r="A226" s="3124">
        <v>225</v>
      </c>
      <c r="B226" s="3124" t="s">
        <v>3387</v>
      </c>
      <c r="C226" s="3124" t="s">
        <v>3388</v>
      </c>
      <c r="D226" s="3124" t="s">
        <v>3614</v>
      </c>
      <c r="E226" s="3124" t="s">
        <v>3390</v>
      </c>
      <c r="F226" s="3124">
        <v>46.6</v>
      </c>
      <c r="G226" s="3124"/>
    </row>
    <row r="227" spans="1:7" ht="20.100000000000001" customHeight="1">
      <c r="A227" s="3124">
        <v>226</v>
      </c>
      <c r="B227" s="3124" t="s">
        <v>3387</v>
      </c>
      <c r="C227" s="3124" t="s">
        <v>3388</v>
      </c>
      <c r="D227" s="3124" t="s">
        <v>3615</v>
      </c>
      <c r="E227" s="3124" t="s">
        <v>3390</v>
      </c>
      <c r="F227" s="3124">
        <v>46.6</v>
      </c>
      <c r="G227" s="3124"/>
    </row>
    <row r="228" spans="1:7" ht="20.100000000000001" customHeight="1">
      <c r="A228" s="3124">
        <v>227</v>
      </c>
      <c r="B228" s="3124" t="s">
        <v>3387</v>
      </c>
      <c r="C228" s="3124" t="s">
        <v>3388</v>
      </c>
      <c r="D228" s="3124" t="s">
        <v>3616</v>
      </c>
      <c r="E228" s="3124" t="s">
        <v>3390</v>
      </c>
      <c r="F228" s="3124">
        <v>46.6</v>
      </c>
      <c r="G228" s="3124"/>
    </row>
    <row r="229" spans="1:7" ht="20.100000000000001" customHeight="1">
      <c r="A229" s="3124">
        <v>228</v>
      </c>
      <c r="B229" s="3124" t="s">
        <v>3387</v>
      </c>
      <c r="C229" s="3124" t="s">
        <v>3388</v>
      </c>
      <c r="D229" s="3124" t="s">
        <v>3617</v>
      </c>
      <c r="E229" s="3124" t="s">
        <v>3390</v>
      </c>
      <c r="F229" s="3124">
        <v>46.6</v>
      </c>
      <c r="G229" s="3124"/>
    </row>
    <row r="230" spans="1:7" ht="20.100000000000001" customHeight="1">
      <c r="A230" s="3124">
        <v>229</v>
      </c>
      <c r="B230" s="3124" t="s">
        <v>3387</v>
      </c>
      <c r="C230" s="3124" t="s">
        <v>3388</v>
      </c>
      <c r="D230" s="3124" t="s">
        <v>3618</v>
      </c>
      <c r="E230" s="3124" t="s">
        <v>3390</v>
      </c>
      <c r="F230" s="3124">
        <v>46.6</v>
      </c>
      <c r="G230" s="3124"/>
    </row>
    <row r="231" spans="1:7" ht="20.100000000000001" customHeight="1">
      <c r="A231" s="3124">
        <v>230</v>
      </c>
      <c r="B231" s="3124" t="s">
        <v>3387</v>
      </c>
      <c r="C231" s="3124" t="s">
        <v>3388</v>
      </c>
      <c r="D231" s="3124" t="s">
        <v>3619</v>
      </c>
      <c r="E231" s="3124" t="s">
        <v>3390</v>
      </c>
      <c r="F231" s="3124">
        <v>46.6</v>
      </c>
      <c r="G231" s="3124"/>
    </row>
    <row r="232" spans="1:7" ht="20.100000000000001" customHeight="1">
      <c r="A232" s="3124">
        <v>231</v>
      </c>
      <c r="B232" s="3124" t="s">
        <v>3387</v>
      </c>
      <c r="C232" s="3124" t="s">
        <v>3388</v>
      </c>
      <c r="D232" s="3124" t="s">
        <v>3620</v>
      </c>
      <c r="E232" s="3124" t="s">
        <v>3390</v>
      </c>
      <c r="F232" s="3124">
        <v>46.6</v>
      </c>
      <c r="G232" s="3124"/>
    </row>
    <row r="233" spans="1:7" ht="20.100000000000001" customHeight="1">
      <c r="A233" s="3124">
        <v>232</v>
      </c>
      <c r="B233" s="3124" t="s">
        <v>3387</v>
      </c>
      <c r="C233" s="3124" t="s">
        <v>3388</v>
      </c>
      <c r="D233" s="3124" t="s">
        <v>3621</v>
      </c>
      <c r="E233" s="3124" t="s">
        <v>3390</v>
      </c>
      <c r="F233" s="3124">
        <v>45.24</v>
      </c>
      <c r="G233" s="3124"/>
    </row>
    <row r="234" spans="1:7" ht="20.100000000000001" customHeight="1">
      <c r="A234" s="3124">
        <v>233</v>
      </c>
      <c r="B234" s="3124" t="s">
        <v>3387</v>
      </c>
      <c r="C234" s="3124" t="s">
        <v>3388</v>
      </c>
      <c r="D234" s="3124" t="s">
        <v>3622</v>
      </c>
      <c r="E234" s="3124" t="s">
        <v>3390</v>
      </c>
      <c r="F234" s="3124">
        <v>45.24</v>
      </c>
      <c r="G234" s="3124"/>
    </row>
    <row r="235" spans="1:7" ht="20.100000000000001" customHeight="1">
      <c r="A235" s="3124">
        <v>234</v>
      </c>
      <c r="B235" s="3124" t="s">
        <v>3387</v>
      </c>
      <c r="C235" s="3124" t="s">
        <v>3388</v>
      </c>
      <c r="D235" s="3124" t="s">
        <v>3623</v>
      </c>
      <c r="E235" s="3124" t="s">
        <v>3390</v>
      </c>
      <c r="F235" s="3124">
        <v>45.24</v>
      </c>
      <c r="G235" s="3124"/>
    </row>
    <row r="236" spans="1:7" ht="20.100000000000001" customHeight="1">
      <c r="A236" s="3124">
        <v>235</v>
      </c>
      <c r="B236" s="3124" t="s">
        <v>3387</v>
      </c>
      <c r="C236" s="3124" t="s">
        <v>3388</v>
      </c>
      <c r="D236" s="3124" t="s">
        <v>3624</v>
      </c>
      <c r="E236" s="3124" t="s">
        <v>3390</v>
      </c>
      <c r="F236" s="3124">
        <v>47.13</v>
      </c>
      <c r="G236" s="3124"/>
    </row>
    <row r="237" spans="1:7" ht="20.100000000000001" customHeight="1">
      <c r="A237" s="3124">
        <v>236</v>
      </c>
      <c r="B237" s="3124" t="s">
        <v>3387</v>
      </c>
      <c r="C237" s="3124" t="s">
        <v>3388</v>
      </c>
      <c r="D237" s="3124" t="s">
        <v>3625</v>
      </c>
      <c r="E237" s="3124" t="s">
        <v>3390</v>
      </c>
      <c r="F237" s="3124">
        <v>47.13</v>
      </c>
      <c r="G237" s="3124"/>
    </row>
    <row r="238" spans="1:7" ht="20.100000000000001" customHeight="1">
      <c r="A238" s="3124">
        <v>237</v>
      </c>
      <c r="B238" s="3124" t="s">
        <v>3387</v>
      </c>
      <c r="C238" s="3124" t="s">
        <v>3388</v>
      </c>
      <c r="D238" s="3124" t="s">
        <v>3626</v>
      </c>
      <c r="E238" s="3124" t="s">
        <v>3390</v>
      </c>
      <c r="F238" s="3124">
        <v>43.36</v>
      </c>
      <c r="G238" s="3124"/>
    </row>
    <row r="239" spans="1:7" ht="20.100000000000001" customHeight="1">
      <c r="A239" s="3124">
        <v>238</v>
      </c>
      <c r="B239" s="3124" t="s">
        <v>3387</v>
      </c>
      <c r="C239" s="3124" t="s">
        <v>3388</v>
      </c>
      <c r="D239" s="3124" t="s">
        <v>3627</v>
      </c>
      <c r="E239" s="3124" t="s">
        <v>3390</v>
      </c>
      <c r="F239" s="3124">
        <v>43.36</v>
      </c>
      <c r="G239" s="3124"/>
    </row>
    <row r="240" spans="1:7" ht="20.100000000000001" customHeight="1">
      <c r="A240" s="3124">
        <v>239</v>
      </c>
      <c r="B240" s="3124" t="s">
        <v>3387</v>
      </c>
      <c r="C240" s="3124" t="s">
        <v>3388</v>
      </c>
      <c r="D240" s="3124" t="s">
        <v>3628</v>
      </c>
      <c r="E240" s="3124" t="s">
        <v>3390</v>
      </c>
      <c r="F240" s="3124">
        <v>46.15</v>
      </c>
      <c r="G240" s="3124"/>
    </row>
    <row r="241" spans="1:7" ht="20.100000000000001" customHeight="1">
      <c r="A241" s="3124">
        <v>240</v>
      </c>
      <c r="B241" s="3124" t="s">
        <v>3387</v>
      </c>
      <c r="C241" s="3124" t="s">
        <v>3388</v>
      </c>
      <c r="D241" s="3124" t="s">
        <v>3629</v>
      </c>
      <c r="E241" s="3124" t="s">
        <v>3390</v>
      </c>
      <c r="F241" s="3124">
        <v>46.15</v>
      </c>
      <c r="G241" s="3124"/>
    </row>
    <row r="242" spans="1:7" ht="20.100000000000001" customHeight="1">
      <c r="A242" s="3124">
        <v>241</v>
      </c>
      <c r="B242" s="3124" t="s">
        <v>3387</v>
      </c>
      <c r="C242" s="3124" t="s">
        <v>3388</v>
      </c>
      <c r="D242" s="3124" t="s">
        <v>3630</v>
      </c>
      <c r="E242" s="3124" t="s">
        <v>3390</v>
      </c>
      <c r="F242" s="3124">
        <v>46.15</v>
      </c>
      <c r="G242" s="3124"/>
    </row>
    <row r="243" spans="1:7" ht="20.100000000000001" customHeight="1">
      <c r="A243" s="3124">
        <v>242</v>
      </c>
      <c r="B243" s="3124" t="s">
        <v>3387</v>
      </c>
      <c r="C243" s="3124" t="s">
        <v>3388</v>
      </c>
      <c r="D243" s="3124" t="s">
        <v>3631</v>
      </c>
      <c r="E243" s="3124" t="s">
        <v>3390</v>
      </c>
      <c r="F243" s="3124">
        <v>46.15</v>
      </c>
      <c r="G243" s="3124"/>
    </row>
    <row r="244" spans="1:7" ht="20.100000000000001" customHeight="1">
      <c r="A244" s="3124">
        <v>243</v>
      </c>
      <c r="B244" s="3124" t="s">
        <v>3387</v>
      </c>
      <c r="C244" s="3124" t="s">
        <v>3388</v>
      </c>
      <c r="D244" s="3124" t="s">
        <v>3632</v>
      </c>
      <c r="E244" s="3124" t="s">
        <v>3390</v>
      </c>
      <c r="F244" s="3124">
        <v>46.15</v>
      </c>
      <c r="G244" s="3124"/>
    </row>
    <row r="245" spans="1:7" ht="20.100000000000001" customHeight="1">
      <c r="A245" s="3124">
        <v>244</v>
      </c>
      <c r="B245" s="3124" t="s">
        <v>3387</v>
      </c>
      <c r="C245" s="3124" t="s">
        <v>3388</v>
      </c>
      <c r="D245" s="3124" t="s">
        <v>3633</v>
      </c>
      <c r="E245" s="3124" t="s">
        <v>3390</v>
      </c>
      <c r="F245" s="3124">
        <v>46.15</v>
      </c>
      <c r="G245" s="3124"/>
    </row>
    <row r="246" spans="1:7" ht="20.100000000000001" customHeight="1">
      <c r="A246" s="3124">
        <v>245</v>
      </c>
      <c r="B246" s="3124" t="s">
        <v>3387</v>
      </c>
      <c r="C246" s="3124" t="s">
        <v>3388</v>
      </c>
      <c r="D246" s="3124" t="s">
        <v>3634</v>
      </c>
      <c r="E246" s="3124" t="s">
        <v>3390</v>
      </c>
      <c r="F246" s="3124">
        <v>46.15</v>
      </c>
      <c r="G246" s="3124"/>
    </row>
    <row r="247" spans="1:7" ht="20.100000000000001" customHeight="1">
      <c r="A247" s="3124">
        <v>246</v>
      </c>
      <c r="B247" s="3124" t="s">
        <v>3387</v>
      </c>
      <c r="C247" s="3124" t="s">
        <v>3388</v>
      </c>
      <c r="D247" s="3124" t="s">
        <v>3635</v>
      </c>
      <c r="E247" s="3124" t="s">
        <v>3390</v>
      </c>
      <c r="F247" s="3124">
        <v>46.15</v>
      </c>
      <c r="G247" s="3124"/>
    </row>
    <row r="248" spans="1:7" ht="20.100000000000001" customHeight="1">
      <c r="A248" s="3124">
        <v>247</v>
      </c>
      <c r="B248" s="3124" t="s">
        <v>3387</v>
      </c>
      <c r="C248" s="3124" t="s">
        <v>3388</v>
      </c>
      <c r="D248" s="3124" t="s">
        <v>3636</v>
      </c>
      <c r="E248" s="3124" t="s">
        <v>3390</v>
      </c>
      <c r="F248" s="3124">
        <v>48.07</v>
      </c>
      <c r="G248" s="3124"/>
    </row>
    <row r="249" spans="1:7" ht="20.100000000000001" customHeight="1">
      <c r="A249" s="3124">
        <v>248</v>
      </c>
      <c r="B249" s="3124" t="s">
        <v>3387</v>
      </c>
      <c r="C249" s="3124" t="s">
        <v>3388</v>
      </c>
      <c r="D249" s="3124" t="s">
        <v>3637</v>
      </c>
      <c r="E249" s="3124" t="s">
        <v>3390</v>
      </c>
      <c r="F249" s="3124">
        <v>46.15</v>
      </c>
      <c r="G249" s="3124"/>
    </row>
    <row r="250" spans="1:7" ht="20.100000000000001" customHeight="1">
      <c r="A250" s="3124">
        <v>249</v>
      </c>
      <c r="B250" s="3124" t="s">
        <v>3387</v>
      </c>
      <c r="C250" s="3124" t="s">
        <v>3388</v>
      </c>
      <c r="D250" s="3124" t="s">
        <v>3638</v>
      </c>
      <c r="E250" s="3124" t="s">
        <v>3390</v>
      </c>
      <c r="F250" s="3124">
        <v>46.15</v>
      </c>
      <c r="G250" s="3124"/>
    </row>
    <row r="251" spans="1:7" ht="20.100000000000001" customHeight="1">
      <c r="A251" s="3124">
        <v>250</v>
      </c>
      <c r="B251" s="3124" t="s">
        <v>3387</v>
      </c>
      <c r="C251" s="3124" t="s">
        <v>3388</v>
      </c>
      <c r="D251" s="3124" t="s">
        <v>3639</v>
      </c>
      <c r="E251" s="3124" t="s">
        <v>3390</v>
      </c>
      <c r="F251" s="3124">
        <v>46.15</v>
      </c>
      <c r="G251" s="3124"/>
    </row>
    <row r="252" spans="1:7" ht="20.100000000000001" customHeight="1">
      <c r="A252" s="3124">
        <v>251</v>
      </c>
      <c r="B252" s="3124" t="s">
        <v>3387</v>
      </c>
      <c r="C252" s="3124" t="s">
        <v>3388</v>
      </c>
      <c r="D252" s="3124" t="s">
        <v>3640</v>
      </c>
      <c r="E252" s="3124" t="s">
        <v>3390</v>
      </c>
      <c r="F252" s="3124">
        <v>46.15</v>
      </c>
      <c r="G252" s="3124"/>
    </row>
    <row r="253" spans="1:7" ht="20.100000000000001" customHeight="1">
      <c r="A253" s="3124">
        <v>252</v>
      </c>
      <c r="B253" s="3124" t="s">
        <v>3387</v>
      </c>
      <c r="C253" s="3124" t="s">
        <v>3388</v>
      </c>
      <c r="D253" s="3124" t="s">
        <v>3641</v>
      </c>
      <c r="E253" s="3124" t="s">
        <v>3390</v>
      </c>
      <c r="F253" s="3124">
        <v>46.15</v>
      </c>
      <c r="G253" s="3124"/>
    </row>
    <row r="254" spans="1:7" ht="20.100000000000001" customHeight="1">
      <c r="A254" s="3124">
        <v>253</v>
      </c>
      <c r="B254" s="3124" t="s">
        <v>3387</v>
      </c>
      <c r="C254" s="3124" t="s">
        <v>3388</v>
      </c>
      <c r="D254" s="3124" t="s">
        <v>3642</v>
      </c>
      <c r="E254" s="3124" t="s">
        <v>3390</v>
      </c>
      <c r="F254" s="3124">
        <v>46.15</v>
      </c>
      <c r="G254" s="3124"/>
    </row>
    <row r="255" spans="1:7" ht="20.100000000000001" customHeight="1">
      <c r="A255" s="3124">
        <v>254</v>
      </c>
      <c r="B255" s="3124" t="s">
        <v>3387</v>
      </c>
      <c r="C255" s="3124" t="s">
        <v>3388</v>
      </c>
      <c r="D255" s="3124" t="s">
        <v>3643</v>
      </c>
      <c r="E255" s="3124" t="s">
        <v>3390</v>
      </c>
      <c r="F255" s="3124">
        <v>46.15</v>
      </c>
      <c r="G255" s="3124"/>
    </row>
    <row r="256" spans="1:7" ht="20.100000000000001" customHeight="1">
      <c r="A256" s="3124">
        <v>255</v>
      </c>
      <c r="B256" s="3124" t="s">
        <v>3387</v>
      </c>
      <c r="C256" s="3124" t="s">
        <v>3388</v>
      </c>
      <c r="D256" s="3124" t="s">
        <v>3644</v>
      </c>
      <c r="E256" s="3124" t="s">
        <v>3390</v>
      </c>
      <c r="F256" s="3124">
        <v>46.15</v>
      </c>
      <c r="G256" s="3124"/>
    </row>
    <row r="257" spans="1:7" ht="20.100000000000001" customHeight="1">
      <c r="A257" s="3124">
        <v>256</v>
      </c>
      <c r="B257" s="3124" t="s">
        <v>3387</v>
      </c>
      <c r="C257" s="3124" t="s">
        <v>3388</v>
      </c>
      <c r="D257" s="3124" t="s">
        <v>3645</v>
      </c>
      <c r="E257" s="3124" t="s">
        <v>3390</v>
      </c>
      <c r="F257" s="3124">
        <v>46.15</v>
      </c>
      <c r="G257" s="3124"/>
    </row>
    <row r="258" spans="1:7" ht="20.100000000000001" customHeight="1">
      <c r="A258" s="3124">
        <v>257</v>
      </c>
      <c r="B258" s="3124" t="s">
        <v>3387</v>
      </c>
      <c r="C258" s="3124" t="s">
        <v>3388</v>
      </c>
      <c r="D258" s="3124" t="s">
        <v>3646</v>
      </c>
      <c r="E258" s="3124" t="s">
        <v>3390</v>
      </c>
      <c r="F258" s="3124">
        <v>46.15</v>
      </c>
      <c r="G258" s="3124"/>
    </row>
    <row r="259" spans="1:7" ht="20.100000000000001" customHeight="1">
      <c r="A259" s="3124">
        <v>258</v>
      </c>
      <c r="B259" s="3124" t="s">
        <v>3387</v>
      </c>
      <c r="C259" s="3124" t="s">
        <v>3388</v>
      </c>
      <c r="D259" s="3124" t="s">
        <v>3647</v>
      </c>
      <c r="E259" s="3124" t="s">
        <v>3390</v>
      </c>
      <c r="F259" s="3124">
        <v>46.15</v>
      </c>
      <c r="G259" s="3124"/>
    </row>
    <row r="260" spans="1:7" ht="20.100000000000001" customHeight="1">
      <c r="A260" s="3124">
        <v>259</v>
      </c>
      <c r="B260" s="3124" t="s">
        <v>3387</v>
      </c>
      <c r="C260" s="3124" t="s">
        <v>3388</v>
      </c>
      <c r="D260" s="3124" t="s">
        <v>3648</v>
      </c>
      <c r="E260" s="3124" t="s">
        <v>3390</v>
      </c>
      <c r="F260" s="3124">
        <v>46.15</v>
      </c>
      <c r="G260" s="3124"/>
    </row>
    <row r="261" spans="1:7" ht="20.100000000000001" customHeight="1">
      <c r="A261" s="3124">
        <v>260</v>
      </c>
      <c r="B261" s="3124" t="s">
        <v>3387</v>
      </c>
      <c r="C261" s="3124" t="s">
        <v>3388</v>
      </c>
      <c r="D261" s="3124" t="s">
        <v>3649</v>
      </c>
      <c r="E261" s="3124" t="s">
        <v>3390</v>
      </c>
      <c r="F261" s="3124">
        <v>46.15</v>
      </c>
      <c r="G261" s="3124"/>
    </row>
    <row r="262" spans="1:7" ht="20.100000000000001" customHeight="1">
      <c r="A262" s="3124" t="s">
        <v>3650</v>
      </c>
      <c r="B262" s="3124"/>
      <c r="C262" s="3124"/>
      <c r="D262" s="3124"/>
      <c r="E262" s="3124"/>
      <c r="F262" s="3124">
        <f>SUM(F2:F261)</f>
        <v>11869.359999999982</v>
      </c>
      <c r="G262" s="3124"/>
    </row>
    <row r="278" spans="1:4" ht="20.100000000000001" customHeight="1">
      <c r="B278" s="3125" t="s">
        <v>3651</v>
      </c>
      <c r="C278" s="3125" t="s">
        <v>3652</v>
      </c>
      <c r="D278" s="3125" t="s">
        <v>3653</v>
      </c>
    </row>
    <row r="279" spans="1:4" ht="20.100000000000001" customHeight="1">
      <c r="A279" s="3125" t="s">
        <v>3654</v>
      </c>
      <c r="B279" s="3125">
        <v>2852.38</v>
      </c>
      <c r="C279" s="3125">
        <v>2182.4499999999998</v>
      </c>
      <c r="D279" s="3125">
        <v>669.93</v>
      </c>
    </row>
    <row r="280" spans="1:4" ht="20.100000000000001" customHeight="1">
      <c r="A280" s="3125" t="s">
        <v>3655</v>
      </c>
      <c r="B280" s="3125">
        <v>3127.15</v>
      </c>
      <c r="C280" s="3125">
        <v>2392.69</v>
      </c>
      <c r="D280" s="3125">
        <v>734.46</v>
      </c>
    </row>
    <row r="281" spans="1:4" ht="20.100000000000001" customHeight="1">
      <c r="B281" s="3125">
        <f>SUM(B279:B280)</f>
        <v>5979.5300000000007</v>
      </c>
      <c r="C281" s="3125">
        <f t="shared" ref="C281:D281" si="0">SUM(C279:C280)</f>
        <v>4575.1399999999994</v>
      </c>
      <c r="D281" s="3125">
        <f t="shared" si="0"/>
        <v>1404.3899999999999</v>
      </c>
    </row>
    <row r="284" spans="1:4" ht="20.100000000000001" customHeight="1">
      <c r="B284" s="3126" t="s">
        <v>3656</v>
      </c>
      <c r="C284" s="3126">
        <f>B281</f>
        <v>5979.5300000000007</v>
      </c>
      <c r="D284" s="3126"/>
    </row>
    <row r="285" spans="1:4" ht="20.100000000000001" customHeight="1">
      <c r="B285" s="3126" t="s">
        <v>3657</v>
      </c>
      <c r="C285" s="3127">
        <v>608100</v>
      </c>
      <c r="D285" s="3127" t="s">
        <v>3658</v>
      </c>
    </row>
    <row r="286" spans="1:4" ht="20.100000000000001" customHeight="1">
      <c r="B286" s="3126" t="s">
        <v>3659</v>
      </c>
      <c r="C286" s="3126">
        <v>76848.83</v>
      </c>
      <c r="D286" s="3126"/>
    </row>
    <row r="287" spans="1:4" ht="20.100000000000001" customHeight="1">
      <c r="B287" s="3126" t="s">
        <v>3660</v>
      </c>
      <c r="C287" s="3126">
        <f>ROUND(C286*C284/C285,2)</f>
        <v>755.66</v>
      </c>
      <c r="D287" s="3126"/>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53" sqref="F53"/>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1127</v>
      </c>
      <c r="B1" s="1064"/>
      <c r="C1" s="1064"/>
      <c r="D1" s="1064"/>
      <c r="E1" s="1064"/>
      <c r="F1" s="1064"/>
      <c r="G1" s="1064"/>
      <c r="H1" s="1064"/>
      <c r="I1" s="1064"/>
      <c r="J1" s="1064"/>
      <c r="K1" s="1064"/>
      <c r="L1" s="1064"/>
      <c r="M1" s="1064"/>
      <c r="N1" s="1064"/>
      <c r="O1" s="1064"/>
      <c r="P1" s="1064"/>
    </row>
    <row r="2" spans="1:16" ht="15">
      <c r="A2" s="3356" t="s">
        <v>1128</v>
      </c>
      <c r="B2" s="3356"/>
      <c r="C2" s="3356"/>
      <c r="D2" s="741" t="s">
        <v>1104</v>
      </c>
      <c r="E2" s="1515" t="s">
        <v>1105</v>
      </c>
      <c r="F2" s="2422"/>
      <c r="G2" s="2415"/>
      <c r="H2" s="2416"/>
      <c r="I2" s="2138" t="s">
        <v>1129</v>
      </c>
      <c r="J2" s="2422"/>
      <c r="K2" s="2422"/>
      <c r="L2" s="2422"/>
      <c r="M2" s="2422"/>
      <c r="N2" s="2423"/>
      <c r="O2" s="2422"/>
      <c r="P2" s="2422"/>
    </row>
    <row r="3" spans="1:16" ht="15.75" thickBot="1">
      <c r="A3" s="3357" t="s">
        <v>1102</v>
      </c>
      <c r="B3" s="3357"/>
      <c r="C3" s="3357"/>
      <c r="D3" s="41">
        <f>'数据-基础表'!AY6</f>
        <v>0</v>
      </c>
      <c r="E3" s="41">
        <f>'数据-基础表'!AZ5</f>
        <v>5979.5300000000007</v>
      </c>
      <c r="F3" s="2422"/>
      <c r="G3" s="42"/>
      <c r="H3" s="43" t="s">
        <v>1103</v>
      </c>
      <c r="I3" s="795" t="e">
        <f>ROUND('数据-基础表'!B3/'数据-基础表'!A3,2)</f>
        <v>#DIV/0!</v>
      </c>
      <c r="J3" s="2422"/>
      <c r="K3" s="2422"/>
      <c r="L3" s="2422"/>
      <c r="M3" s="2422"/>
      <c r="N3" s="2423"/>
      <c r="O3" s="2422"/>
      <c r="P3" s="2422"/>
    </row>
    <row r="4" spans="1:16" ht="15">
      <c r="A4" s="3358"/>
      <c r="B4" s="3359"/>
      <c r="C4" s="3360"/>
      <c r="D4" s="1516" t="s">
        <v>1104</v>
      </c>
      <c r="E4" s="1517" t="s">
        <v>1105</v>
      </c>
      <c r="F4" s="2422"/>
      <c r="G4" s="2417" t="s">
        <v>1130</v>
      </c>
      <c r="H4" s="43" t="s">
        <v>1110</v>
      </c>
      <c r="I4" s="795" t="e">
        <f>ROUND(SUMIF('数据-基础表'!I9:AS9,"地上",'数据-基础表'!I5:AS5)/'数据-基础表'!A3,2)</f>
        <v>#DIV/0!</v>
      </c>
      <c r="J4" s="2422"/>
      <c r="K4" s="2422"/>
      <c r="L4" s="2422"/>
      <c r="M4" s="2422"/>
      <c r="N4" s="2423"/>
      <c r="O4" s="2422"/>
      <c r="P4" s="2422"/>
    </row>
    <row r="5" spans="1:16">
      <c r="A5" s="42" t="s">
        <v>1106</v>
      </c>
      <c r="B5" s="3361" t="s">
        <v>1107</v>
      </c>
      <c r="C5" s="3361"/>
      <c r="D5" s="43">
        <f>ROUND($D$3*E5/$E$3,2)</f>
        <v>0</v>
      </c>
      <c r="E5" s="44">
        <f>SUMIF('数据-基础表'!$11:$11,"住宅",'数据-基础表'!$5:$5)</f>
        <v>0</v>
      </c>
      <c r="F5" s="2422"/>
      <c r="G5" s="42"/>
      <c r="H5" s="43" t="s">
        <v>1103</v>
      </c>
      <c r="I5" s="795" t="e">
        <f>ROUND(E31/D31,2)</f>
        <v>#DIV/0!</v>
      </c>
      <c r="J5" s="2422"/>
      <c r="K5" s="2422"/>
      <c r="L5" s="2422"/>
      <c r="M5" s="2422"/>
      <c r="N5" s="2422"/>
      <c r="O5" s="2422"/>
      <c r="P5" s="2422"/>
    </row>
    <row r="6" spans="1:16" ht="15" thickBot="1">
      <c r="A6" s="1519"/>
      <c r="B6" s="3361" t="s">
        <v>1108</v>
      </c>
      <c r="C6" s="3361"/>
      <c r="D6" s="43">
        <f>ROUND($D$3*E6/$E$3,2)</f>
        <v>0</v>
      </c>
      <c r="E6" s="44">
        <f>E3-E5</f>
        <v>5979.5300000000007</v>
      </c>
      <c r="F6" s="2422"/>
      <c r="G6" s="1521" t="s">
        <v>1109</v>
      </c>
      <c r="H6" s="45" t="s">
        <v>1110</v>
      </c>
      <c r="I6" s="2418" t="e">
        <f>ROUND(F31/D31,2)</f>
        <v>#DIV/0!</v>
      </c>
      <c r="J6" s="2422"/>
      <c r="K6" s="2422"/>
      <c r="L6" s="2422"/>
      <c r="M6" s="2422"/>
      <c r="N6" s="2422"/>
      <c r="O6" s="2422"/>
      <c r="P6" s="2422"/>
    </row>
    <row r="7" spans="1:16" ht="15.75" thickBot="1">
      <c r="A7" s="3353"/>
      <c r="B7" s="3354"/>
      <c r="C7" s="3355"/>
      <c r="D7" s="1516" t="s">
        <v>1104</v>
      </c>
      <c r="E7" s="1520" t="s">
        <v>1111</v>
      </c>
      <c r="F7" s="2422"/>
      <c r="G7" s="2419" t="s">
        <v>1112</v>
      </c>
      <c r="H7" s="95"/>
      <c r="I7" s="2420">
        <v>2.5</v>
      </c>
      <c r="J7" s="2422"/>
      <c r="K7" s="2422"/>
      <c r="L7" s="2422"/>
      <c r="M7" s="2422"/>
      <c r="N7" s="2422"/>
      <c r="O7" s="2422"/>
      <c r="P7" s="2422"/>
    </row>
    <row r="8" spans="1:16">
      <c r="A8" s="42" t="s">
        <v>1113</v>
      </c>
      <c r="B8" s="45" t="s">
        <v>1114</v>
      </c>
      <c r="C8" s="43" t="s">
        <v>1115</v>
      </c>
      <c r="D8" s="43">
        <f t="shared" ref="D8:D15" si="0">ROUND($D$3*E8/$E$3,2)</f>
        <v>0</v>
      </c>
      <c r="E8" s="46">
        <f>SUMIF('数据-基础表'!BB10:BK10,"地上",'数据-基础表'!BB5:BK5)</f>
        <v>0</v>
      </c>
      <c r="F8" s="2422"/>
      <c r="G8" s="2422"/>
      <c r="H8" s="2422"/>
      <c r="I8" s="2422"/>
      <c r="J8" s="2422"/>
      <c r="K8" s="2422"/>
      <c r="L8" s="2422"/>
      <c r="M8" s="2422"/>
      <c r="N8" s="2422"/>
      <c r="O8" s="2422"/>
      <c r="P8" s="2422"/>
    </row>
    <row r="9" spans="1:16">
      <c r="A9" s="1521"/>
      <c r="B9" s="1522"/>
      <c r="C9" s="43" t="s">
        <v>1116</v>
      </c>
      <c r="D9" s="43">
        <f t="shared" si="0"/>
        <v>0</v>
      </c>
      <c r="E9" s="47">
        <v>0</v>
      </c>
      <c r="F9" s="2422"/>
      <c r="G9" s="2422"/>
      <c r="H9" s="2422"/>
      <c r="I9" s="2422"/>
      <c r="J9" s="2422"/>
      <c r="K9" s="2422"/>
      <c r="L9" s="2422"/>
      <c r="M9" s="2422"/>
      <c r="N9" s="2422"/>
      <c r="O9" s="2422"/>
      <c r="P9" s="2422"/>
    </row>
    <row r="10" spans="1:16">
      <c r="A10" s="1521"/>
      <c r="B10" s="1522"/>
      <c r="C10" s="43" t="s">
        <v>1125</v>
      </c>
      <c r="D10" s="43">
        <f t="shared" si="0"/>
        <v>0</v>
      </c>
      <c r="E10" s="46">
        <f>SUMPRODUCT(('数据-基础表'!BB10:BK10="地下")*('数据-基础表'!BB11:BK11="商业")*('数据-基础表'!BB5:BK5))</f>
        <v>5979.5300000000007</v>
      </c>
      <c r="F10" s="2422"/>
      <c r="G10" s="2422"/>
      <c r="H10" s="2422"/>
      <c r="I10" s="2422"/>
      <c r="J10" s="2422"/>
      <c r="K10" s="2422"/>
      <c r="L10" s="2422"/>
      <c r="M10" s="2422"/>
      <c r="N10" s="2422"/>
      <c r="O10" s="2422"/>
      <c r="P10" s="2422"/>
    </row>
    <row r="11" spans="1:16">
      <c r="A11" s="1521"/>
      <c r="B11" s="1522"/>
      <c r="C11" s="43" t="s">
        <v>1117</v>
      </c>
      <c r="D11" s="43">
        <f t="shared" si="0"/>
        <v>0</v>
      </c>
      <c r="E11" s="46">
        <f>SUMPRODUCT(('数据-基础表'!BB10:BK10="地下")*('数据-基础表'!BB11:BK11="办公")*('数据-基础表'!BB5:BK5))+'数据-基础表'!BP5</f>
        <v>0</v>
      </c>
      <c r="F11" s="2422"/>
      <c r="G11" s="2422"/>
      <c r="H11" s="2422"/>
      <c r="I11" s="2422"/>
      <c r="J11" s="2422"/>
      <c r="K11" s="2422"/>
      <c r="L11" s="2422"/>
      <c r="M11" s="2422"/>
      <c r="N11" s="2422"/>
      <c r="O11" s="2422"/>
      <c r="P11" s="2422"/>
    </row>
    <row r="12" spans="1:16">
      <c r="A12" s="1521"/>
      <c r="B12" s="1522"/>
      <c r="C12" s="43" t="s">
        <v>1118</v>
      </c>
      <c r="D12" s="43">
        <f t="shared" si="0"/>
        <v>0</v>
      </c>
      <c r="E12" s="46">
        <f>SUMPRODUCT(('数据-基础表'!BB10:BK10="地下")*('数据-基础表'!BB11:BK11="仓储")*('数据-基础表'!BB5:BK5))</f>
        <v>0</v>
      </c>
      <c r="F12" s="2422"/>
      <c r="G12" s="2422"/>
      <c r="H12" s="2422"/>
      <c r="I12" s="2422"/>
      <c r="J12" s="2422"/>
      <c r="K12" s="2422"/>
      <c r="L12" s="2422"/>
      <c r="M12" s="2422"/>
      <c r="N12" s="2422"/>
      <c r="O12" s="2422"/>
      <c r="P12" s="2422"/>
    </row>
    <row r="13" spans="1:16">
      <c r="A13" s="1521"/>
      <c r="B13" s="1522"/>
      <c r="C13" s="43" t="s">
        <v>1119</v>
      </c>
      <c r="D13" s="43">
        <f t="shared" si="0"/>
        <v>0</v>
      </c>
      <c r="E13" s="46">
        <f>SUMPRODUCT(('数据-基础表'!BB10:BK10="地下")*('数据-基础表'!BB11:BK11="车库")*('数据-基础表'!BB5:BK5))</f>
        <v>0</v>
      </c>
      <c r="F13" s="2422"/>
      <c r="G13" s="2422"/>
      <c r="H13" s="2422"/>
      <c r="I13" s="2422"/>
      <c r="J13" s="2422"/>
      <c r="K13" s="2422"/>
      <c r="L13" s="2422"/>
      <c r="M13" s="2422"/>
      <c r="N13" s="2422"/>
      <c r="O13" s="2422"/>
      <c r="P13" s="2422"/>
    </row>
    <row r="14" spans="1:16">
      <c r="A14" s="1521"/>
      <c r="B14" s="1522"/>
      <c r="C14" s="43" t="s">
        <v>1131</v>
      </c>
      <c r="D14" s="43">
        <f t="shared" si="0"/>
        <v>0</v>
      </c>
      <c r="E14" s="46">
        <f>SUMPRODUCT(('数据-基础表'!BB10:BK10="地下")*('数据-基础表'!BB11:BK11="车库—商业")*('数据-基础表'!BB5:BK5))</f>
        <v>0</v>
      </c>
      <c r="F14" s="2422"/>
      <c r="G14" s="2422"/>
      <c r="H14" s="2422"/>
      <c r="I14" s="2422"/>
      <c r="J14" s="2422"/>
      <c r="K14" s="2422"/>
      <c r="L14" s="2422"/>
      <c r="M14" s="2422"/>
      <c r="N14" s="2422"/>
      <c r="O14" s="2422"/>
      <c r="P14" s="2422"/>
    </row>
    <row r="15" spans="1:16" ht="15" thickBot="1">
      <c r="A15" s="1521"/>
      <c r="B15" s="1522"/>
      <c r="C15" s="43" t="s">
        <v>1126</v>
      </c>
      <c r="D15" s="43">
        <f t="shared" si="0"/>
        <v>0</v>
      </c>
      <c r="E15" s="46">
        <f>SUMPRODUCT(('数据-基础表'!BB10:BK10="地下")*('数据-基础表'!BB11:BK11="车库—办公")*('数据-基础表'!BB5:BK5))</f>
        <v>0</v>
      </c>
      <c r="F15" s="2422"/>
      <c r="G15" s="2422"/>
      <c r="H15" s="2422"/>
      <c r="I15" s="2422"/>
      <c r="J15" s="2422"/>
      <c r="K15" s="2422"/>
      <c r="L15" s="2422"/>
      <c r="M15" s="2422"/>
      <c r="N15" s="2422"/>
      <c r="O15" s="2422"/>
      <c r="P15" s="2422"/>
    </row>
    <row r="16" spans="1:16" ht="15.75" thickBot="1">
      <c r="A16" s="1519"/>
      <c r="B16" s="1522"/>
      <c r="C16" s="45" t="s">
        <v>1120</v>
      </c>
      <c r="D16" s="45">
        <f>SUM(D8:D15)</f>
        <v>0</v>
      </c>
      <c r="E16" s="48">
        <f>SUM(E8:E15)</f>
        <v>5979.5300000000007</v>
      </c>
      <c r="F16" s="2422"/>
      <c r="G16" s="2422"/>
      <c r="H16" s="1523" t="s">
        <v>1132</v>
      </c>
      <c r="I16" s="1524"/>
      <c r="J16" s="1064"/>
      <c r="K16" s="3350" t="s">
        <v>1132</v>
      </c>
      <c r="L16" s="3351"/>
      <c r="M16" s="3351"/>
      <c r="N16" s="3351"/>
      <c r="O16" s="3351"/>
      <c r="P16" s="3352"/>
    </row>
    <row r="17" spans="1:19" ht="15">
      <c r="A17" s="1525" t="s">
        <v>1133</v>
      </c>
      <c r="B17" s="1526" t="s">
        <v>1134</v>
      </c>
      <c r="C17" s="1527" t="s">
        <v>1135</v>
      </c>
      <c r="D17" s="1528" t="s">
        <v>1123</v>
      </c>
      <c r="E17" s="1529" t="s">
        <v>1124</v>
      </c>
      <c r="F17" s="1530"/>
      <c r="G17" s="1531"/>
      <c r="H17" s="1532" t="s">
        <v>1136</v>
      </c>
      <c r="I17" s="1533" t="s">
        <v>1121</v>
      </c>
      <c r="J17" s="1064"/>
      <c r="K17" s="3347" t="s">
        <v>1137</v>
      </c>
      <c r="L17" s="3348"/>
      <c r="M17" s="3349"/>
      <c r="N17" s="3347" t="s">
        <v>1138</v>
      </c>
      <c r="O17" s="3348"/>
      <c r="P17" s="3349"/>
      <c r="R17" s="762" t="s">
        <v>1139</v>
      </c>
      <c r="S17" s="54"/>
    </row>
    <row r="18" spans="1:19" ht="15">
      <c r="A18" s="1521"/>
      <c r="B18" s="1518"/>
      <c r="C18" s="1534"/>
      <c r="D18" s="1535"/>
      <c r="E18" s="1536" t="s">
        <v>1140</v>
      </c>
      <c r="F18" s="1537" t="s">
        <v>1141</v>
      </c>
      <c r="G18" s="1538" t="s">
        <v>1142</v>
      </c>
      <c r="H18" s="973" t="s">
        <v>1143</v>
      </c>
      <c r="I18" s="1539" t="s">
        <v>1144</v>
      </c>
      <c r="J18" s="1064"/>
      <c r="K18" s="973" t="s">
        <v>1145</v>
      </c>
      <c r="L18" s="1540" t="s">
        <v>1146</v>
      </c>
      <c r="M18" s="795" t="s">
        <v>1147</v>
      </c>
      <c r="N18" s="973" t="s">
        <v>1145</v>
      </c>
      <c r="O18" s="1540" t="s">
        <v>1146</v>
      </c>
      <c r="P18" s="795" t="s">
        <v>1147</v>
      </c>
      <c r="R18" s="43" t="s">
        <v>1148</v>
      </c>
      <c r="S18" s="43" t="s">
        <v>1149</v>
      </c>
    </row>
    <row r="19" spans="1:19">
      <c r="A19" s="1541"/>
      <c r="B19" s="45" t="s">
        <v>1122</v>
      </c>
      <c r="C19" s="3096" t="s">
        <v>3692</v>
      </c>
      <c r="D19" s="43">
        <f>ROUND($D$3*E19/$E$3,2)</f>
        <v>0</v>
      </c>
      <c r="E19" s="51">
        <f t="shared" ref="E19:E26" si="1">SUM(F19:G19)</f>
        <v>2852.38</v>
      </c>
      <c r="F19" s="2538"/>
      <c r="G19" s="1236">
        <f>'数据-基础表'!I13</f>
        <v>2852.38</v>
      </c>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2852.38</v>
      </c>
    </row>
    <row r="20" spans="1:19">
      <c r="A20" s="1541"/>
      <c r="B20" s="45" t="s">
        <v>1150</v>
      </c>
      <c r="C20" s="3096" t="s">
        <v>3693</v>
      </c>
      <c r="D20" s="43">
        <f t="shared" ref="D20:D26" si="6">ROUND($D$3*E20/$E$3,2)</f>
        <v>0</v>
      </c>
      <c r="E20" s="51">
        <f t="shared" si="1"/>
        <v>3127.15</v>
      </c>
      <c r="F20" s="2538"/>
      <c r="G20" s="1236">
        <f>'数据-基础表'!I14</f>
        <v>3127.15</v>
      </c>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3127.15</v>
      </c>
    </row>
    <row r="21" spans="1:19">
      <c r="A21" s="1541"/>
      <c r="B21" s="45" t="s">
        <v>1150</v>
      </c>
      <c r="C21" s="3096"/>
      <c r="D21" s="43">
        <f t="shared" si="6"/>
        <v>0</v>
      </c>
      <c r="E21" s="51">
        <f t="shared" si="1"/>
        <v>0</v>
      </c>
      <c r="F21" s="2538"/>
      <c r="G21" s="1236"/>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1150</v>
      </c>
      <c r="C22" s="3097"/>
      <c r="D22" s="43">
        <f t="shared" si="6"/>
        <v>0</v>
      </c>
      <c r="E22" s="51">
        <f t="shared" si="1"/>
        <v>0</v>
      </c>
      <c r="F22" s="2539"/>
      <c r="G22" s="2540"/>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1150</v>
      </c>
      <c r="C23" s="3097"/>
      <c r="D23" s="43">
        <f>ROUND($D$3*E23/$E$3,2)</f>
        <v>0</v>
      </c>
      <c r="E23" s="51">
        <f>SUM(F23:G23)</f>
        <v>0</v>
      </c>
      <c r="F23" s="2539"/>
      <c r="G23" s="2540"/>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1150</v>
      </c>
      <c r="C24" s="3097"/>
      <c r="D24" s="43">
        <f>ROUND($D$3*E24/$E$3,2)</f>
        <v>0</v>
      </c>
      <c r="E24" s="51">
        <f>SUM(F24:G24)</f>
        <v>0</v>
      </c>
      <c r="F24" s="2539"/>
      <c r="G24" s="2540"/>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1150</v>
      </c>
      <c r="C25" s="3097"/>
      <c r="D25" s="43">
        <f t="shared" si="6"/>
        <v>0</v>
      </c>
      <c r="E25" s="51">
        <f t="shared" si="1"/>
        <v>0</v>
      </c>
      <c r="F25" s="2539"/>
      <c r="G25" s="2540"/>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1150</v>
      </c>
      <c r="C26" s="53"/>
      <c r="D26" s="43">
        <f t="shared" si="6"/>
        <v>0</v>
      </c>
      <c r="E26" s="51">
        <f t="shared" si="1"/>
        <v>0</v>
      </c>
      <c r="F26" s="2539"/>
      <c r="G26" s="2540"/>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1151</v>
      </c>
      <c r="D27" s="1065">
        <f>SUM(D19:D26)</f>
        <v>0</v>
      </c>
      <c r="E27" s="1066">
        <f>IF(SUM(E19:E26)='数据-基础表'!BA5,SUM(E19:E26),IF(F27="地上面积有误","面积有误","地下面积有误"))</f>
        <v>5979.5300000000007</v>
      </c>
      <c r="F27" s="1065">
        <f>IF(SUM(F19:F26)=E8,SUM(F19:F26),"地上面积有误")</f>
        <v>0</v>
      </c>
      <c r="G27" s="1067">
        <f>SUM(G19:G26)</f>
        <v>5979.5300000000007</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5979.5300000000007</v>
      </c>
    </row>
    <row r="28" spans="1:19">
      <c r="A28" s="1541"/>
      <c r="B28" s="45" t="s">
        <v>1152</v>
      </c>
      <c r="C28" s="54" t="s">
        <v>1153</v>
      </c>
      <c r="D28" s="43">
        <f>ROUND($D$3*E28/$E$3,2)</f>
        <v>0</v>
      </c>
      <c r="E28" s="51">
        <f>SUM(F28:G28)</f>
        <v>0</v>
      </c>
      <c r="F28" s="54">
        <f>'数据-基础表'!BQ5+'数据-基础表'!BS5</f>
        <v>0</v>
      </c>
      <c r="G28" s="55">
        <f>'数据-基础表'!BR5+'数据-基础表'!BT5</f>
        <v>0</v>
      </c>
      <c r="H28" s="2422"/>
      <c r="I28" s="2422"/>
      <c r="J28" s="2422"/>
      <c r="K28" s="2422"/>
      <c r="L28" s="2422"/>
      <c r="M28" s="2422"/>
      <c r="N28" s="2422"/>
      <c r="O28" s="2422"/>
      <c r="P28" s="2422"/>
    </row>
    <row r="29" spans="1:19">
      <c r="A29" s="1541"/>
      <c r="B29" s="45" t="s">
        <v>1152</v>
      </c>
      <c r="C29" s="1547" t="s">
        <v>1154</v>
      </c>
      <c r="D29" s="43">
        <f>ROUND($D$3*E29/$E$3,2)</f>
        <v>0</v>
      </c>
      <c r="E29" s="51">
        <f>SUM(F29:G29)</f>
        <v>0</v>
      </c>
      <c r="F29" s="56">
        <f>'数据-基础表'!BM5+'数据-基础表'!BO5</f>
        <v>0</v>
      </c>
      <c r="G29" s="48">
        <f>'数据-基础表'!BN5+'数据-基础表'!BP5</f>
        <v>0</v>
      </c>
      <c r="H29" s="2422"/>
      <c r="I29" s="2422"/>
      <c r="J29" s="2422"/>
      <c r="K29" s="2422"/>
      <c r="L29" s="2422"/>
      <c r="M29" s="2422"/>
      <c r="N29" s="2422"/>
      <c r="O29" s="2422"/>
      <c r="P29" s="2422"/>
    </row>
    <row r="30" spans="1:19" ht="15">
      <c r="A30" s="1541"/>
      <c r="B30" s="45"/>
      <c r="C30" s="1548" t="s">
        <v>1151</v>
      </c>
      <c r="D30" s="1065">
        <f>SUM(D28:D29)</f>
        <v>0</v>
      </c>
      <c r="E30" s="1065">
        <f>SUM(E28:E29)</f>
        <v>0</v>
      </c>
      <c r="F30" s="1065">
        <f>SUM(F28:F29)</f>
        <v>0</v>
      </c>
      <c r="G30" s="1067">
        <f>SUM(G28:G29)</f>
        <v>0</v>
      </c>
      <c r="H30" s="2422"/>
      <c r="I30" s="2422"/>
      <c r="J30" s="2422"/>
      <c r="K30" s="2422"/>
      <c r="L30" s="2422"/>
      <c r="M30" s="2422"/>
      <c r="N30" s="2422"/>
      <c r="O30" s="2422"/>
      <c r="P30" s="2422"/>
    </row>
    <row r="31" spans="1:19" ht="15.75" thickBot="1">
      <c r="A31" s="1549"/>
      <c r="B31" s="96"/>
      <c r="C31" s="778" t="s">
        <v>1155</v>
      </c>
      <c r="D31" s="635">
        <f>D27+D30</f>
        <v>0</v>
      </c>
      <c r="E31" s="635">
        <f>E27+E30</f>
        <v>5979.5300000000007</v>
      </c>
      <c r="F31" s="636">
        <f>F27+F30</f>
        <v>0</v>
      </c>
      <c r="G31" s="637">
        <f>G27+G30</f>
        <v>5979.5300000000007</v>
      </c>
      <c r="H31" s="2422"/>
      <c r="I31" s="2422"/>
      <c r="J31" s="2422"/>
      <c r="K31" s="2422"/>
      <c r="L31" s="2422"/>
      <c r="M31" s="2422"/>
      <c r="N31" s="2422"/>
      <c r="O31" s="2422"/>
      <c r="P31" s="2422"/>
    </row>
    <row r="32" spans="1:19">
      <c r="A32" s="1518"/>
      <c r="B32" s="1518" t="s">
        <v>1156</v>
      </c>
      <c r="C32" s="1518"/>
      <c r="D32" s="1518"/>
      <c r="E32" s="983">
        <f>SUMIF(C19:C26,"*住宅*",E19:E26)</f>
        <v>0</v>
      </c>
      <c r="F32" s="1518"/>
      <c r="G32" s="1518"/>
      <c r="H32" s="2422"/>
      <c r="I32" s="2422"/>
      <c r="J32" s="2422"/>
      <c r="K32" s="2422"/>
      <c r="L32" s="2422"/>
      <c r="M32" s="2422"/>
      <c r="N32" s="2422"/>
      <c r="O32" s="2422"/>
      <c r="P32" s="2422"/>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31" sqref="AA31"/>
    </sheetView>
  </sheetViews>
  <sheetFormatPr defaultColWidth="13.75" defaultRowHeight="12.75"/>
  <cols>
    <col min="1" max="1" width="20.875" style="1610" customWidth="1"/>
    <col min="2" max="2" width="12" style="1553" customWidth="1"/>
    <col min="3" max="3" width="12.75" style="1553" customWidth="1"/>
    <col min="4" max="4" width="9.125" style="1611"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1157</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1"/>
      <c r="AO1" s="2431"/>
      <c r="AP1" s="2431"/>
      <c r="AQ1" s="2431"/>
      <c r="AR1" s="2431"/>
    </row>
    <row r="2" spans="1:67" s="1443" customFormat="1" ht="15.75" thickBot="1">
      <c r="A2" s="1554" t="s">
        <v>1158</v>
      </c>
      <c r="B2" s="977">
        <f>项目基本情况!D3</f>
        <v>45418</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2"/>
      <c r="AO2" s="2422"/>
      <c r="AP2" s="2422"/>
      <c r="AQ2" s="2422"/>
      <c r="AR2" s="2422"/>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2"/>
      <c r="AO3" s="2422"/>
      <c r="AP3" s="2422"/>
      <c r="AQ3" s="2422"/>
      <c r="AR3" s="2422"/>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1159</v>
      </c>
      <c r="B4" s="1556"/>
      <c r="C4" s="1557"/>
      <c r="D4" s="1558"/>
      <c r="E4" s="1557" t="s">
        <v>1160</v>
      </c>
      <c r="F4" s="1557"/>
      <c r="G4" s="1557"/>
      <c r="H4" s="1557"/>
      <c r="I4" s="1557"/>
      <c r="J4" s="1559"/>
      <c r="K4" s="1560"/>
      <c r="L4" s="1561"/>
      <c r="M4" s="1557"/>
      <c r="N4" s="1557" t="s">
        <v>1161</v>
      </c>
      <c r="O4" s="1557"/>
      <c r="P4" s="1557"/>
      <c r="Q4" s="1557"/>
      <c r="R4" s="1557"/>
      <c r="S4" s="1559"/>
      <c r="T4" s="2421" t="str">
        <f>'数据-汇总表'!I17</f>
        <v>按面积比例</v>
      </c>
      <c r="U4" s="1556" t="s">
        <v>1162</v>
      </c>
      <c r="V4" s="1557"/>
      <c r="W4" s="1557"/>
      <c r="X4" s="1557"/>
      <c r="Y4" s="1559"/>
      <c r="Z4" s="1527" t="s">
        <v>1163</v>
      </c>
      <c r="AA4" s="1527"/>
      <c r="AB4" s="1527"/>
      <c r="AC4" s="1527"/>
      <c r="AD4" s="1527"/>
      <c r="AE4" s="1525" t="s">
        <v>1164</v>
      </c>
      <c r="AF4" s="1527"/>
      <c r="AG4" s="1562"/>
      <c r="AH4" s="1556"/>
      <c r="AI4" s="1557"/>
      <c r="AJ4" s="1557"/>
      <c r="AK4" s="1557"/>
      <c r="AL4" s="1557"/>
      <c r="AM4" s="1559"/>
      <c r="AN4" s="2422"/>
      <c r="AO4" s="2422"/>
      <c r="AP4" s="2422"/>
      <c r="AQ4" s="2422"/>
      <c r="AR4" s="2422"/>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1165</v>
      </c>
      <c r="B5" s="1564" t="s">
        <v>1166</v>
      </c>
      <c r="C5" s="1565" t="s">
        <v>1167</v>
      </c>
      <c r="D5" s="1566" t="s">
        <v>1168</v>
      </c>
      <c r="E5" s="498" t="s">
        <v>1169</v>
      </c>
      <c r="F5" s="1567" t="s">
        <v>1170</v>
      </c>
      <c r="G5" s="498" t="s">
        <v>1171</v>
      </c>
      <c r="H5" s="498" t="s">
        <v>1172</v>
      </c>
      <c r="I5" s="498" t="s">
        <v>1173</v>
      </c>
      <c r="J5" s="1239" t="s">
        <v>1174</v>
      </c>
      <c r="K5" s="1568" t="s">
        <v>1175</v>
      </c>
      <c r="L5" s="1569" t="s">
        <v>1176</v>
      </c>
      <c r="M5" s="1570" t="s">
        <v>1177</v>
      </c>
      <c r="N5" s="1571" t="s">
        <v>3694</v>
      </c>
      <c r="O5" s="1569" t="s">
        <v>1178</v>
      </c>
      <c r="P5" s="1572" t="s">
        <v>1179</v>
      </c>
      <c r="Q5" s="58" t="s">
        <v>1180</v>
      </c>
      <c r="R5" s="1573" t="s">
        <v>1181</v>
      </c>
      <c r="S5" s="1574" t="s">
        <v>1182</v>
      </c>
      <c r="T5" s="1575" t="s">
        <v>1183</v>
      </c>
      <c r="U5" s="978" t="s">
        <v>1184</v>
      </c>
      <c r="V5" s="498" t="s">
        <v>1185</v>
      </c>
      <c r="W5" s="498" t="s">
        <v>1186</v>
      </c>
      <c r="X5" s="60"/>
      <c r="Y5" s="59" t="s">
        <v>1187</v>
      </c>
      <c r="Z5" s="1094" t="s">
        <v>1184</v>
      </c>
      <c r="AA5" s="498" t="s">
        <v>1185</v>
      </c>
      <c r="AB5" s="498" t="s">
        <v>1186</v>
      </c>
      <c r="AC5" s="60"/>
      <c r="AD5" s="60" t="s">
        <v>1187</v>
      </c>
      <c r="AE5" s="978" t="s">
        <v>1188</v>
      </c>
      <c r="AF5" s="498" t="s">
        <v>1189</v>
      </c>
      <c r="AG5" s="59" t="s">
        <v>1190</v>
      </c>
      <c r="AH5" s="978" t="s">
        <v>1191</v>
      </c>
      <c r="AI5" s="1094" t="s">
        <v>1192</v>
      </c>
      <c r="AJ5" s="1094" t="s">
        <v>1193</v>
      </c>
      <c r="AK5" s="498" t="s">
        <v>1194</v>
      </c>
      <c r="AL5" s="498" t="s">
        <v>1195</v>
      </c>
      <c r="AM5" s="59" t="s">
        <v>1196</v>
      </c>
      <c r="AN5" s="1576" t="s">
        <v>1197</v>
      </c>
      <c r="AO5" s="1446" t="s">
        <v>1198</v>
      </c>
      <c r="AP5" s="961" t="s">
        <v>1199</v>
      </c>
      <c r="AQ5" s="1577" t="s">
        <v>1200</v>
      </c>
      <c r="AR5" s="1577" t="s">
        <v>1201</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地下2层商业</v>
      </c>
      <c r="B6" s="1579" t="str">
        <f>IF(A6=0,"","经营性")</f>
        <v>经营性</v>
      </c>
      <c r="C6" s="1580" t="s">
        <v>670</v>
      </c>
      <c r="D6" s="798">
        <f>SUMIF(项目基本情况!C$12:I$12,C6,项目基本情况!C$14:I$14)</f>
        <v>40</v>
      </c>
      <c r="E6" s="797">
        <f>IF(B6="","",SUMIF(项目基本情况!C$12:I$12,C6,项目基本情况!C$13:I$13))</f>
        <v>55156</v>
      </c>
      <c r="F6" s="61">
        <f>SUMIF(项目基本情况!C$12:I$12,C6,项目基本情况!C$15:I$15)</f>
        <v>26.67</v>
      </c>
      <c r="G6" s="62">
        <f>IF(ISERROR(ROUND(POWER(1+H6,D6-F6)*(POWER(1+H6,F6)-1)/(POWER(1+H6,D6)-1),3)),0,ROUND(POWER(1+H6,D6-F6)*(POWER(1+H6,F6)-1)/(POWER(1+H6,D6)-1),3))</f>
        <v>0.84799999999999998</v>
      </c>
      <c r="H6" s="683">
        <v>0.05</v>
      </c>
      <c r="I6" s="683">
        <v>5.5E-2</v>
      </c>
      <c r="J6" s="63">
        <v>7.4999999999999997E-2</v>
      </c>
      <c r="K6" s="963">
        <f>SUMIF('数据-汇总表'!C$19:C$33,A6,'数据-汇总表'!E$19:E$33)</f>
        <v>2852.38</v>
      </c>
      <c r="L6" s="684">
        <v>5000</v>
      </c>
      <c r="M6" s="64">
        <f t="shared" ref="M6:M14" si="0">ROUND(K6*L6/10000,0)</f>
        <v>1426</v>
      </c>
      <c r="N6" s="682">
        <f>N20</f>
        <v>0.87</v>
      </c>
      <c r="O6" s="64" t="str">
        <f>IF($N$5="成新度","——",ROUND(M6*N6,0))</f>
        <v>——</v>
      </c>
      <c r="P6" s="65" t="str">
        <f>IF($N$5="成新度","——",M6-O6)</f>
        <v>——</v>
      </c>
      <c r="Q6" s="685">
        <v>0.2</v>
      </c>
      <c r="R6" s="66">
        <f ca="1">SUMIF('数据-汇总表'!C$19:C$33,A6,'数据-汇总表'!R$19:R$27)</f>
        <v>0</v>
      </c>
      <c r="S6" s="49">
        <f>IF('数据-汇总表'!$I$17="按面积比例",SUMIF('数据-汇总表'!C$19:C$33,A6,'数据-汇总表'!K$19:K$33),SUMIF('数据-汇总表'!C$19:C$33,A6,'数据-汇总表'!N$19:N$33))</f>
        <v>0</v>
      </c>
      <c r="T6" s="1085">
        <f>ROUND($L$14*S6/10000,0)</f>
        <v>0</v>
      </c>
      <c r="U6" s="3107">
        <v>4.5</v>
      </c>
      <c r="V6" s="67">
        <v>0.02</v>
      </c>
      <c r="W6" s="67">
        <v>0.1</v>
      </c>
      <c r="X6" s="972"/>
      <c r="Y6" s="68">
        <f>N6</f>
        <v>0.87</v>
      </c>
      <c r="Z6" s="69"/>
      <c r="AA6" s="63"/>
      <c r="AB6" s="63"/>
      <c r="AC6" s="972"/>
      <c r="AD6" s="70"/>
      <c r="AE6" s="973">
        <f ca="1">IF(AN6="",0,SUMIF(INDIRECT("'"&amp;AN6&amp;"'"&amp;"!E:E"),$AE$5,INDIRECT("'"&amp;AN6&amp;"'"&amp;"!F:F")))</f>
        <v>26.67</v>
      </c>
      <c r="AF6" s="74"/>
      <c r="AG6" s="124">
        <f>IF(AF6="",0,AE6-AF6)</f>
        <v>0</v>
      </c>
      <c r="AH6" s="71"/>
      <c r="AI6" s="73">
        <v>365</v>
      </c>
      <c r="AJ6" s="74"/>
      <c r="AK6" s="75">
        <v>5.0000000000000001E-3</v>
      </c>
      <c r="AL6" s="76">
        <v>1E-3</v>
      </c>
      <c r="AM6" s="77">
        <v>0.01</v>
      </c>
      <c r="AN6" s="1581" t="s">
        <v>3709</v>
      </c>
      <c r="AO6" s="50">
        <f ca="1">SUMIF(INDIRECT("'"&amp;AN6&amp;"'"&amp;"!A:A"),"总价",INDIRECT("'"&amp;AN6&amp;"'"&amp;"!B:B"))</f>
        <v>5833</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t="str">
        <f>'数据-汇总表'!C20</f>
        <v>地下3层商业</v>
      </c>
      <c r="B7" s="1579" t="str">
        <f t="shared" ref="B7:B13" si="1">IF(A7=0,"","经营性")</f>
        <v>经营性</v>
      </c>
      <c r="C7" s="1580" t="s">
        <v>670</v>
      </c>
      <c r="D7" s="798">
        <f>SUMIF(项目基本情况!C$12:I$12,C7,项目基本情况!C$14:I$14)</f>
        <v>40</v>
      </c>
      <c r="E7" s="797">
        <f>IF(B7="","",SUMIF(项目基本情况!C$12:I$12,C7,项目基本情况!C$13:I$13))</f>
        <v>55156</v>
      </c>
      <c r="F7" s="61">
        <f>SUMIF(项目基本情况!C$12:I$12,C7,项目基本情况!C$15:I$15)</f>
        <v>26.67</v>
      </c>
      <c r="G7" s="62">
        <f t="shared" ref="G7:G11" si="2">IF(ISERROR(ROUND(POWER(1+H7,D7-F7)*(POWER(1+H7,F7)-1)/(POWER(1+H7,D7)-1),3)),0,ROUND(POWER(1+H7,D7-F7)*(POWER(1+H7,F7)-1)/(POWER(1+H7,D7)-1),3))</f>
        <v>0.84799999999999998</v>
      </c>
      <c r="H7" s="683">
        <f>H6</f>
        <v>0.05</v>
      </c>
      <c r="I7" s="683">
        <f t="shared" ref="I7:J7" si="3">I6</f>
        <v>5.5E-2</v>
      </c>
      <c r="J7" s="683">
        <f t="shared" si="3"/>
        <v>7.4999999999999997E-2</v>
      </c>
      <c r="K7" s="963">
        <f>SUMIF('数据-汇总表'!C$19:C$33,A7,'数据-汇总表'!E$19:E$33)</f>
        <v>3127.15</v>
      </c>
      <c r="L7" s="684">
        <f>L6</f>
        <v>5000</v>
      </c>
      <c r="M7" s="64">
        <f t="shared" si="0"/>
        <v>1564</v>
      </c>
      <c r="N7" s="682">
        <f>N6</f>
        <v>0.87</v>
      </c>
      <c r="O7" s="64" t="str">
        <f t="shared" ref="O7:O14" si="4">IF($N$5="成新度","——",ROUND(M7*N7,0))</f>
        <v>——</v>
      </c>
      <c r="P7" s="65" t="str">
        <f t="shared" ref="P7:P14" si="5">IF($N$5="成新度","——",M7-O7)</f>
        <v>——</v>
      </c>
      <c r="Q7" s="685">
        <f>Q6</f>
        <v>0.2</v>
      </c>
      <c r="R7" s="66">
        <f ca="1">SUMIF('数据-汇总表'!C$19:C$33,A7,'数据-汇总表'!R$19:R$27)</f>
        <v>0</v>
      </c>
      <c r="S7" s="49">
        <f>IF('数据-汇总表'!$I$17="按面积比例",SUMIF('数据-汇总表'!C$19:C$33,A7,'数据-汇总表'!K$19:K$33),SUMIF('数据-汇总表'!C$19:C$33,A7,'数据-汇总表'!N$19:N$33))</f>
        <v>0</v>
      </c>
      <c r="T7" s="1085">
        <f t="shared" ref="T7:T13" si="6">ROUND($L$14*S7/10000,0)</f>
        <v>0</v>
      </c>
      <c r="U7" s="3107">
        <v>3</v>
      </c>
      <c r="V7" s="67">
        <v>0.02</v>
      </c>
      <c r="W7" s="67">
        <v>0.1</v>
      </c>
      <c r="X7" s="972"/>
      <c r="Y7" s="68">
        <f>N7</f>
        <v>0.87</v>
      </c>
      <c r="Z7" s="69"/>
      <c r="AA7" s="63"/>
      <c r="AB7" s="63"/>
      <c r="AC7" s="972"/>
      <c r="AD7" s="70"/>
      <c r="AE7" s="973">
        <f t="shared" ref="AE7:AE13" ca="1" si="7">IF(AN7="",0,SUMIF(INDIRECT("'"&amp;AN7&amp;"'"&amp;"!E:E"),$AE$5,INDIRECT("'"&amp;AN7&amp;"'"&amp;"!F:F")))</f>
        <v>26.67</v>
      </c>
      <c r="AF7" s="74"/>
      <c r="AG7" s="124">
        <f t="shared" ref="AG7:AG13" si="8">IF(AF7="",0,AE7-AF7)</f>
        <v>0</v>
      </c>
      <c r="AH7" s="71"/>
      <c r="AI7" s="73">
        <v>365</v>
      </c>
      <c r="AJ7" s="74"/>
      <c r="AK7" s="75">
        <f>AK6</f>
        <v>5.0000000000000001E-3</v>
      </c>
      <c r="AL7" s="75">
        <f t="shared" ref="AL7:AM7" si="9">AL6</f>
        <v>1E-3</v>
      </c>
      <c r="AM7" s="75">
        <f t="shared" si="9"/>
        <v>0.01</v>
      </c>
      <c r="AN7" s="1581" t="s">
        <v>3738</v>
      </c>
      <c r="AO7" s="50">
        <f t="shared" ref="AO7:AO13" ca="1" si="10">SUMIF(INDIRECT("'"&amp;AN7&amp;"'"&amp;"!A:A"),"总价",INDIRECT("'"&amp;AN7&amp;"'"&amp;"!B:B"))</f>
        <v>4219</v>
      </c>
      <c r="AP7" s="1582">
        <f t="shared" ref="AP7:AP13" si="11">IF(C7="住宅",K7*L7,0)</f>
        <v>0</v>
      </c>
      <c r="AQ7" s="50">
        <f t="shared" ref="AQ7:AQ13" si="12">ROUND($L$14*$N$14*S7/10000,0)</f>
        <v>0</v>
      </c>
      <c r="AR7" s="50">
        <f t="shared" ref="AR7:AR13" si="13">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hidden="1">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4"/>
        <v>——</v>
      </c>
      <c r="P8" s="65" t="str">
        <f t="shared" si="5"/>
        <v>——</v>
      </c>
      <c r="Q8" s="685"/>
      <c r="R8" s="66">
        <f ca="1">SUMIF('数据-汇总表'!C$19:C$33,A8,'数据-汇总表'!R$19:R$27)</f>
        <v>0</v>
      </c>
      <c r="S8" s="49">
        <f>IF('数据-汇总表'!$I$17="按面积比例",SUMIF('数据-汇总表'!C$19:C$33,A8,'数据-汇总表'!K$19:K$33),SUMIF('数据-汇总表'!C$19:C$33,A8,'数据-汇总表'!N$19:N$33))</f>
        <v>0</v>
      </c>
      <c r="T8" s="1085">
        <f t="shared" si="6"/>
        <v>0</v>
      </c>
      <c r="U8" s="3108"/>
      <c r="V8" s="686"/>
      <c r="W8" s="686"/>
      <c r="X8" s="972"/>
      <c r="Y8" s="68"/>
      <c r="Z8" s="69"/>
      <c r="AA8" s="63"/>
      <c r="AB8" s="63"/>
      <c r="AC8" s="972"/>
      <c r="AD8" s="70"/>
      <c r="AE8" s="973">
        <f t="shared" ca="1" si="7"/>
        <v>0</v>
      </c>
      <c r="AF8" s="74"/>
      <c r="AG8" s="124">
        <f t="shared" si="8"/>
        <v>0</v>
      </c>
      <c r="AH8" s="687"/>
      <c r="AI8" s="73"/>
      <c r="AJ8" s="74"/>
      <c r="AK8" s="688"/>
      <c r="AL8" s="689"/>
      <c r="AM8" s="690"/>
      <c r="AN8" s="1581"/>
      <c r="AO8" s="50" t="e">
        <f t="shared" ca="1" si="10"/>
        <v>#REF!</v>
      </c>
      <c r="AP8" s="1582">
        <f t="shared" si="11"/>
        <v>0</v>
      </c>
      <c r="AQ8" s="50">
        <f t="shared" si="12"/>
        <v>0</v>
      </c>
      <c r="AR8" s="50">
        <f t="shared" si="13"/>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hidden="1">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85">
        <f t="shared" si="6"/>
        <v>0</v>
      </c>
      <c r="U9" s="3107"/>
      <c r="V9" s="67"/>
      <c r="W9" s="67"/>
      <c r="X9" s="972"/>
      <c r="Y9" s="68"/>
      <c r="Z9" s="69"/>
      <c r="AA9" s="63"/>
      <c r="AB9" s="63"/>
      <c r="AC9" s="972"/>
      <c r="AD9" s="70"/>
      <c r="AE9" s="973">
        <f t="shared" ca="1" si="7"/>
        <v>0</v>
      </c>
      <c r="AF9" s="74"/>
      <c r="AG9" s="124">
        <f t="shared" si="8"/>
        <v>0</v>
      </c>
      <c r="AH9" s="71"/>
      <c r="AI9" s="73"/>
      <c r="AJ9" s="74"/>
      <c r="AK9" s="75"/>
      <c r="AL9" s="76"/>
      <c r="AM9" s="77"/>
      <c r="AN9" s="1581"/>
      <c r="AO9" s="50" t="e">
        <f t="shared" ca="1" si="10"/>
        <v>#REF!</v>
      </c>
      <c r="AP9" s="1582">
        <f t="shared" si="11"/>
        <v>0</v>
      </c>
      <c r="AQ9" s="50">
        <f t="shared" si="12"/>
        <v>0</v>
      </c>
      <c r="AR9" s="50">
        <f t="shared" si="13"/>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hidden="1">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85">
        <f t="shared" si="6"/>
        <v>0</v>
      </c>
      <c r="U10" s="3107"/>
      <c r="V10" s="67"/>
      <c r="W10" s="67"/>
      <c r="X10" s="972"/>
      <c r="Y10" s="68"/>
      <c r="Z10" s="69"/>
      <c r="AA10" s="63"/>
      <c r="AB10" s="63"/>
      <c r="AC10" s="972"/>
      <c r="AD10" s="70"/>
      <c r="AE10" s="973">
        <f t="shared" ca="1" si="7"/>
        <v>0</v>
      </c>
      <c r="AF10" s="74"/>
      <c r="AG10" s="124">
        <f t="shared" si="8"/>
        <v>0</v>
      </c>
      <c r="AH10" s="71"/>
      <c r="AI10" s="73"/>
      <c r="AJ10" s="74"/>
      <c r="AK10" s="75"/>
      <c r="AL10" s="76"/>
      <c r="AM10" s="77"/>
      <c r="AN10" s="1581"/>
      <c r="AO10" s="50" t="e">
        <f t="shared" ca="1" si="10"/>
        <v>#REF!</v>
      </c>
      <c r="AP10" s="1582">
        <f t="shared" si="11"/>
        <v>0</v>
      </c>
      <c r="AQ10" s="50">
        <f t="shared" si="12"/>
        <v>0</v>
      </c>
      <c r="AR10" s="50">
        <f t="shared" si="13"/>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hidden="1">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85">
        <f t="shared" si="6"/>
        <v>0</v>
      </c>
      <c r="U11" s="3107"/>
      <c r="V11" s="63"/>
      <c r="W11" s="63"/>
      <c r="X11" s="972"/>
      <c r="Y11" s="68"/>
      <c r="Z11" s="81"/>
      <c r="AA11" s="63"/>
      <c r="AB11" s="63"/>
      <c r="AC11" s="972"/>
      <c r="AD11" s="70"/>
      <c r="AE11" s="973">
        <f t="shared" ca="1" si="7"/>
        <v>0</v>
      </c>
      <c r="AF11" s="74"/>
      <c r="AG11" s="124">
        <f t="shared" si="8"/>
        <v>0</v>
      </c>
      <c r="AH11" s="71"/>
      <c r="AI11" s="73"/>
      <c r="AJ11" s="74"/>
      <c r="AK11" s="75"/>
      <c r="AL11" s="76"/>
      <c r="AM11" s="77"/>
      <c r="AN11" s="1581"/>
      <c r="AO11" s="50" t="e">
        <f t="shared" ca="1" si="10"/>
        <v>#REF!</v>
      </c>
      <c r="AP11" s="1582">
        <f t="shared" si="11"/>
        <v>0</v>
      </c>
      <c r="AQ11" s="50">
        <f t="shared" si="12"/>
        <v>0</v>
      </c>
      <c r="AR11" s="50">
        <f t="shared" si="13"/>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hidden="1">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85">
        <f t="shared" si="6"/>
        <v>0</v>
      </c>
      <c r="U12" s="3107"/>
      <c r="V12" s="63"/>
      <c r="W12" s="63"/>
      <c r="X12" s="972"/>
      <c r="Y12" s="68"/>
      <c r="Z12" s="81"/>
      <c r="AA12" s="63"/>
      <c r="AB12" s="63"/>
      <c r="AC12" s="972"/>
      <c r="AD12" s="70"/>
      <c r="AE12" s="973">
        <f t="shared" ca="1" si="7"/>
        <v>0</v>
      </c>
      <c r="AF12" s="74"/>
      <c r="AG12" s="124">
        <f t="shared" si="8"/>
        <v>0</v>
      </c>
      <c r="AH12" s="71"/>
      <c r="AI12" s="73"/>
      <c r="AJ12" s="74"/>
      <c r="AK12" s="75"/>
      <c r="AL12" s="76"/>
      <c r="AM12" s="77"/>
      <c r="AN12" s="1581"/>
      <c r="AO12" s="50" t="e">
        <f t="shared" ca="1" si="10"/>
        <v>#REF!</v>
      </c>
      <c r="AP12" s="1582">
        <f t="shared" si="11"/>
        <v>0</v>
      </c>
      <c r="AQ12" s="50">
        <f t="shared" si="12"/>
        <v>0</v>
      </c>
      <c r="AR12" s="50">
        <f t="shared" si="13"/>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hidden="1">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85">
        <f t="shared" si="6"/>
        <v>0</v>
      </c>
      <c r="U13" s="3109"/>
      <c r="V13" s="67"/>
      <c r="W13" s="67"/>
      <c r="X13" s="972"/>
      <c r="Y13" s="68"/>
      <c r="Z13" s="69"/>
      <c r="AA13" s="63"/>
      <c r="AB13" s="63"/>
      <c r="AC13" s="972"/>
      <c r="AD13" s="70"/>
      <c r="AE13" s="973">
        <f t="shared" ca="1" si="7"/>
        <v>0</v>
      </c>
      <c r="AF13" s="74"/>
      <c r="AG13" s="124">
        <f t="shared" si="8"/>
        <v>0</v>
      </c>
      <c r="AH13" s="71"/>
      <c r="AI13" s="73"/>
      <c r="AJ13" s="74"/>
      <c r="AK13" s="75"/>
      <c r="AL13" s="76"/>
      <c r="AM13" s="77"/>
      <c r="AN13" s="1581"/>
      <c r="AO13" s="50" t="e">
        <f t="shared" ca="1" si="10"/>
        <v>#REF!</v>
      </c>
      <c r="AP13" s="1582">
        <f t="shared" si="11"/>
        <v>0</v>
      </c>
      <c r="AQ13" s="50">
        <f t="shared" si="12"/>
        <v>0</v>
      </c>
      <c r="AR13" s="50">
        <f t="shared" si="13"/>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1202</v>
      </c>
      <c r="B14" s="1579" t="s">
        <v>1203</v>
      </c>
      <c r="C14" s="1584" t="s">
        <v>1202</v>
      </c>
      <c r="D14" s="798"/>
      <c r="E14" s="797"/>
      <c r="F14" s="61"/>
      <c r="G14" s="62"/>
      <c r="H14" s="962"/>
      <c r="I14" s="962"/>
      <c r="J14" s="962"/>
      <c r="K14" s="963">
        <f>SUMIF('数据-汇总表'!C$19:C$33,A14,'数据-汇总表'!E$19:E$33)</f>
        <v>0</v>
      </c>
      <c r="L14" s="79"/>
      <c r="M14" s="64">
        <f t="shared" si="0"/>
        <v>0</v>
      </c>
      <c r="N14" s="80"/>
      <c r="O14" s="64" t="str">
        <f t="shared" si="4"/>
        <v>——</v>
      </c>
      <c r="P14" s="65" t="str">
        <f t="shared" si="5"/>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1"/>
      <c r="AO14" s="2422"/>
      <c r="AP14" s="2422"/>
      <c r="AQ14" s="2422"/>
      <c r="AR14" s="2422"/>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1204</v>
      </c>
      <c r="B15" s="1579" t="s">
        <v>1203</v>
      </c>
      <c r="C15" s="1584" t="s">
        <v>1205</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1"/>
      <c r="AO15" s="2422"/>
      <c r="AP15" s="2422"/>
      <c r="AQ15" s="2422"/>
      <c r="AR15" s="2422"/>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1206</v>
      </c>
      <c r="B16" s="82"/>
      <c r="C16" s="776"/>
      <c r="D16" s="1586"/>
      <c r="E16" s="82"/>
      <c r="F16" s="82"/>
      <c r="G16" s="83">
        <f>ROUND(SUMPRODUCT(G6:G13,K6:K13)/SUMPRODUCT((G6:G13&gt;0)*(K6:K13)),3)</f>
        <v>0.84799999999999998</v>
      </c>
      <c r="H16" s="84">
        <f>ROUND(SUMPRODUCT(H6:H13,K6:K13)/SUMPRODUCT((H6:H13&gt;0)*(K6:K13)),3)</f>
        <v>0.05</v>
      </c>
      <c r="I16" s="85"/>
      <c r="J16" s="85"/>
      <c r="K16" s="86">
        <f>SUM(K6:K15)</f>
        <v>5979.5300000000007</v>
      </c>
      <c r="L16" s="87">
        <f>ROUND(M16*10000/SUM(K6:K14),0)</f>
        <v>5000</v>
      </c>
      <c r="M16" s="87">
        <f>SUM(M6:M14)</f>
        <v>2990</v>
      </c>
      <c r="N16" s="88">
        <f>ROUND(SUMPRODUCT(M6:M14,N6:N14)/M16,3)</f>
        <v>0.87</v>
      </c>
      <c r="O16" s="87">
        <f>SUM(O6:O14)</f>
        <v>0</v>
      </c>
      <c r="P16" s="87">
        <f>SUM(P6:P14)</f>
        <v>0</v>
      </c>
      <c r="Q16" s="89">
        <f>ROUND(SUMPRODUCT(Q6:Q13,K6:K13)/SUMPRODUCT((Q6:Q13&gt;0)*(K6:K13)),2)</f>
        <v>0.2</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1"/>
      <c r="AO16" s="2422"/>
      <c r="AP16" s="2422"/>
      <c r="AQ16" s="2422"/>
      <c r="AR16" s="2422"/>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0"/>
      <c r="C17" s="2431"/>
      <c r="D17" s="2433"/>
      <c r="E17" s="2433"/>
      <c r="F17" s="2431"/>
      <c r="G17" s="2431"/>
      <c r="H17" s="2431"/>
      <c r="I17" s="2431"/>
      <c r="J17" s="2431"/>
      <c r="K17" s="2432"/>
      <c r="L17" s="2432"/>
      <c r="M17" s="2431"/>
      <c r="N17" s="2431"/>
      <c r="O17" s="2431"/>
      <c r="P17" s="2431"/>
      <c r="Q17" s="2431">
        <f>Q16/B20</f>
        <v>6.6666666666666666E-2</v>
      </c>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row>
    <row r="18" spans="1:44" ht="15" thickBot="1">
      <c r="A18" s="57" t="s">
        <v>1207</v>
      </c>
      <c r="B18" s="2443"/>
      <c r="C18" s="2422"/>
      <c r="D18" s="2434"/>
      <c r="E18" s="2422"/>
      <c r="F18" s="2422"/>
      <c r="G18" s="2422"/>
      <c r="H18" s="2422"/>
      <c r="I18" s="2422"/>
      <c r="J18" s="2422">
        <v>7.5</v>
      </c>
      <c r="K18" s="2432"/>
      <c r="L18" s="2432"/>
      <c r="M18" s="2431"/>
      <c r="N18" s="2431"/>
      <c r="O18" s="2431"/>
      <c r="P18" s="2431"/>
      <c r="Q18" s="2431"/>
      <c r="R18" s="2431"/>
      <c r="S18" s="2431"/>
      <c r="T18" s="2431"/>
      <c r="U18" s="2431"/>
      <c r="V18" s="2431"/>
      <c r="W18" s="2431"/>
      <c r="X18" s="2431"/>
      <c r="Y18" s="2431"/>
      <c r="Z18" s="2431"/>
      <c r="AA18" s="2431"/>
      <c r="AB18" s="2431"/>
      <c r="AC18" s="2431"/>
      <c r="AD18" s="2431"/>
      <c r="AE18" s="2431"/>
      <c r="AF18" s="2431"/>
      <c r="AG18" s="2431"/>
      <c r="AH18" s="2431"/>
      <c r="AI18" s="2431"/>
      <c r="AJ18" s="2431"/>
      <c r="AK18" s="2431"/>
      <c r="AL18" s="2431"/>
      <c r="AM18" s="2431"/>
      <c r="AN18" s="2431"/>
      <c r="AO18" s="2431"/>
      <c r="AP18" s="2431"/>
      <c r="AQ18" s="2431"/>
      <c r="AR18" s="2431"/>
    </row>
    <row r="19" spans="1:44" ht="14.25">
      <c r="A19" s="1588" t="s">
        <v>1208</v>
      </c>
      <c r="B19" s="97">
        <v>0</v>
      </c>
      <c r="C19" s="2541" t="s">
        <v>2299</v>
      </c>
      <c r="D19" s="2434"/>
      <c r="E19" s="2422"/>
      <c r="F19" s="2422"/>
      <c r="G19" s="2422"/>
      <c r="H19" s="2422"/>
      <c r="I19" s="2422"/>
      <c r="J19" s="2422"/>
      <c r="K19" s="2432"/>
      <c r="L19" s="2432"/>
      <c r="M19" s="2431" t="s">
        <v>3751</v>
      </c>
      <c r="N19" s="2431">
        <v>2016</v>
      </c>
      <c r="O19" s="2431"/>
      <c r="P19" s="2431"/>
      <c r="Q19" s="2431"/>
      <c r="R19" s="2431"/>
      <c r="S19" s="2431"/>
      <c r="T19" s="2431"/>
      <c r="U19" s="2432"/>
      <c r="V19" s="3142" t="s">
        <v>3697</v>
      </c>
      <c r="W19" s="3142" t="s">
        <v>3698</v>
      </c>
      <c r="X19" s="3142" t="s">
        <v>3699</v>
      </c>
      <c r="Y19" s="2432"/>
      <c r="Z19" s="2432"/>
      <c r="AA19" s="3142" t="s">
        <v>3752</v>
      </c>
      <c r="AB19" s="2431"/>
      <c r="AC19" s="2431"/>
      <c r="AD19" s="2431"/>
      <c r="AE19" s="2431"/>
      <c r="AF19" s="2431"/>
      <c r="AG19" s="2431"/>
      <c r="AH19" s="2431"/>
      <c r="AI19" s="2431"/>
      <c r="AJ19" s="2431"/>
      <c r="AK19" s="2431"/>
      <c r="AL19" s="2431"/>
      <c r="AM19" s="2431"/>
      <c r="AN19" s="2431"/>
      <c r="AO19" s="2431"/>
      <c r="AP19" s="2431"/>
      <c r="AQ19" s="2431"/>
      <c r="AR19" s="2431"/>
    </row>
    <row r="20" spans="1:44" ht="14.25">
      <c r="A20" s="1589" t="s">
        <v>1209</v>
      </c>
      <c r="B20" s="98">
        <v>3</v>
      </c>
      <c r="C20" s="2542" t="s">
        <v>2297</v>
      </c>
      <c r="D20" s="2434"/>
      <c r="E20" s="2422"/>
      <c r="F20" s="2422"/>
      <c r="G20" s="2422"/>
      <c r="H20" s="2422"/>
      <c r="I20" s="2422"/>
      <c r="J20" s="2422"/>
      <c r="K20" s="2432"/>
      <c r="L20" s="2432"/>
      <c r="M20" s="3134" t="s">
        <v>3695</v>
      </c>
      <c r="N20" s="2431">
        <f>ROUND(1-(1-0%)*(2024-N19)/60,2)</f>
        <v>0.87</v>
      </c>
      <c r="O20" s="2431"/>
      <c r="P20" s="2431"/>
      <c r="Q20" s="2431"/>
      <c r="R20" s="2431"/>
      <c r="S20" s="2431"/>
      <c r="T20" s="2431"/>
      <c r="U20" s="2432" t="s">
        <v>3700</v>
      </c>
      <c r="V20" s="2432">
        <v>1</v>
      </c>
      <c r="W20" s="2432">
        <v>9</v>
      </c>
      <c r="X20" s="2432"/>
      <c r="Y20" s="2432"/>
      <c r="Z20" s="2432"/>
      <c r="AA20" s="2432"/>
      <c r="AB20" s="2431" t="s">
        <v>3750</v>
      </c>
      <c r="AC20" s="2431"/>
      <c r="AD20" s="2431"/>
      <c r="AE20" s="2431"/>
      <c r="AF20" s="2431"/>
      <c r="AG20" s="2431"/>
      <c r="AH20" s="2431"/>
      <c r="AI20" s="2431"/>
      <c r="AJ20" s="2431"/>
      <c r="AK20" s="2431"/>
      <c r="AL20" s="2431"/>
      <c r="AM20" s="2431"/>
      <c r="AN20" s="2431"/>
      <c r="AO20" s="2431"/>
      <c r="AP20" s="2431"/>
      <c r="AQ20" s="2431"/>
      <c r="AR20" s="2431"/>
    </row>
    <row r="21" spans="1:44" ht="14.25">
      <c r="A21" s="1590" t="s">
        <v>1210</v>
      </c>
      <c r="B21" s="98">
        <v>3</v>
      </c>
      <c r="C21" s="2422"/>
      <c r="D21" s="2434"/>
      <c r="E21" s="2422"/>
      <c r="F21" s="2422"/>
      <c r="G21" s="2422"/>
      <c r="H21" s="2422"/>
      <c r="I21" s="2422"/>
      <c r="J21" s="2422"/>
      <c r="K21" s="2432"/>
      <c r="L21" s="2432"/>
      <c r="M21" s="3134" t="s">
        <v>3696</v>
      </c>
      <c r="N21" s="2431"/>
      <c r="O21" s="2431"/>
      <c r="P21" s="2431"/>
      <c r="Q21" s="2431"/>
      <c r="R21" s="2431"/>
      <c r="S21" s="2431"/>
      <c r="T21" s="2431"/>
      <c r="U21" s="2432" t="s">
        <v>3701</v>
      </c>
      <c r="V21" s="2432">
        <v>0.7</v>
      </c>
      <c r="W21" s="2432">
        <f>W20*V21</f>
        <v>6.3</v>
      </c>
      <c r="X21" s="2432"/>
      <c r="Y21" s="2432"/>
      <c r="Z21" s="2432"/>
      <c r="AA21" s="2432"/>
      <c r="AB21" s="2431"/>
      <c r="AC21" s="2431"/>
      <c r="AD21" s="2431"/>
      <c r="AE21" s="2431"/>
      <c r="AF21" s="2431"/>
      <c r="AG21" s="2431"/>
      <c r="AH21" s="2431"/>
      <c r="AI21" s="2431"/>
      <c r="AJ21" s="2431"/>
      <c r="AK21" s="2431"/>
      <c r="AL21" s="2431"/>
      <c r="AM21" s="2431"/>
      <c r="AN21" s="2431"/>
      <c r="AO21" s="2431"/>
      <c r="AP21" s="2431"/>
      <c r="AQ21" s="2431"/>
      <c r="AR21" s="2431"/>
    </row>
    <row r="22" spans="1:44" ht="14.25">
      <c r="A22" s="1589" t="s">
        <v>1211</v>
      </c>
      <c r="B22" s="99">
        <f>B19+B20</f>
        <v>3</v>
      </c>
      <c r="C22" s="2422"/>
      <c r="D22" s="2434"/>
      <c r="E22" s="2422"/>
      <c r="F22" s="2422"/>
      <c r="G22" s="2422"/>
      <c r="H22" s="2422"/>
      <c r="I22" s="2422"/>
      <c r="J22" s="2422"/>
      <c r="K22" s="2432"/>
      <c r="L22" s="2432"/>
      <c r="M22" s="2431"/>
      <c r="N22" s="2431"/>
      <c r="O22" s="2431"/>
      <c r="P22" s="2431"/>
      <c r="Q22" s="2431"/>
      <c r="R22" s="2431"/>
      <c r="S22" s="2431"/>
      <c r="T22" s="2431"/>
      <c r="U22" s="2432" t="s">
        <v>3702</v>
      </c>
      <c r="V22" s="2432">
        <v>0.6</v>
      </c>
      <c r="W22" s="2432">
        <f>W20*V22</f>
        <v>5.3999999999999995</v>
      </c>
      <c r="X22" s="2432"/>
      <c r="Y22" s="2432"/>
      <c r="Z22" s="2432"/>
      <c r="AA22" s="2432"/>
      <c r="AB22" s="2431"/>
      <c r="AC22" s="2431"/>
      <c r="AD22" s="2431"/>
      <c r="AE22" s="2431"/>
      <c r="AF22" s="2431"/>
      <c r="AG22" s="2431"/>
      <c r="AH22" s="2431"/>
      <c r="AI22" s="2431"/>
      <c r="AJ22" s="2431"/>
      <c r="AK22" s="2431"/>
      <c r="AL22" s="2431"/>
      <c r="AM22" s="2431"/>
      <c r="AN22" s="2431"/>
      <c r="AO22" s="2431"/>
      <c r="AP22" s="2431"/>
      <c r="AQ22" s="2431"/>
      <c r="AR22" s="2431"/>
    </row>
    <row r="23" spans="1:44" ht="14.25">
      <c r="A23" s="1590" t="s">
        <v>1212</v>
      </c>
      <c r="B23" s="99">
        <f>B19+B21</f>
        <v>3</v>
      </c>
      <c r="C23" s="2422"/>
      <c r="D23" s="2434"/>
      <c r="E23" s="2422"/>
      <c r="F23" s="2422"/>
      <c r="G23" s="2422"/>
      <c r="H23" s="2422"/>
      <c r="I23" s="2422"/>
      <c r="J23" s="2422"/>
      <c r="K23" s="2432"/>
      <c r="L23" s="2432"/>
      <c r="M23" s="2431"/>
      <c r="N23" s="2431"/>
      <c r="O23" s="2431"/>
      <c r="P23" s="2431"/>
      <c r="Q23" s="2431"/>
      <c r="R23" s="2431"/>
      <c r="S23" s="2431"/>
      <c r="T23" s="2431"/>
      <c r="U23" s="2432" t="s">
        <v>3703</v>
      </c>
      <c r="V23" s="2432">
        <v>0.5</v>
      </c>
      <c r="W23" s="2432">
        <f>ROUND(W20*V23,1)</f>
        <v>4.5</v>
      </c>
      <c r="X23" s="2432">
        <v>2852.38</v>
      </c>
      <c r="Y23" s="2432">
        <f>X23*W23</f>
        <v>12835.710000000001</v>
      </c>
      <c r="Z23" s="2432"/>
      <c r="AA23" s="2432">
        <v>4.7300000000000004</v>
      </c>
      <c r="AB23" s="2431"/>
      <c r="AC23" s="2431"/>
      <c r="AD23" s="2431"/>
      <c r="AE23" s="2431"/>
      <c r="AF23" s="2431"/>
      <c r="AG23" s="2431"/>
      <c r="AH23" s="2431"/>
      <c r="AI23" s="2431"/>
      <c r="AJ23" s="2431"/>
      <c r="AK23" s="2431"/>
      <c r="AL23" s="2431"/>
      <c r="AM23" s="2431"/>
      <c r="AN23" s="2431"/>
      <c r="AO23" s="2431"/>
      <c r="AP23" s="2431"/>
      <c r="AQ23" s="2431"/>
      <c r="AR23" s="2431"/>
    </row>
    <row r="24" spans="1:44" ht="15" thickBot="1">
      <c r="A24" s="1591" t="s">
        <v>1213</v>
      </c>
      <c r="B24" s="100">
        <f>B20-B21</f>
        <v>0</v>
      </c>
      <c r="C24" s="2422"/>
      <c r="D24" s="2434"/>
      <c r="E24" s="2422"/>
      <c r="F24" s="2422"/>
      <c r="G24" s="2422"/>
      <c r="H24" s="2422"/>
      <c r="I24" s="2422"/>
      <c r="J24" s="2422"/>
      <c r="K24" s="2432"/>
      <c r="L24" s="2432"/>
      <c r="M24" s="2431"/>
      <c r="N24" s="2431"/>
      <c r="O24" s="2431"/>
      <c r="P24" s="2431"/>
      <c r="Q24" s="2431"/>
      <c r="R24" s="2431"/>
      <c r="S24" s="2431"/>
      <c r="T24" s="2431"/>
      <c r="U24" s="2432" t="s">
        <v>3704</v>
      </c>
      <c r="V24" s="2432">
        <v>0.35</v>
      </c>
      <c r="W24" s="3143">
        <f>ROUND(W20*V24,1)</f>
        <v>3.2</v>
      </c>
      <c r="X24" s="2432">
        <v>3127.15</v>
      </c>
      <c r="Y24" s="2432">
        <f>X24*W24</f>
        <v>10006.880000000001</v>
      </c>
      <c r="Z24" s="2432"/>
      <c r="AA24" s="2432"/>
      <c r="AB24" s="2431"/>
      <c r="AC24" s="2431"/>
      <c r="AD24" s="2431"/>
      <c r="AE24" s="2431"/>
      <c r="AF24" s="2431"/>
      <c r="AG24" s="2431"/>
      <c r="AH24" s="2431"/>
      <c r="AI24" s="2431"/>
      <c r="AJ24" s="2431"/>
      <c r="AK24" s="2431"/>
      <c r="AL24" s="2431"/>
      <c r="AM24" s="2431"/>
      <c r="AN24" s="2431"/>
      <c r="AO24" s="2431"/>
      <c r="AP24" s="2431"/>
      <c r="AQ24" s="2431"/>
      <c r="AR24" s="2431"/>
    </row>
    <row r="25" spans="1:44" ht="15" thickBot="1">
      <c r="A25" s="1441"/>
      <c r="B25" s="1534"/>
      <c r="C25" s="2422"/>
      <c r="D25" s="2434"/>
      <c r="E25" s="2422"/>
      <c r="F25" s="2422"/>
      <c r="G25" s="2422"/>
      <c r="H25" s="2422"/>
      <c r="I25" s="2422"/>
      <c r="J25" s="2422"/>
      <c r="K25" s="2432"/>
      <c r="L25" s="2432"/>
      <c r="M25" s="2431"/>
      <c r="N25" s="2431"/>
      <c r="O25" s="2431"/>
      <c r="P25" s="2431"/>
      <c r="Q25" s="2431"/>
      <c r="R25" s="2431"/>
      <c r="S25" s="2431"/>
      <c r="T25" s="2431"/>
      <c r="U25" s="2432"/>
      <c r="V25" s="2432"/>
      <c r="W25" s="3143">
        <f>ROUND(Y25/X25,1)</f>
        <v>3.8</v>
      </c>
      <c r="X25" s="2432">
        <f>X23+X24</f>
        <v>5979.5300000000007</v>
      </c>
      <c r="Y25" s="2432">
        <f>Y23+Y24</f>
        <v>22842.590000000004</v>
      </c>
      <c r="Z25" s="2432"/>
      <c r="AA25" s="2432"/>
      <c r="AB25" s="2431"/>
      <c r="AC25" s="2431"/>
      <c r="AD25" s="2431"/>
      <c r="AE25" s="2431"/>
      <c r="AF25" s="2431"/>
      <c r="AG25" s="2431"/>
      <c r="AH25" s="2431"/>
      <c r="AI25" s="2431"/>
      <c r="AJ25" s="2431"/>
      <c r="AK25" s="2431"/>
      <c r="AL25" s="2431"/>
      <c r="AM25" s="2431"/>
      <c r="AN25" s="2431"/>
      <c r="AO25" s="2431"/>
      <c r="AP25" s="2431"/>
      <c r="AQ25" s="2431"/>
      <c r="AR25" s="2431"/>
    </row>
    <row r="26" spans="1:44" ht="15" thickBot="1">
      <c r="A26" s="1554" t="s">
        <v>1214</v>
      </c>
      <c r="B26" s="1592" t="s">
        <v>1215</v>
      </c>
      <c r="C26" s="2435" t="s">
        <v>1216</v>
      </c>
      <c r="D26" s="2434"/>
      <c r="E26" s="2422"/>
      <c r="F26" s="2422"/>
      <c r="G26" s="2422"/>
      <c r="H26" s="2422"/>
      <c r="I26" s="2422"/>
      <c r="J26" s="2422"/>
      <c r="K26" s="2432"/>
      <c r="L26" s="2432"/>
      <c r="M26" s="2431"/>
      <c r="N26" s="2431"/>
      <c r="O26" s="2431"/>
      <c r="P26" s="2431"/>
      <c r="Q26" s="2431"/>
      <c r="R26" s="2431"/>
      <c r="S26" s="2431"/>
      <c r="T26" s="2431"/>
      <c r="U26" s="2431"/>
      <c r="V26" s="2431"/>
      <c r="W26" s="2431"/>
      <c r="X26" s="2431"/>
      <c r="Y26" s="2431"/>
      <c r="Z26" s="2431"/>
      <c r="AA26" s="2431"/>
      <c r="AB26" s="2431"/>
      <c r="AC26" s="2431"/>
      <c r="AD26" s="2431"/>
      <c r="AE26" s="2431"/>
      <c r="AF26" s="2431"/>
      <c r="AG26" s="2431"/>
      <c r="AH26" s="2431"/>
      <c r="AI26" s="2431"/>
      <c r="AJ26" s="2431"/>
      <c r="AK26" s="2431"/>
      <c r="AL26" s="2431"/>
      <c r="AM26" s="2431"/>
      <c r="AN26" s="2431"/>
      <c r="AO26" s="2431"/>
      <c r="AP26" s="2431"/>
      <c r="AQ26" s="2431"/>
      <c r="AR26" s="2431"/>
    </row>
    <row r="27" spans="1:44" ht="27.75">
      <c r="A27" s="1593" t="s">
        <v>1217</v>
      </c>
      <c r="B27" s="3135">
        <v>160</v>
      </c>
      <c r="C27" s="2543" t="s">
        <v>2301</v>
      </c>
      <c r="D27" s="2437"/>
      <c r="E27" s="2423"/>
      <c r="F27" s="2423"/>
      <c r="G27" s="2422"/>
      <c r="H27" s="2422"/>
      <c r="I27" s="2422"/>
      <c r="J27" s="2422"/>
      <c r="K27" s="2432"/>
      <c r="L27" s="2432"/>
      <c r="M27" s="2431"/>
      <c r="N27" s="2431"/>
      <c r="O27" s="2431"/>
      <c r="P27" s="2431"/>
      <c r="Q27" s="2431"/>
      <c r="R27" s="2431"/>
      <c r="S27" s="2431"/>
      <c r="T27" s="2431"/>
      <c r="U27" s="2431"/>
      <c r="V27" s="2431"/>
      <c r="W27" s="2431"/>
      <c r="X27" s="2431"/>
      <c r="Y27" s="2431"/>
      <c r="Z27" s="2431"/>
      <c r="AA27" s="2431"/>
      <c r="AB27" s="2431"/>
      <c r="AC27" s="2431"/>
      <c r="AD27" s="2431"/>
      <c r="AE27" s="2431"/>
      <c r="AF27" s="2431"/>
      <c r="AG27" s="2431"/>
      <c r="AH27" s="2431"/>
      <c r="AI27" s="2431"/>
      <c r="AJ27" s="2431"/>
      <c r="AK27" s="2431"/>
      <c r="AL27" s="2431"/>
      <c r="AM27" s="2431"/>
      <c r="AN27" s="2431"/>
      <c r="AO27" s="2431"/>
      <c r="AP27" s="2431"/>
      <c r="AQ27" s="2431"/>
      <c r="AR27" s="2431"/>
    </row>
    <row r="28" spans="1:44" ht="27.75">
      <c r="A28" s="1594" t="s">
        <v>1218</v>
      </c>
      <c r="B28" s="3136">
        <v>200</v>
      </c>
      <c r="C28" s="2438"/>
      <c r="D28" s="2437"/>
      <c r="E28" s="2423"/>
      <c r="F28" s="2423"/>
      <c r="G28" s="2422"/>
      <c r="H28" s="2422"/>
      <c r="I28" s="2422"/>
      <c r="J28" s="2422"/>
      <c r="K28" s="2432"/>
      <c r="L28" s="2432"/>
      <c r="M28" s="2431"/>
      <c r="N28" s="2431"/>
      <c r="O28" s="2431"/>
      <c r="P28" s="2431"/>
      <c r="Q28" s="2431"/>
      <c r="R28" s="2431"/>
      <c r="S28" s="2431"/>
      <c r="T28" s="2431"/>
      <c r="U28" s="2431"/>
      <c r="V28" s="2431"/>
      <c r="W28" s="2431"/>
      <c r="X28" s="2431"/>
      <c r="Y28" s="2431"/>
      <c r="Z28" s="2431"/>
      <c r="AA28" s="2431"/>
      <c r="AB28" s="2431"/>
      <c r="AC28" s="2431"/>
      <c r="AD28" s="2431"/>
      <c r="AE28" s="2431"/>
      <c r="AF28" s="2431"/>
      <c r="AG28" s="2431"/>
      <c r="AH28" s="2431"/>
      <c r="AI28" s="2431"/>
      <c r="AJ28" s="2431"/>
      <c r="AK28" s="2431"/>
      <c r="AL28" s="2431"/>
      <c r="AM28" s="2431"/>
      <c r="AN28" s="2431"/>
      <c r="AO28" s="2431"/>
      <c r="AP28" s="2431"/>
      <c r="AQ28" s="2431"/>
      <c r="AR28" s="2431"/>
    </row>
    <row r="29" spans="1:44" ht="28.5" thickBot="1">
      <c r="A29" s="1595" t="s">
        <v>1219</v>
      </c>
      <c r="B29" s="3137">
        <f ca="1">'成本法-地下2层'!C10+'成本法-地下3层'!C10</f>
        <v>120</v>
      </c>
      <c r="C29" s="2544" t="s">
        <v>2288</v>
      </c>
      <c r="D29" s="2437"/>
      <c r="E29" s="2423"/>
      <c r="F29" s="2423"/>
      <c r="G29" s="2422"/>
      <c r="H29" s="2422"/>
      <c r="I29" s="2422"/>
      <c r="J29" s="2422"/>
      <c r="K29" s="2432"/>
      <c r="L29" s="2432"/>
      <c r="M29" s="2431"/>
      <c r="N29" s="2431"/>
      <c r="O29" s="2431"/>
      <c r="P29" s="2431"/>
      <c r="Q29" s="2431"/>
      <c r="R29" s="2431"/>
      <c r="S29" s="2431"/>
      <c r="T29" s="2431"/>
      <c r="U29" s="2431"/>
      <c r="V29" s="2431"/>
      <c r="W29" s="2431"/>
      <c r="X29" s="2431"/>
      <c r="Y29" s="2431"/>
      <c r="Z29" s="2431"/>
      <c r="AA29" s="2431"/>
      <c r="AB29" s="2431"/>
      <c r="AC29" s="2431"/>
      <c r="AD29" s="2431"/>
      <c r="AE29" s="2431"/>
      <c r="AF29" s="2431"/>
      <c r="AG29" s="2431"/>
      <c r="AH29" s="2431"/>
      <c r="AI29" s="2431"/>
      <c r="AJ29" s="2431"/>
      <c r="AK29" s="2431"/>
      <c r="AL29" s="2431"/>
      <c r="AM29" s="2431"/>
      <c r="AN29" s="2431"/>
      <c r="AO29" s="2431"/>
      <c r="AP29" s="2431"/>
      <c r="AQ29" s="2431"/>
      <c r="AR29" s="2431"/>
    </row>
    <row r="30" spans="1:44" ht="27">
      <c r="A30" s="1596" t="s">
        <v>1220</v>
      </c>
      <c r="B30" s="3138">
        <v>200</v>
      </c>
      <c r="C30" s="2438"/>
      <c r="D30" s="2437"/>
      <c r="E30" s="2423"/>
      <c r="F30" s="2423"/>
      <c r="G30" s="2422"/>
      <c r="H30" s="2422"/>
      <c r="I30" s="2422"/>
      <c r="J30" s="2422"/>
      <c r="K30" s="2432"/>
      <c r="L30" s="2432"/>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c r="AN30" s="2431"/>
      <c r="AO30" s="2431"/>
      <c r="AP30" s="2431"/>
      <c r="AQ30" s="2431"/>
      <c r="AR30" s="2431"/>
    </row>
    <row r="31" spans="1:44" ht="27">
      <c r="A31" s="1594" t="s">
        <v>1221</v>
      </c>
      <c r="B31" s="102">
        <f>B30-B32</f>
        <v>200</v>
      </c>
      <c r="C31" s="2436"/>
      <c r="D31" s="2437"/>
      <c r="E31" s="2423"/>
      <c r="F31" s="2423"/>
      <c r="G31" s="2422"/>
      <c r="H31" s="2422"/>
      <c r="I31" s="2422"/>
      <c r="J31" s="2422"/>
      <c r="K31" s="2432"/>
      <c r="L31" s="2432"/>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2431"/>
      <c r="AO31" s="2431"/>
      <c r="AP31" s="2431"/>
      <c r="AQ31" s="2431"/>
      <c r="AR31" s="2431"/>
    </row>
    <row r="32" spans="1:44" ht="27.75" thickBot="1">
      <c r="A32" s="1597" t="s">
        <v>1222</v>
      </c>
      <c r="B32" s="632"/>
      <c r="C32" s="2438"/>
      <c r="D32" s="2434"/>
      <c r="E32" s="2422"/>
      <c r="F32" s="2422"/>
      <c r="G32" s="2422"/>
      <c r="H32" s="2422"/>
      <c r="I32" s="2422"/>
      <c r="J32" s="2422"/>
      <c r="K32" s="2432"/>
      <c r="L32" s="2432"/>
      <c r="M32" s="2431"/>
      <c r="N32" s="2431"/>
      <c r="O32" s="2431"/>
      <c r="P32" s="2431"/>
      <c r="Q32" s="2431"/>
      <c r="R32" s="2431"/>
      <c r="S32" s="2431"/>
      <c r="T32" s="2431"/>
      <c r="U32" s="2431"/>
      <c r="V32" s="2431"/>
      <c r="W32" s="2431"/>
      <c r="X32" s="2431"/>
      <c r="Y32" s="2431"/>
      <c r="Z32" s="2431"/>
      <c r="AA32" s="2431"/>
      <c r="AB32" s="2431"/>
      <c r="AC32" s="2431"/>
      <c r="AD32" s="2431"/>
      <c r="AE32" s="2431"/>
      <c r="AF32" s="2431"/>
      <c r="AG32" s="2431"/>
      <c r="AH32" s="2431"/>
      <c r="AI32" s="2431"/>
      <c r="AJ32" s="2431"/>
      <c r="AK32" s="2431"/>
      <c r="AL32" s="2431"/>
      <c r="AM32" s="2431"/>
      <c r="AN32" s="2431"/>
      <c r="AO32" s="2431"/>
      <c r="AP32" s="2431"/>
      <c r="AQ32" s="2431"/>
      <c r="AR32" s="2431"/>
    </row>
    <row r="33" spans="1:44" ht="14.25">
      <c r="A33" s="1593" t="s">
        <v>1223</v>
      </c>
      <c r="B33" s="3139">
        <v>0.05</v>
      </c>
      <c r="C33" s="2545" t="s">
        <v>2289</v>
      </c>
      <c r="D33" s="2434"/>
      <c r="E33" s="2422"/>
      <c r="F33" s="2422"/>
      <c r="G33" s="2422"/>
      <c r="H33" s="2422"/>
      <c r="I33" s="2422"/>
      <c r="J33" s="2422"/>
      <c r="K33" s="2432"/>
      <c r="L33" s="2432"/>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1"/>
      <c r="AK33" s="2431"/>
      <c r="AL33" s="2431"/>
      <c r="AM33" s="2431"/>
      <c r="AN33" s="2431"/>
      <c r="AO33" s="2431"/>
      <c r="AP33" s="2431"/>
      <c r="AQ33" s="2431"/>
      <c r="AR33" s="2431"/>
    </row>
    <row r="34" spans="1:44" ht="14.25">
      <c r="A34" s="1594" t="s">
        <v>1224</v>
      </c>
      <c r="B34" s="690">
        <v>0</v>
      </c>
      <c r="C34" s="2545" t="s">
        <v>2290</v>
      </c>
      <c r="D34" s="2442" t="s">
        <v>2298</v>
      </c>
      <c r="E34" s="2440"/>
      <c r="F34" s="2422"/>
      <c r="G34" s="2422"/>
      <c r="H34" s="2422"/>
      <c r="I34" s="2422"/>
      <c r="J34" s="2422"/>
      <c r="K34" s="2432"/>
      <c r="L34" s="2432"/>
      <c r="M34" s="2431"/>
      <c r="N34" s="2431"/>
      <c r="O34" s="2431"/>
      <c r="P34" s="2431"/>
      <c r="Q34" s="2431"/>
      <c r="R34" s="2431"/>
      <c r="S34" s="2431"/>
      <c r="T34" s="2431"/>
      <c r="U34" s="2431"/>
      <c r="V34" s="2431"/>
      <c r="W34" s="2431"/>
      <c r="X34" s="2431"/>
      <c r="Y34" s="2431"/>
      <c r="Z34" s="2431"/>
      <c r="AA34" s="2431"/>
      <c r="AB34" s="2431"/>
      <c r="AC34" s="2431"/>
      <c r="AD34" s="2431"/>
      <c r="AE34" s="2431"/>
      <c r="AF34" s="2431"/>
      <c r="AG34" s="2431"/>
      <c r="AH34" s="2431"/>
      <c r="AI34" s="2431"/>
      <c r="AJ34" s="2431"/>
      <c r="AK34" s="2431"/>
      <c r="AL34" s="2431"/>
      <c r="AM34" s="2431"/>
      <c r="AN34" s="2431"/>
      <c r="AO34" s="2431"/>
      <c r="AP34" s="2431"/>
      <c r="AQ34" s="2431"/>
      <c r="AR34" s="2431"/>
    </row>
    <row r="35" spans="1:44" ht="14.25">
      <c r="A35" s="1594" t="s">
        <v>1225</v>
      </c>
      <c r="B35" s="3136">
        <v>200</v>
      </c>
      <c r="C35" s="2545" t="s">
        <v>2291</v>
      </c>
      <c r="D35" s="2437"/>
      <c r="E35" s="2423"/>
      <c r="F35" s="2423"/>
      <c r="G35" s="2422"/>
      <c r="H35" s="2422"/>
      <c r="I35" s="2422"/>
      <c r="J35" s="2422"/>
      <c r="K35" s="2432"/>
      <c r="L35" s="2432"/>
      <c r="M35" s="2431"/>
      <c r="N35" s="2431"/>
      <c r="O35" s="2431"/>
      <c r="P35" s="2431"/>
      <c r="Q35" s="2431"/>
      <c r="R35" s="2431"/>
      <c r="S35" s="2431"/>
      <c r="T35" s="2431"/>
      <c r="U35" s="2431"/>
      <c r="V35" s="2431"/>
      <c r="W35" s="2431"/>
      <c r="X35" s="2431"/>
      <c r="Y35" s="2431"/>
      <c r="Z35" s="2431"/>
      <c r="AA35" s="2431"/>
      <c r="AB35" s="2431"/>
      <c r="AC35" s="2431"/>
      <c r="AD35" s="2431"/>
      <c r="AE35" s="2431"/>
      <c r="AF35" s="2431"/>
      <c r="AG35" s="2431"/>
      <c r="AH35" s="2431"/>
      <c r="AI35" s="2431"/>
      <c r="AJ35" s="2431"/>
      <c r="AK35" s="2431"/>
      <c r="AL35" s="2431"/>
      <c r="AM35" s="2431"/>
      <c r="AN35" s="2431"/>
      <c r="AO35" s="2431"/>
      <c r="AP35" s="2431"/>
      <c r="AQ35" s="2431"/>
      <c r="AR35" s="2431"/>
    </row>
    <row r="36" spans="1:44" ht="15" thickBot="1">
      <c r="A36" s="1595" t="s">
        <v>1226</v>
      </c>
      <c r="B36" s="3140">
        <v>1.4999999999999999E-2</v>
      </c>
      <c r="C36" s="2545" t="s">
        <v>2292</v>
      </c>
      <c r="D36" s="2434"/>
      <c r="E36" s="2422"/>
      <c r="F36" s="2422"/>
      <c r="G36" s="2422"/>
      <c r="H36" s="2422"/>
      <c r="I36" s="2422"/>
      <c r="J36" s="2422"/>
      <c r="K36" s="2432"/>
      <c r="L36" s="2432"/>
      <c r="M36" s="2431"/>
      <c r="N36" s="2431"/>
      <c r="O36" s="2431"/>
      <c r="P36" s="2431"/>
      <c r="Q36" s="2431"/>
      <c r="R36" s="2431"/>
      <c r="S36" s="2431"/>
      <c r="T36" s="2431"/>
      <c r="U36" s="2431"/>
      <c r="V36" s="2431"/>
      <c r="W36" s="2431"/>
      <c r="X36" s="2431"/>
      <c r="Y36" s="2431"/>
      <c r="Z36" s="2431"/>
      <c r="AA36" s="2431"/>
      <c r="AB36" s="2431"/>
      <c r="AC36" s="2431"/>
      <c r="AD36" s="2431"/>
      <c r="AE36" s="2431"/>
      <c r="AF36" s="2431"/>
      <c r="AG36" s="2431"/>
      <c r="AH36" s="2431"/>
      <c r="AI36" s="2431"/>
      <c r="AJ36" s="2431"/>
      <c r="AK36" s="2431"/>
      <c r="AL36" s="2431"/>
      <c r="AM36" s="2431"/>
      <c r="AN36" s="2431"/>
      <c r="AO36" s="2431"/>
      <c r="AP36" s="2431"/>
      <c r="AQ36" s="2431"/>
      <c r="AR36" s="2431"/>
    </row>
    <row r="37" spans="1:44" ht="14.25">
      <c r="A37" s="1596" t="s">
        <v>1227</v>
      </c>
      <c r="B37" s="3141">
        <v>0.03</v>
      </c>
      <c r="C37" s="2545" t="s">
        <v>2293</v>
      </c>
      <c r="D37" s="2434"/>
      <c r="E37" s="2422"/>
      <c r="F37" s="2422"/>
      <c r="G37" s="2422"/>
      <c r="H37" s="2422"/>
      <c r="I37" s="2422"/>
      <c r="J37" s="2422"/>
      <c r="K37" s="2432"/>
      <c r="L37" s="2432"/>
      <c r="M37" s="2431"/>
      <c r="N37" s="2431"/>
      <c r="O37" s="2431"/>
      <c r="P37" s="2431"/>
      <c r="Q37" s="2431"/>
      <c r="R37" s="2431"/>
      <c r="S37" s="2431"/>
      <c r="T37" s="2431"/>
      <c r="U37" s="2431"/>
      <c r="V37" s="2431"/>
      <c r="W37" s="2431"/>
      <c r="X37" s="2431"/>
      <c r="Y37" s="2431"/>
      <c r="Z37" s="2431"/>
      <c r="AA37" s="2431"/>
      <c r="AB37" s="2431"/>
      <c r="AC37" s="2431"/>
      <c r="AD37" s="2431"/>
      <c r="AE37" s="2431"/>
      <c r="AF37" s="2431"/>
      <c r="AG37" s="2431"/>
      <c r="AH37" s="2431"/>
      <c r="AI37" s="2431"/>
      <c r="AJ37" s="2431"/>
      <c r="AK37" s="2431"/>
      <c r="AL37" s="2431"/>
      <c r="AM37" s="2431"/>
      <c r="AN37" s="2431"/>
      <c r="AO37" s="2431"/>
      <c r="AP37" s="2431"/>
      <c r="AQ37" s="2431"/>
      <c r="AR37" s="2431"/>
    </row>
    <row r="38" spans="1:44" ht="14.25">
      <c r="A38" s="1594" t="s">
        <v>1228</v>
      </c>
      <c r="B38" s="690">
        <v>0.03</v>
      </c>
      <c r="C38" s="2545" t="s">
        <v>2293</v>
      </c>
      <c r="D38" s="2434"/>
      <c r="E38" s="2422"/>
      <c r="F38" s="2422"/>
      <c r="G38" s="2422"/>
      <c r="H38" s="2422"/>
      <c r="I38" s="2422"/>
      <c r="J38" s="2422"/>
      <c r="K38" s="2432"/>
      <c r="L38" s="2432"/>
      <c r="M38" s="2431"/>
      <c r="N38" s="2431"/>
      <c r="O38" s="2431"/>
      <c r="P38" s="2431"/>
      <c r="Q38" s="2431"/>
      <c r="R38" s="2431"/>
      <c r="S38" s="2431"/>
      <c r="T38" s="2431"/>
      <c r="U38" s="2431"/>
      <c r="V38" s="2431"/>
      <c r="W38" s="2431"/>
      <c r="X38" s="2431"/>
      <c r="Y38" s="2431"/>
      <c r="Z38" s="2431"/>
      <c r="AA38" s="2431"/>
      <c r="AB38" s="2431"/>
      <c r="AC38" s="2431"/>
      <c r="AD38" s="2431"/>
      <c r="AE38" s="2431"/>
      <c r="AF38" s="2431"/>
      <c r="AG38" s="2431"/>
      <c r="AH38" s="2431"/>
      <c r="AI38" s="2431"/>
      <c r="AJ38" s="2431"/>
      <c r="AK38" s="2431"/>
      <c r="AL38" s="2431"/>
      <c r="AM38" s="2431"/>
      <c r="AN38" s="2431"/>
      <c r="AO38" s="2431"/>
      <c r="AP38" s="2431"/>
      <c r="AQ38" s="2431"/>
      <c r="AR38" s="2431"/>
    </row>
    <row r="39" spans="1:44" ht="14.25">
      <c r="A39" s="1597" t="s">
        <v>1229</v>
      </c>
      <c r="B39" s="303">
        <f ca="1">存贷款利率!I1</f>
        <v>1.4999999999999999E-2</v>
      </c>
      <c r="C39" s="2439"/>
      <c r="D39" s="2434"/>
      <c r="E39" s="2422"/>
      <c r="F39" s="2422"/>
      <c r="G39" s="2422"/>
      <c r="H39" s="2422"/>
      <c r="I39" s="2422"/>
      <c r="J39" s="2422"/>
      <c r="K39" s="2432"/>
      <c r="L39" s="2432"/>
      <c r="M39" s="2431"/>
      <c r="N39" s="2431"/>
      <c r="O39" s="2431"/>
      <c r="P39" s="2431"/>
      <c r="Q39" s="2431"/>
      <c r="R39" s="2431"/>
      <c r="S39" s="2431"/>
      <c r="T39" s="2431"/>
      <c r="U39" s="2431"/>
      <c r="V39" s="2431"/>
      <c r="W39" s="2431"/>
      <c r="X39" s="2431"/>
      <c r="Y39" s="2431"/>
      <c r="Z39" s="2431"/>
      <c r="AA39" s="2431"/>
      <c r="AB39" s="2431"/>
      <c r="AC39" s="2431"/>
      <c r="AD39" s="2431"/>
      <c r="AE39" s="2431"/>
      <c r="AF39" s="2431"/>
      <c r="AG39" s="2431"/>
      <c r="AH39" s="2431"/>
      <c r="AI39" s="2431"/>
      <c r="AJ39" s="2431"/>
      <c r="AK39" s="2431"/>
      <c r="AL39" s="2431"/>
      <c r="AM39" s="2431"/>
      <c r="AN39" s="2431"/>
      <c r="AO39" s="2431"/>
      <c r="AP39" s="2431"/>
      <c r="AQ39" s="2431"/>
      <c r="AR39" s="2431"/>
    </row>
    <row r="40" spans="1:44" ht="15" thickBot="1">
      <c r="A40" s="2554" t="s">
        <v>2308</v>
      </c>
      <c r="B40" s="1008">
        <f ca="1">IF(A40="利息：取LPR",存贷款利率!G1,存贷款利率!G1+C40)</f>
        <v>3.4500000000000003E-2</v>
      </c>
      <c r="C40" s="2553">
        <v>5.0000000000000001E-3</v>
      </c>
      <c r="D40" s="2431"/>
      <c r="E40" s="2434"/>
      <c r="F40" s="2422"/>
      <c r="G40" s="2422"/>
      <c r="H40" s="2422"/>
      <c r="I40" s="2422"/>
      <c r="J40" s="2422"/>
      <c r="K40" s="2432"/>
      <c r="L40" s="2432"/>
      <c r="M40" s="2431"/>
      <c r="N40" s="2431"/>
      <c r="O40" s="2431"/>
      <c r="P40" s="2431"/>
      <c r="Q40" s="2431"/>
      <c r="R40" s="2431"/>
      <c r="S40" s="2431"/>
      <c r="T40" s="2431"/>
      <c r="U40" s="2431"/>
      <c r="V40" s="2431"/>
      <c r="W40" s="2431"/>
      <c r="X40" s="2431"/>
      <c r="Y40" s="2431"/>
      <c r="Z40" s="2431"/>
      <c r="AA40" s="2431"/>
      <c r="AB40" s="2431"/>
      <c r="AC40" s="2431"/>
      <c r="AD40" s="2431"/>
      <c r="AE40" s="2431"/>
      <c r="AF40" s="2431"/>
      <c r="AG40" s="2431"/>
      <c r="AH40" s="2431"/>
      <c r="AI40" s="2431"/>
      <c r="AJ40" s="2431"/>
      <c r="AK40" s="2431"/>
      <c r="AL40" s="2431"/>
      <c r="AM40" s="2431"/>
      <c r="AN40" s="2431"/>
      <c r="AO40" s="2431"/>
      <c r="AP40" s="2431"/>
      <c r="AQ40" s="2431"/>
      <c r="AR40" s="2431"/>
    </row>
    <row r="41" spans="1:44" ht="14.25">
      <c r="A41" s="1593" t="s">
        <v>1230</v>
      </c>
      <c r="B41" s="103">
        <f>B42+B43</f>
        <v>5.6000000000000001E-2</v>
      </c>
      <c r="C41" s="2436"/>
      <c r="D41" s="2431"/>
      <c r="E41" s="2434"/>
      <c r="F41" s="2422"/>
      <c r="G41" s="2422"/>
      <c r="H41" s="2422"/>
      <c r="I41" s="2422"/>
      <c r="J41" s="2422"/>
      <c r="K41" s="2432"/>
      <c r="L41" s="2432"/>
      <c r="M41" s="2431"/>
      <c r="N41" s="2431"/>
      <c r="O41" s="2431"/>
      <c r="P41" s="2431"/>
      <c r="Q41" s="2431"/>
      <c r="R41" s="2431"/>
      <c r="S41" s="2431"/>
      <c r="T41" s="2431"/>
      <c r="U41" s="2431"/>
      <c r="V41" s="2431"/>
      <c r="W41" s="2431"/>
      <c r="X41" s="2431"/>
      <c r="Y41" s="2431"/>
      <c r="Z41" s="2431"/>
      <c r="AA41" s="2431"/>
      <c r="AB41" s="2431"/>
      <c r="AC41" s="2431"/>
      <c r="AD41" s="2431"/>
      <c r="AE41" s="2431"/>
      <c r="AF41" s="2431"/>
      <c r="AG41" s="2431"/>
      <c r="AH41" s="2431"/>
      <c r="AI41" s="2431"/>
      <c r="AJ41" s="2431"/>
      <c r="AK41" s="2431"/>
      <c r="AL41" s="2431"/>
      <c r="AM41" s="2431"/>
      <c r="AN41" s="2431"/>
      <c r="AO41" s="2431"/>
      <c r="AP41" s="2431"/>
      <c r="AQ41" s="2431"/>
      <c r="AR41" s="2431"/>
    </row>
    <row r="42" spans="1:44" ht="14.25">
      <c r="A42" s="1598" t="s">
        <v>1231</v>
      </c>
      <c r="B42" s="104">
        <v>0.05</v>
      </c>
      <c r="C42" s="2441">
        <f>IF(B2&lt;DATE(2016,5,1),0,B42)</f>
        <v>0.05</v>
      </c>
      <c r="D42" s="2434"/>
      <c r="E42" s="2422"/>
      <c r="F42" s="2422"/>
      <c r="G42" s="2422"/>
      <c r="H42" s="2422"/>
      <c r="I42" s="2422"/>
      <c r="J42" s="2422"/>
      <c r="K42" s="2432"/>
      <c r="L42" s="2432"/>
      <c r="M42" s="2431"/>
      <c r="N42" s="2431"/>
      <c r="O42" s="2431"/>
      <c r="P42" s="2431"/>
      <c r="Q42" s="2431"/>
      <c r="R42" s="2431"/>
      <c r="S42" s="2431"/>
      <c r="T42" s="2431"/>
      <c r="U42" s="2431"/>
      <c r="V42" s="2431"/>
      <c r="W42" s="2431"/>
      <c r="X42" s="2431"/>
      <c r="Y42" s="2431"/>
      <c r="Z42" s="2431"/>
      <c r="AA42" s="2431"/>
      <c r="AB42" s="2431"/>
      <c r="AC42" s="2431"/>
      <c r="AD42" s="2431"/>
      <c r="AE42" s="2431"/>
      <c r="AF42" s="2431"/>
      <c r="AG42" s="2431"/>
      <c r="AH42" s="2431"/>
      <c r="AI42" s="2431"/>
      <c r="AJ42" s="2431"/>
      <c r="AK42" s="2431"/>
      <c r="AL42" s="2431"/>
      <c r="AM42" s="2431"/>
      <c r="AN42" s="2431"/>
      <c r="AO42" s="2431"/>
      <c r="AP42" s="2431"/>
      <c r="AQ42" s="2431"/>
      <c r="AR42" s="2431"/>
    </row>
    <row r="43" spans="1:44" ht="14.25">
      <c r="A43" s="1598" t="s">
        <v>1232</v>
      </c>
      <c r="B43" s="105">
        <f>B42*(B44+B45+B46)+B47</f>
        <v>6.000000000000001E-3</v>
      </c>
      <c r="C43" s="2436"/>
      <c r="D43" s="2434"/>
      <c r="E43" s="2422"/>
      <c r="F43" s="2422"/>
      <c r="G43" s="2422"/>
      <c r="H43" s="2422"/>
      <c r="I43" s="2422"/>
      <c r="J43" s="2422"/>
      <c r="K43" s="2432"/>
      <c r="L43" s="2432"/>
      <c r="M43" s="2431"/>
      <c r="N43" s="2431"/>
      <c r="O43" s="2431"/>
      <c r="P43" s="2431"/>
      <c r="Q43" s="2431"/>
      <c r="R43" s="2431"/>
      <c r="S43" s="2431"/>
      <c r="T43" s="2431"/>
      <c r="U43" s="2431"/>
      <c r="V43" s="2431"/>
      <c r="W43" s="2431"/>
      <c r="X43" s="2431"/>
      <c r="Y43" s="2431"/>
      <c r="Z43" s="2431"/>
      <c r="AA43" s="2431"/>
      <c r="AB43" s="2431"/>
      <c r="AC43" s="2431"/>
      <c r="AD43" s="2431"/>
      <c r="AE43" s="2431"/>
      <c r="AF43" s="2431"/>
      <c r="AG43" s="2431"/>
      <c r="AH43" s="2431"/>
      <c r="AI43" s="2431"/>
      <c r="AJ43" s="2431"/>
      <c r="AK43" s="2431"/>
      <c r="AL43" s="2431"/>
      <c r="AM43" s="2431"/>
      <c r="AN43" s="2431"/>
      <c r="AO43" s="2431"/>
      <c r="AP43" s="2431"/>
      <c r="AQ43" s="2431"/>
      <c r="AR43" s="2431"/>
    </row>
    <row r="44" spans="1:44" ht="14.25">
      <c r="A44" s="1599" t="s">
        <v>1233</v>
      </c>
      <c r="B44" s="106">
        <v>7.0000000000000007E-2</v>
      </c>
      <c r="C44" s="2545" t="s">
        <v>2302</v>
      </c>
      <c r="D44" s="2434"/>
      <c r="E44" s="2422"/>
      <c r="F44" s="2422"/>
      <c r="G44" s="2422"/>
      <c r="H44" s="2422"/>
      <c r="I44" s="2422"/>
      <c r="J44" s="2422"/>
      <c r="K44" s="2432"/>
      <c r="L44" s="2432"/>
      <c r="M44" s="2431"/>
      <c r="N44" s="2431"/>
      <c r="O44" s="2431"/>
      <c r="P44" s="2431"/>
      <c r="Q44" s="2431"/>
      <c r="R44" s="2431"/>
      <c r="S44" s="2431"/>
      <c r="T44" s="2431"/>
      <c r="U44" s="2431"/>
      <c r="V44" s="2431"/>
      <c r="W44" s="2431"/>
      <c r="X44" s="2431"/>
      <c r="Y44" s="2431"/>
      <c r="Z44" s="2431"/>
      <c r="AA44" s="2431"/>
      <c r="AB44" s="2431"/>
      <c r="AC44" s="2431"/>
      <c r="AD44" s="2431"/>
      <c r="AE44" s="2431"/>
      <c r="AF44" s="2431"/>
      <c r="AG44" s="2431"/>
      <c r="AH44" s="2431"/>
      <c r="AI44" s="2431"/>
      <c r="AJ44" s="2431"/>
      <c r="AK44" s="2431"/>
      <c r="AL44" s="2431"/>
      <c r="AM44" s="2431"/>
      <c r="AN44" s="2431"/>
      <c r="AO44" s="2431"/>
      <c r="AP44" s="2431"/>
      <c r="AQ44" s="2431"/>
      <c r="AR44" s="2431"/>
    </row>
    <row r="45" spans="1:44" ht="14.25">
      <c r="A45" s="1599" t="s">
        <v>1234</v>
      </c>
      <c r="B45" s="104">
        <v>0.03</v>
      </c>
      <c r="C45" s="2544" t="s">
        <v>2294</v>
      </c>
      <c r="D45" s="2434"/>
      <c r="E45" s="2422"/>
      <c r="F45" s="2422"/>
      <c r="G45" s="2422"/>
      <c r="H45" s="2422"/>
      <c r="I45" s="2422"/>
      <c r="J45" s="2422"/>
      <c r="K45" s="2432"/>
      <c r="L45" s="2432"/>
      <c r="M45" s="2431"/>
      <c r="N45" s="2431"/>
      <c r="O45" s="2431"/>
      <c r="P45" s="2431"/>
      <c r="Q45" s="2431"/>
      <c r="R45" s="2431"/>
      <c r="S45" s="2431"/>
      <c r="T45" s="2431"/>
      <c r="U45" s="2431"/>
      <c r="V45" s="2431"/>
      <c r="W45" s="2431"/>
      <c r="X45" s="2431"/>
      <c r="Y45" s="2431"/>
      <c r="Z45" s="2431"/>
      <c r="AA45" s="2431"/>
      <c r="AB45" s="2431"/>
      <c r="AC45" s="2431"/>
      <c r="AD45" s="2431"/>
      <c r="AE45" s="2431"/>
      <c r="AF45" s="2431"/>
      <c r="AG45" s="2431"/>
      <c r="AH45" s="2431"/>
      <c r="AI45" s="2431"/>
      <c r="AJ45" s="2431"/>
      <c r="AK45" s="2431"/>
      <c r="AL45" s="2431"/>
      <c r="AM45" s="2431"/>
      <c r="AN45" s="2431"/>
      <c r="AO45" s="2431"/>
      <c r="AP45" s="2431"/>
      <c r="AQ45" s="2431"/>
      <c r="AR45" s="2431"/>
    </row>
    <row r="46" spans="1:44" ht="14.25">
      <c r="A46" s="1599" t="s">
        <v>1235</v>
      </c>
      <c r="B46" s="104">
        <v>0.02</v>
      </c>
      <c r="C46" s="2544" t="s">
        <v>2295</v>
      </c>
      <c r="D46" s="2434"/>
      <c r="E46" s="2422"/>
      <c r="F46" s="2422"/>
      <c r="G46" s="2422"/>
      <c r="H46" s="2422"/>
      <c r="I46" s="2422"/>
      <c r="J46" s="2422"/>
      <c r="K46" s="2432"/>
      <c r="L46" s="2432"/>
      <c r="M46" s="2431"/>
      <c r="N46" s="2431"/>
      <c r="O46" s="2431"/>
      <c r="P46" s="2431"/>
      <c r="Q46" s="2431"/>
      <c r="R46" s="2431"/>
      <c r="S46" s="2431"/>
      <c r="T46" s="2431"/>
      <c r="U46" s="2431"/>
      <c r="V46" s="2431"/>
      <c r="W46" s="2431"/>
      <c r="X46" s="2431"/>
      <c r="Y46" s="2431"/>
      <c r="Z46" s="2431"/>
      <c r="AA46" s="2431"/>
      <c r="AB46" s="2431"/>
      <c r="AC46" s="2431"/>
      <c r="AD46" s="2431"/>
      <c r="AE46" s="2431"/>
      <c r="AF46" s="2431"/>
      <c r="AG46" s="2431"/>
      <c r="AH46" s="2431"/>
      <c r="AI46" s="2431"/>
      <c r="AJ46" s="2431"/>
      <c r="AK46" s="2431"/>
      <c r="AL46" s="2431"/>
      <c r="AM46" s="2431"/>
      <c r="AN46" s="2431"/>
      <c r="AO46" s="2431"/>
      <c r="AP46" s="2431"/>
      <c r="AQ46" s="2431"/>
      <c r="AR46" s="2431"/>
    </row>
    <row r="47" spans="1:44" ht="15" thickBot="1">
      <c r="A47" s="1600" t="s">
        <v>1236</v>
      </c>
      <c r="B47" s="107"/>
      <c r="C47" s="2547" t="s">
        <v>2303</v>
      </c>
      <c r="D47" s="2434"/>
      <c r="E47" s="2422"/>
      <c r="F47" s="2422"/>
      <c r="G47" s="2422"/>
      <c r="H47" s="2422"/>
      <c r="I47" s="2422"/>
      <c r="J47" s="2422"/>
      <c r="K47" s="2432"/>
      <c r="L47" s="2432"/>
      <c r="M47" s="2431"/>
      <c r="N47" s="2431"/>
      <c r="O47" s="2431"/>
      <c r="P47" s="2431"/>
      <c r="Q47" s="2431"/>
      <c r="R47" s="2431"/>
      <c r="S47" s="2431"/>
      <c r="T47" s="2431"/>
      <c r="U47" s="2431"/>
      <c r="V47" s="2431"/>
      <c r="W47" s="2431"/>
      <c r="X47" s="2431"/>
      <c r="Y47" s="2431"/>
      <c r="Z47" s="2431"/>
      <c r="AA47" s="2431"/>
      <c r="AB47" s="2431"/>
      <c r="AC47" s="2431"/>
      <c r="AD47" s="2431"/>
      <c r="AE47" s="2431"/>
      <c r="AF47" s="2431"/>
      <c r="AG47" s="2431"/>
      <c r="AH47" s="2431"/>
      <c r="AI47" s="2431"/>
      <c r="AJ47" s="2431"/>
      <c r="AK47" s="2431"/>
      <c r="AL47" s="2431"/>
      <c r="AM47" s="2431"/>
      <c r="AN47" s="2431"/>
      <c r="AO47" s="2431"/>
      <c r="AP47" s="2431"/>
      <c r="AQ47" s="2431"/>
      <c r="AR47" s="2431"/>
    </row>
    <row r="48" spans="1:44" ht="14.25">
      <c r="A48" s="1601" t="s">
        <v>1237</v>
      </c>
      <c r="B48" s="108">
        <v>0.03</v>
      </c>
      <c r="C48" s="2544" t="s">
        <v>2294</v>
      </c>
      <c r="D48" s="2434"/>
      <c r="E48" s="2422"/>
      <c r="F48" s="2422"/>
      <c r="G48" s="2422"/>
      <c r="H48" s="2422"/>
      <c r="I48" s="2422"/>
      <c r="J48" s="2422"/>
      <c r="K48" s="2432"/>
      <c r="L48" s="2432"/>
      <c r="M48" s="2431"/>
      <c r="N48" s="2431"/>
      <c r="O48" s="2431"/>
      <c r="P48" s="2431"/>
      <c r="Q48" s="2431"/>
      <c r="R48" s="2431"/>
      <c r="S48" s="2431"/>
      <c r="T48" s="2431"/>
      <c r="U48" s="2431"/>
      <c r="V48" s="2431"/>
      <c r="W48" s="2431"/>
      <c r="X48" s="2431"/>
      <c r="Y48" s="2431"/>
      <c r="Z48" s="2431"/>
      <c r="AA48" s="2431"/>
      <c r="AB48" s="2431"/>
      <c r="AC48" s="2431"/>
      <c r="AD48" s="2431"/>
      <c r="AE48" s="2431"/>
      <c r="AF48" s="2431"/>
      <c r="AG48" s="2431"/>
      <c r="AH48" s="2431"/>
      <c r="AI48" s="2431"/>
      <c r="AJ48" s="2431"/>
      <c r="AK48" s="2431"/>
      <c r="AL48" s="2431"/>
      <c r="AM48" s="2431"/>
      <c r="AN48" s="2431"/>
      <c r="AO48" s="2431"/>
      <c r="AP48" s="2431"/>
      <c r="AQ48" s="2431"/>
      <c r="AR48" s="2431"/>
    </row>
    <row r="49" spans="1:44" ht="15" thickBot="1">
      <c r="A49" s="1597" t="s">
        <v>1238</v>
      </c>
      <c r="B49" s="104">
        <v>5.0000000000000001E-4</v>
      </c>
      <c r="C49" s="2544" t="s">
        <v>2296</v>
      </c>
      <c r="D49" s="2434"/>
      <c r="E49" s="2422"/>
      <c r="F49" s="2422"/>
      <c r="G49" s="2422"/>
      <c r="H49" s="2422"/>
      <c r="I49" s="2422"/>
      <c r="J49" s="2422"/>
      <c r="K49" s="2432"/>
      <c r="L49" s="2432"/>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c r="AM49" s="2431"/>
      <c r="AN49" s="2431"/>
      <c r="AO49" s="2431"/>
      <c r="AP49" s="2431"/>
      <c r="AQ49" s="2431"/>
      <c r="AR49" s="2431"/>
    </row>
    <row r="50" spans="1:44" ht="14.25">
      <c r="A50" s="1602" t="s">
        <v>1239</v>
      </c>
      <c r="B50" s="109">
        <v>1.2E-2</v>
      </c>
      <c r="C50" s="2423"/>
      <c r="D50" s="2434"/>
      <c r="E50" s="2422"/>
      <c r="F50" s="2422"/>
      <c r="G50" s="2422"/>
      <c r="H50" s="2422"/>
      <c r="I50" s="2422"/>
      <c r="J50" s="2422"/>
      <c r="K50" s="2432"/>
      <c r="L50" s="2432"/>
      <c r="M50" s="2431"/>
      <c r="N50" s="2431"/>
      <c r="O50" s="2431"/>
      <c r="P50" s="2431"/>
      <c r="Q50" s="2431"/>
      <c r="R50" s="2431"/>
      <c r="S50" s="2431"/>
      <c r="T50" s="2431"/>
      <c r="U50" s="2431"/>
      <c r="V50" s="2431"/>
      <c r="W50" s="2431"/>
      <c r="X50" s="2431"/>
      <c r="Y50" s="2431"/>
      <c r="Z50" s="2431"/>
      <c r="AA50" s="2431"/>
      <c r="AB50" s="2431"/>
      <c r="AC50" s="2431"/>
      <c r="AD50" s="2431"/>
      <c r="AE50" s="2431"/>
      <c r="AF50" s="2431"/>
      <c r="AG50" s="2431"/>
      <c r="AH50" s="2431"/>
      <c r="AI50" s="2431"/>
      <c r="AJ50" s="2431"/>
      <c r="AK50" s="2431"/>
      <c r="AL50" s="2431"/>
      <c r="AM50" s="2431"/>
      <c r="AN50" s="2431"/>
      <c r="AO50" s="2431"/>
      <c r="AP50" s="2431"/>
      <c r="AQ50" s="2431"/>
      <c r="AR50" s="2431"/>
    </row>
    <row r="51" spans="1:44" ht="15" thickBot="1">
      <c r="A51" s="1595" t="s">
        <v>1240</v>
      </c>
      <c r="B51" s="110">
        <v>0.12</v>
      </c>
      <c r="C51" s="2423"/>
      <c r="D51" s="2434"/>
      <c r="E51" s="2422"/>
      <c r="F51" s="2422"/>
      <c r="G51" s="2422"/>
      <c r="H51" s="2422"/>
      <c r="I51" s="2422"/>
      <c r="J51" s="2422"/>
      <c r="K51" s="2432"/>
      <c r="L51" s="2432"/>
      <c r="M51" s="2431"/>
      <c r="N51" s="2431"/>
      <c r="O51" s="2431"/>
      <c r="P51" s="2431"/>
      <c r="Q51" s="2431"/>
      <c r="R51" s="2431"/>
      <c r="S51" s="2431"/>
      <c r="T51" s="2431"/>
      <c r="U51" s="2431"/>
      <c r="V51" s="2431"/>
      <c r="W51" s="2431"/>
      <c r="X51" s="2431"/>
      <c r="Y51" s="2431"/>
      <c r="Z51" s="2431"/>
      <c r="AA51" s="2431"/>
      <c r="AB51" s="2431"/>
      <c r="AC51" s="2431"/>
      <c r="AD51" s="2431"/>
      <c r="AE51" s="2431"/>
      <c r="AF51" s="2431"/>
      <c r="AG51" s="2431"/>
      <c r="AH51" s="2431"/>
      <c r="AI51" s="2431"/>
      <c r="AJ51" s="2431"/>
      <c r="AK51" s="2431"/>
      <c r="AL51" s="2431"/>
      <c r="AM51" s="2431"/>
      <c r="AN51" s="2431"/>
      <c r="AO51" s="2431"/>
      <c r="AP51" s="2431"/>
      <c r="AQ51" s="2431"/>
      <c r="AR51" s="2431"/>
    </row>
    <row r="52" spans="1:44" ht="14.25">
      <c r="A52" s="1602" t="s">
        <v>1241</v>
      </c>
      <c r="B52" s="111">
        <f>SUMIF(A54:A63,B53,B54:B63)</f>
        <v>3</v>
      </c>
      <c r="C52" s="2423"/>
      <c r="D52" s="2434"/>
      <c r="E52" s="2422"/>
      <c r="F52" s="2422"/>
      <c r="G52" s="2422"/>
      <c r="H52" s="2422"/>
      <c r="I52" s="2422"/>
      <c r="J52" s="2422"/>
      <c r="K52" s="2432"/>
      <c r="L52" s="2432"/>
      <c r="M52" s="2431"/>
      <c r="N52" s="2431"/>
      <c r="O52" s="2431"/>
      <c r="P52" s="2431"/>
      <c r="Q52" s="2431"/>
      <c r="R52" s="2431"/>
      <c r="S52" s="2431"/>
      <c r="T52" s="2431"/>
      <c r="U52" s="2431"/>
      <c r="V52" s="2431"/>
      <c r="W52" s="2431"/>
      <c r="X52" s="2431"/>
      <c r="Y52" s="2431"/>
      <c r="Z52" s="2431"/>
      <c r="AA52" s="2431"/>
      <c r="AB52" s="2431"/>
      <c r="AC52" s="2431"/>
      <c r="AD52" s="2431"/>
      <c r="AE52" s="2431"/>
      <c r="AF52" s="2431"/>
      <c r="AG52" s="2431"/>
      <c r="AH52" s="2431"/>
      <c r="AI52" s="2431"/>
      <c r="AJ52" s="2431"/>
      <c r="AK52" s="2431"/>
      <c r="AL52" s="2431"/>
      <c r="AM52" s="2431"/>
      <c r="AN52" s="2431"/>
      <c r="AO52" s="2431"/>
      <c r="AP52" s="2431"/>
      <c r="AQ52" s="2431"/>
      <c r="AR52" s="2431"/>
    </row>
    <row r="53" spans="1:44" ht="27">
      <c r="A53" s="1594" t="s">
        <v>1242</v>
      </c>
      <c r="B53" s="1603" t="s">
        <v>303</v>
      </c>
      <c r="C53" s="2423" t="s">
        <v>1243</v>
      </c>
      <c r="D53" s="2546" t="s">
        <v>2300</v>
      </c>
      <c r="E53" s="2422"/>
      <c r="F53" s="2422"/>
      <c r="G53" s="2422"/>
      <c r="H53" s="2422"/>
      <c r="I53" s="2422"/>
      <c r="J53" s="2422"/>
      <c r="K53" s="2432"/>
      <c r="L53" s="2432"/>
      <c r="M53" s="2431"/>
      <c r="N53" s="2431"/>
      <c r="O53" s="2431"/>
      <c r="P53" s="2431"/>
      <c r="Q53" s="2431"/>
      <c r="R53" s="2431"/>
      <c r="S53" s="2431"/>
      <c r="T53" s="2431"/>
      <c r="U53" s="2431"/>
      <c r="V53" s="2431"/>
      <c r="W53" s="2431"/>
      <c r="X53" s="2431"/>
      <c r="Y53" s="2431"/>
      <c r="Z53" s="2431"/>
      <c r="AA53" s="2431"/>
      <c r="AB53" s="2431"/>
      <c r="AC53" s="2431"/>
      <c r="AD53" s="2431"/>
      <c r="AE53" s="2431"/>
      <c r="AF53" s="2431"/>
      <c r="AG53" s="2431"/>
      <c r="AH53" s="2431"/>
      <c r="AI53" s="2431"/>
      <c r="AJ53" s="2431"/>
      <c r="AK53" s="2431"/>
      <c r="AL53" s="2431"/>
      <c r="AM53" s="2431"/>
      <c r="AN53" s="2431"/>
      <c r="AO53" s="2431"/>
      <c r="AP53" s="2431"/>
      <c r="AQ53" s="2431"/>
      <c r="AR53" s="2431"/>
    </row>
    <row r="54" spans="1:44" ht="14.25">
      <c r="A54" s="1604" t="s">
        <v>1244</v>
      </c>
      <c r="B54" s="72">
        <v>30</v>
      </c>
      <c r="C54" s="2423">
        <v>30</v>
      </c>
      <c r="D54" s="2434"/>
      <c r="E54" s="2422"/>
      <c r="F54" s="2422"/>
      <c r="G54" s="2422"/>
      <c r="H54" s="2422"/>
      <c r="I54" s="2422"/>
      <c r="J54" s="2422"/>
      <c r="K54" s="2432"/>
      <c r="L54" s="2432"/>
      <c r="M54" s="2431"/>
      <c r="N54" s="2431"/>
      <c r="O54" s="2431"/>
      <c r="P54" s="2431"/>
      <c r="Q54" s="2431"/>
      <c r="R54" s="2431"/>
      <c r="S54" s="2431"/>
      <c r="T54" s="2431"/>
      <c r="U54" s="2431"/>
      <c r="V54" s="2431"/>
      <c r="W54" s="2431"/>
      <c r="X54" s="2431"/>
      <c r="Y54" s="2431"/>
      <c r="Z54" s="2431"/>
      <c r="AA54" s="2431"/>
      <c r="AB54" s="2431"/>
      <c r="AC54" s="2431"/>
      <c r="AD54" s="2431"/>
      <c r="AE54" s="2431"/>
      <c r="AF54" s="2431"/>
      <c r="AG54" s="2431"/>
      <c r="AH54" s="2431"/>
      <c r="AI54" s="2431"/>
      <c r="AJ54" s="2431"/>
      <c r="AK54" s="2431"/>
      <c r="AL54" s="2431"/>
      <c r="AM54" s="2431"/>
      <c r="AN54" s="2431"/>
      <c r="AO54" s="2431"/>
      <c r="AP54" s="2431"/>
      <c r="AQ54" s="2431"/>
      <c r="AR54" s="2431"/>
    </row>
    <row r="55" spans="1:44" ht="14.25">
      <c r="A55" s="1604" t="s">
        <v>1245</v>
      </c>
      <c r="B55" s="72">
        <v>24</v>
      </c>
      <c r="C55" s="2423">
        <v>24</v>
      </c>
      <c r="D55" s="2434"/>
      <c r="E55" s="2422"/>
      <c r="F55" s="2422"/>
      <c r="G55" s="2422"/>
      <c r="H55" s="2422"/>
      <c r="I55" s="2422"/>
      <c r="J55" s="2422"/>
      <c r="K55" s="2432"/>
      <c r="L55" s="2432"/>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c r="AM55" s="2431"/>
      <c r="AN55" s="2431"/>
      <c r="AO55" s="2431"/>
      <c r="AP55" s="2431"/>
      <c r="AQ55" s="2431"/>
      <c r="AR55" s="2431"/>
    </row>
    <row r="56" spans="1:44" ht="14.25">
      <c r="A56" s="1604" t="s">
        <v>1246</v>
      </c>
      <c r="B56" s="72">
        <v>18</v>
      </c>
      <c r="C56" s="2423">
        <v>18</v>
      </c>
      <c r="D56" s="2434"/>
      <c r="E56" s="2422"/>
      <c r="F56" s="2422"/>
      <c r="G56" s="2422"/>
      <c r="H56" s="2422"/>
      <c r="I56" s="2422"/>
      <c r="J56" s="2422"/>
      <c r="K56" s="2432"/>
      <c r="L56" s="2432"/>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1"/>
    </row>
    <row r="57" spans="1:44" ht="14.25">
      <c r="A57" s="1604" t="s">
        <v>1247</v>
      </c>
      <c r="B57" s="72">
        <v>12</v>
      </c>
      <c r="C57" s="2423">
        <v>12</v>
      </c>
      <c r="D57" s="2434"/>
      <c r="E57" s="2422"/>
      <c r="F57" s="2422"/>
      <c r="G57" s="2422"/>
      <c r="H57" s="2422"/>
      <c r="I57" s="2422"/>
      <c r="J57" s="2422"/>
      <c r="K57" s="2432"/>
      <c r="L57" s="2432"/>
      <c r="M57" s="2431"/>
      <c r="N57" s="2431"/>
      <c r="O57" s="2431"/>
      <c r="P57" s="2431"/>
      <c r="Q57" s="2431"/>
      <c r="R57" s="2431"/>
      <c r="S57" s="2431"/>
      <c r="T57" s="2431"/>
      <c r="U57" s="2431"/>
      <c r="V57" s="2431"/>
      <c r="W57" s="2431"/>
      <c r="X57" s="2431"/>
      <c r="Y57" s="2431"/>
      <c r="Z57" s="2431"/>
      <c r="AA57" s="2431"/>
      <c r="AB57" s="2431"/>
      <c r="AC57" s="2431"/>
      <c r="AD57" s="2431"/>
      <c r="AE57" s="2431"/>
      <c r="AF57" s="2431"/>
      <c r="AG57" s="2431"/>
      <c r="AH57" s="2431"/>
      <c r="AI57" s="2431"/>
      <c r="AJ57" s="2431"/>
      <c r="AK57" s="2431"/>
      <c r="AL57" s="2431"/>
      <c r="AM57" s="2431"/>
      <c r="AN57" s="2431"/>
      <c r="AO57" s="2431"/>
      <c r="AP57" s="2431"/>
      <c r="AQ57" s="2431"/>
      <c r="AR57" s="2431"/>
    </row>
    <row r="58" spans="1:44" ht="14.25">
      <c r="A58" s="1604" t="s">
        <v>1248</v>
      </c>
      <c r="B58" s="72">
        <v>3</v>
      </c>
      <c r="C58" s="2423">
        <v>3</v>
      </c>
      <c r="D58" s="2434"/>
      <c r="E58" s="2422"/>
      <c r="F58" s="2422"/>
      <c r="G58" s="2422"/>
      <c r="H58" s="2422"/>
      <c r="I58" s="2422"/>
      <c r="J58" s="2422"/>
      <c r="K58" s="2432"/>
      <c r="L58" s="2432"/>
      <c r="M58" s="2431"/>
      <c r="N58" s="2431"/>
      <c r="O58" s="2431"/>
      <c r="P58" s="2431"/>
      <c r="Q58" s="2431"/>
      <c r="R58" s="2431"/>
      <c r="S58" s="2431"/>
      <c r="T58" s="2431"/>
      <c r="U58" s="2431"/>
      <c r="V58" s="2431"/>
      <c r="W58" s="2431"/>
      <c r="X58" s="2431"/>
      <c r="Y58" s="2431"/>
      <c r="Z58" s="2431"/>
      <c r="AA58" s="2431"/>
      <c r="AB58" s="2431"/>
      <c r="AC58" s="2431"/>
      <c r="AD58" s="2431"/>
      <c r="AE58" s="2431"/>
      <c r="AF58" s="2431"/>
      <c r="AG58" s="2431"/>
      <c r="AH58" s="2431"/>
      <c r="AI58" s="2431"/>
      <c r="AJ58" s="2431"/>
      <c r="AK58" s="2431"/>
      <c r="AL58" s="2431"/>
      <c r="AM58" s="2431"/>
      <c r="AN58" s="2431"/>
      <c r="AO58" s="2431"/>
      <c r="AP58" s="2431"/>
      <c r="AQ58" s="2431"/>
      <c r="AR58" s="2431"/>
    </row>
    <row r="59" spans="1:44" ht="14.25">
      <c r="A59" s="1604" t="s">
        <v>1249</v>
      </c>
      <c r="B59" s="72">
        <v>1.5</v>
      </c>
      <c r="C59" s="2423">
        <v>1.5</v>
      </c>
      <c r="D59" s="2434"/>
      <c r="E59" s="2422"/>
      <c r="F59" s="2422"/>
      <c r="G59" s="2422"/>
      <c r="H59" s="2422"/>
      <c r="I59" s="2422"/>
      <c r="J59" s="2422"/>
      <c r="K59" s="2432"/>
      <c r="L59" s="2432"/>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row>
    <row r="60" spans="1:44" ht="14.25">
      <c r="A60" s="1604" t="s">
        <v>1250</v>
      </c>
      <c r="B60" s="72"/>
      <c r="C60" s="2422"/>
      <c r="D60" s="2434"/>
      <c r="E60" s="2422"/>
      <c r="F60" s="2422"/>
      <c r="G60" s="2422"/>
      <c r="H60" s="2422"/>
      <c r="I60" s="2422"/>
      <c r="J60" s="2422"/>
      <c r="K60" s="2432"/>
      <c r="L60" s="2432"/>
      <c r="M60" s="2431"/>
      <c r="N60" s="2431"/>
      <c r="O60" s="2431"/>
      <c r="P60" s="2431"/>
      <c r="Q60" s="2431"/>
      <c r="R60" s="2431"/>
      <c r="S60" s="2431"/>
      <c r="T60" s="2431"/>
      <c r="U60" s="2431"/>
      <c r="V60" s="2431"/>
      <c r="W60" s="2431"/>
      <c r="X60" s="2431"/>
      <c r="Y60" s="2431"/>
      <c r="Z60" s="2431"/>
      <c r="AA60" s="2431"/>
      <c r="AB60" s="2431"/>
      <c r="AC60" s="2431"/>
      <c r="AD60" s="2431"/>
      <c r="AE60" s="2431"/>
      <c r="AF60" s="2431"/>
      <c r="AG60" s="2431"/>
      <c r="AH60" s="2431"/>
      <c r="AI60" s="2431"/>
      <c r="AJ60" s="2431"/>
      <c r="AK60" s="2431"/>
      <c r="AL60" s="2431"/>
      <c r="AM60" s="2431"/>
      <c r="AN60" s="2431"/>
      <c r="AO60" s="2431"/>
      <c r="AP60" s="2431"/>
      <c r="AQ60" s="2431"/>
      <c r="AR60" s="2431"/>
    </row>
    <row r="61" spans="1:44" ht="14.25">
      <c r="A61" s="1604" t="s">
        <v>1251</v>
      </c>
      <c r="B61" s="72"/>
      <c r="C61" s="2422"/>
      <c r="D61" s="2434"/>
      <c r="E61" s="2422"/>
      <c r="F61" s="2422"/>
      <c r="G61" s="2422"/>
      <c r="H61" s="2422"/>
      <c r="I61" s="2422"/>
      <c r="J61" s="2422"/>
      <c r="K61" s="2432"/>
      <c r="L61" s="2432"/>
      <c r="M61" s="2431"/>
      <c r="N61" s="2431"/>
      <c r="O61" s="2431"/>
      <c r="P61" s="2431"/>
      <c r="Q61" s="2431"/>
      <c r="R61" s="2431"/>
      <c r="S61" s="2431"/>
      <c r="T61" s="2431"/>
      <c r="U61" s="2431"/>
      <c r="V61" s="2431"/>
      <c r="W61" s="2431"/>
      <c r="X61" s="2431"/>
      <c r="Y61" s="2431"/>
      <c r="Z61" s="2431"/>
      <c r="AA61" s="2431"/>
      <c r="AB61" s="2431"/>
      <c r="AC61" s="2431"/>
      <c r="AD61" s="2431"/>
      <c r="AE61" s="2431"/>
      <c r="AF61" s="2431"/>
      <c r="AG61" s="2431"/>
      <c r="AH61" s="2431"/>
      <c r="AI61" s="2431"/>
      <c r="AJ61" s="2431"/>
      <c r="AK61" s="2431"/>
      <c r="AL61" s="2431"/>
      <c r="AM61" s="2431"/>
      <c r="AN61" s="2431"/>
      <c r="AO61" s="2431"/>
      <c r="AP61" s="2431"/>
      <c r="AQ61" s="2431"/>
      <c r="AR61" s="2431"/>
    </row>
    <row r="62" spans="1:44" ht="14.25">
      <c r="A62" s="1604" t="s">
        <v>1252</v>
      </c>
      <c r="B62" s="72"/>
      <c r="C62" s="2422"/>
      <c r="D62" s="2434"/>
      <c r="E62" s="2422"/>
      <c r="F62" s="2422"/>
      <c r="G62" s="2422"/>
      <c r="H62" s="2422"/>
      <c r="I62" s="2422"/>
      <c r="J62" s="2422"/>
      <c r="K62" s="2432"/>
      <c r="L62" s="2432"/>
      <c r="M62" s="2431"/>
      <c r="N62" s="2431"/>
      <c r="O62" s="2431"/>
      <c r="P62" s="2431"/>
      <c r="Q62" s="2431"/>
      <c r="R62" s="2431"/>
      <c r="S62" s="2431"/>
      <c r="T62" s="2431"/>
      <c r="U62" s="2431"/>
      <c r="V62" s="2431"/>
      <c r="W62" s="2431"/>
      <c r="X62" s="2431"/>
      <c r="Y62" s="2431"/>
      <c r="Z62" s="2431"/>
      <c r="AA62" s="2431"/>
      <c r="AB62" s="2431"/>
      <c r="AC62" s="2431"/>
      <c r="AD62" s="2431"/>
      <c r="AE62" s="2431"/>
      <c r="AF62" s="2431"/>
      <c r="AG62" s="2431"/>
      <c r="AH62" s="2431"/>
      <c r="AI62" s="2431"/>
      <c r="AJ62" s="2431"/>
      <c r="AK62" s="2431"/>
      <c r="AL62" s="2431"/>
      <c r="AM62" s="2431"/>
      <c r="AN62" s="2431"/>
      <c r="AO62" s="2431"/>
      <c r="AP62" s="2431"/>
      <c r="AQ62" s="2431"/>
      <c r="AR62" s="2431"/>
    </row>
    <row r="63" spans="1:44" ht="15" thickBot="1">
      <c r="A63" s="1605" t="s">
        <v>1253</v>
      </c>
      <c r="B63" s="112"/>
      <c r="C63" s="2422"/>
      <c r="D63" s="2434"/>
      <c r="E63" s="2422"/>
      <c r="F63" s="2422"/>
      <c r="G63" s="2422"/>
      <c r="H63" s="2422"/>
      <c r="I63" s="2422"/>
      <c r="J63" s="2422"/>
      <c r="K63" s="2432"/>
      <c r="L63" s="2432"/>
      <c r="M63" s="2431"/>
      <c r="N63" s="2431"/>
      <c r="O63" s="2431"/>
      <c r="P63" s="2431"/>
      <c r="Q63" s="2431"/>
      <c r="R63" s="2431"/>
      <c r="S63" s="2431"/>
      <c r="T63" s="2431"/>
      <c r="U63" s="2431"/>
      <c r="V63" s="2431"/>
      <c r="W63" s="2431"/>
      <c r="X63" s="2431"/>
      <c r="Y63" s="2431"/>
      <c r="Z63" s="2431"/>
      <c r="AA63" s="2431"/>
      <c r="AB63" s="2431"/>
      <c r="AC63" s="2431"/>
      <c r="AD63" s="2431"/>
      <c r="AE63" s="2431"/>
      <c r="AF63" s="2431"/>
      <c r="AG63" s="2431"/>
      <c r="AH63" s="2431"/>
      <c r="AI63" s="2431"/>
      <c r="AJ63" s="2431"/>
      <c r="AK63" s="2431"/>
      <c r="AL63" s="2431"/>
      <c r="AM63" s="2431"/>
      <c r="AN63" s="2431"/>
      <c r="AO63" s="2431"/>
      <c r="AP63" s="2431"/>
      <c r="AQ63" s="2431"/>
      <c r="AR63" s="2431"/>
    </row>
    <row r="64" spans="1:44" s="676" customFormat="1">
      <c r="A64" s="2425"/>
      <c r="B64" s="2431"/>
      <c r="C64" s="2431"/>
      <c r="D64" s="2433"/>
      <c r="E64" s="2431"/>
      <c r="F64" s="2431"/>
      <c r="G64" s="2431"/>
      <c r="H64" s="2431"/>
      <c r="I64" s="2431"/>
      <c r="J64" s="2431"/>
      <c r="K64" s="2432"/>
      <c r="L64" s="2432"/>
      <c r="M64" s="2431"/>
      <c r="N64" s="2431"/>
      <c r="O64" s="2431"/>
      <c r="P64" s="2431"/>
      <c r="Q64" s="2431"/>
      <c r="R64" s="2431"/>
      <c r="S64" s="2431"/>
      <c r="T64" s="2431"/>
      <c r="U64" s="2431"/>
      <c r="V64" s="2431"/>
      <c r="W64" s="2431"/>
      <c r="X64" s="2431"/>
      <c r="Y64" s="2431"/>
      <c r="Z64" s="2431"/>
      <c r="AA64" s="2431"/>
      <c r="AB64" s="2431"/>
      <c r="AC64" s="2431"/>
      <c r="AD64" s="2431"/>
      <c r="AE64" s="2431"/>
      <c r="AF64" s="2431"/>
      <c r="AG64" s="2431"/>
      <c r="AH64" s="2431"/>
      <c r="AI64" s="2431"/>
      <c r="AJ64" s="2431"/>
      <c r="AK64" s="2431"/>
      <c r="AL64" s="2431"/>
      <c r="AM64" s="2431"/>
      <c r="AN64" s="2431"/>
      <c r="AO64" s="2431"/>
      <c r="AP64" s="2431"/>
      <c r="AQ64" s="2431"/>
      <c r="AR64" s="2431"/>
    </row>
    <row r="65" spans="1:44" s="676" customFormat="1">
      <c r="A65" s="2425"/>
      <c r="B65" s="2431"/>
      <c r="C65" s="2431"/>
      <c r="D65" s="2433"/>
      <c r="E65" s="2431"/>
      <c r="F65" s="2431"/>
      <c r="G65" s="2431"/>
      <c r="H65" s="2431"/>
      <c r="I65" s="2431"/>
      <c r="J65" s="2431"/>
      <c r="K65" s="2432"/>
      <c r="L65" s="2432"/>
      <c r="M65" s="2431"/>
      <c r="N65" s="2431"/>
      <c r="O65" s="2431"/>
      <c r="P65" s="2431"/>
      <c r="Q65" s="2431"/>
      <c r="R65" s="2431"/>
      <c r="S65" s="2431"/>
      <c r="T65" s="2431"/>
      <c r="U65" s="2431"/>
      <c r="V65" s="2431"/>
      <c r="W65" s="2431"/>
      <c r="X65" s="2431"/>
      <c r="Y65" s="2431"/>
      <c r="Z65" s="2431"/>
      <c r="AA65" s="2431"/>
      <c r="AB65" s="2431"/>
      <c r="AC65" s="2431"/>
      <c r="AD65" s="2431"/>
      <c r="AE65" s="2431"/>
      <c r="AF65" s="2431"/>
      <c r="AG65" s="2431"/>
      <c r="AH65" s="2431"/>
      <c r="AI65" s="2431"/>
      <c r="AJ65" s="2431"/>
      <c r="AK65" s="2431"/>
      <c r="AL65" s="2431"/>
      <c r="AM65" s="2431"/>
      <c r="AN65" s="2431"/>
      <c r="AO65" s="2431"/>
      <c r="AP65" s="2431"/>
      <c r="AQ65" s="2431"/>
      <c r="AR65" s="2431"/>
    </row>
    <row r="66" spans="1:44" s="676" customFormat="1">
      <c r="A66" s="2425"/>
      <c r="B66" s="2431"/>
      <c r="C66" s="2431"/>
      <c r="D66" s="2433"/>
      <c r="E66" s="2431"/>
      <c r="F66" s="2431"/>
      <c r="G66" s="2431"/>
      <c r="H66" s="2431"/>
      <c r="I66" s="2431"/>
      <c r="J66" s="2431"/>
      <c r="K66" s="2432"/>
      <c r="L66" s="2432"/>
      <c r="M66" s="2431"/>
      <c r="N66" s="2431"/>
      <c r="O66" s="2431"/>
      <c r="P66" s="2431"/>
      <c r="Q66" s="2431"/>
      <c r="R66" s="2431"/>
      <c r="S66" s="2431"/>
      <c r="T66" s="2431"/>
      <c r="U66" s="2431"/>
      <c r="V66" s="2431"/>
      <c r="W66" s="2431"/>
      <c r="X66" s="2431"/>
      <c r="Y66" s="2431"/>
      <c r="Z66" s="2431"/>
      <c r="AA66" s="2431"/>
      <c r="AB66" s="2431"/>
      <c r="AC66" s="2431"/>
      <c r="AD66" s="2431"/>
      <c r="AE66" s="2431"/>
      <c r="AF66" s="2431"/>
      <c r="AG66" s="2431"/>
      <c r="AH66" s="2431"/>
      <c r="AI66" s="2431"/>
      <c r="AJ66" s="2431"/>
      <c r="AK66" s="2431"/>
      <c r="AL66" s="2431"/>
      <c r="AM66" s="2431"/>
      <c r="AN66" s="2431"/>
      <c r="AO66" s="2431"/>
      <c r="AP66" s="2431"/>
      <c r="AQ66" s="2431"/>
      <c r="AR66" s="2431"/>
    </row>
    <row r="67" spans="1:44" s="676" customFormat="1">
      <c r="A67" s="2425"/>
      <c r="B67" s="2431"/>
      <c r="C67" s="2431"/>
      <c r="D67" s="2433"/>
      <c r="E67" s="2431"/>
      <c r="F67" s="2431"/>
      <c r="G67" s="2431"/>
      <c r="H67" s="2431"/>
      <c r="I67" s="2431"/>
      <c r="J67" s="2431"/>
      <c r="K67" s="2432"/>
      <c r="L67" s="2432"/>
      <c r="M67" s="2431"/>
      <c r="N67" s="2431"/>
      <c r="O67" s="2431"/>
      <c r="P67" s="2431"/>
      <c r="Q67" s="2431"/>
      <c r="R67" s="2431"/>
      <c r="S67" s="2431"/>
      <c r="T67" s="2431"/>
      <c r="U67" s="2431"/>
      <c r="V67" s="2431"/>
      <c r="W67" s="2431"/>
      <c r="X67" s="2431"/>
      <c r="Y67" s="2431"/>
      <c r="Z67" s="2431"/>
      <c r="AA67" s="2431"/>
      <c r="AB67" s="2431"/>
      <c r="AC67" s="2431"/>
      <c r="AD67" s="2431"/>
      <c r="AE67" s="2431"/>
      <c r="AF67" s="2431"/>
      <c r="AG67" s="2431"/>
      <c r="AH67" s="2431"/>
      <c r="AI67" s="2431"/>
      <c r="AJ67" s="2431"/>
      <c r="AK67" s="2431"/>
      <c r="AL67" s="2431"/>
      <c r="AM67" s="2431"/>
      <c r="AN67" s="2431"/>
      <c r="AO67" s="2431"/>
      <c r="AP67" s="2431"/>
      <c r="AQ67" s="2431"/>
      <c r="AR67" s="2431"/>
    </row>
    <row r="68" spans="1:44" s="676" customFormat="1">
      <c r="A68" s="2425"/>
      <c r="B68" s="2431"/>
      <c r="C68" s="2431"/>
      <c r="D68" s="2433"/>
      <c r="E68" s="2431"/>
      <c r="F68" s="2431"/>
      <c r="G68" s="2431"/>
      <c r="H68" s="2431"/>
      <c r="I68" s="2431"/>
      <c r="J68" s="2431"/>
      <c r="K68" s="2432"/>
      <c r="L68" s="2432"/>
      <c r="M68" s="2431"/>
      <c r="N68" s="2431"/>
      <c r="O68" s="2431"/>
      <c r="P68" s="2431"/>
      <c r="Q68" s="2431"/>
      <c r="R68" s="2431"/>
      <c r="S68" s="2431"/>
      <c r="T68" s="2431"/>
      <c r="U68" s="2431"/>
      <c r="V68" s="2431"/>
      <c r="W68" s="2431"/>
      <c r="X68" s="2431"/>
      <c r="Y68" s="2431"/>
      <c r="Z68" s="2431"/>
      <c r="AA68" s="2431"/>
      <c r="AB68" s="2431"/>
      <c r="AC68" s="2431"/>
      <c r="AD68" s="2431"/>
      <c r="AE68" s="2431"/>
      <c r="AF68" s="2431"/>
      <c r="AG68" s="2431"/>
      <c r="AH68" s="2431"/>
      <c r="AI68" s="2431"/>
      <c r="AJ68" s="2431"/>
      <c r="AK68" s="2431"/>
      <c r="AL68" s="2431"/>
      <c r="AM68" s="2431"/>
      <c r="AN68" s="2431"/>
      <c r="AO68" s="2431"/>
      <c r="AP68" s="2431"/>
      <c r="AQ68" s="2431"/>
      <c r="AR68" s="2431"/>
    </row>
    <row r="69" spans="1:44" s="676" customFormat="1">
      <c r="A69" s="1606"/>
      <c r="D69" s="1607"/>
      <c r="K69" s="679"/>
      <c r="L69" s="679"/>
    </row>
    <row r="70" spans="1:44" s="676" customFormat="1">
      <c r="A70" s="1606"/>
      <c r="D70" s="1607"/>
      <c r="K70" s="679"/>
      <c r="L70" s="679"/>
    </row>
    <row r="71" spans="1:44" s="676" customFormat="1">
      <c r="A71" s="1606"/>
      <c r="D71" s="1607"/>
      <c r="K71" s="679"/>
      <c r="L71" s="679"/>
    </row>
    <row r="72" spans="1:44" s="676" customFormat="1">
      <c r="A72" s="1606"/>
      <c r="D72" s="1607"/>
      <c r="K72" s="679"/>
      <c r="L72" s="679"/>
    </row>
    <row r="73" spans="1:44" s="676" customFormat="1">
      <c r="A73" s="1606"/>
      <c r="D73" s="1607"/>
      <c r="K73" s="679"/>
      <c r="L73" s="679"/>
    </row>
    <row r="74" spans="1:44" s="676" customFormat="1">
      <c r="A74" s="1606"/>
      <c r="D74" s="1607"/>
      <c r="K74" s="679"/>
      <c r="L74" s="679"/>
    </row>
    <row r="75" spans="1:44" s="676" customFormat="1">
      <c r="A75" s="1606"/>
      <c r="D75" s="1607"/>
      <c r="K75" s="679"/>
      <c r="L75" s="679"/>
    </row>
    <row r="76" spans="1:44" s="676" customFormat="1">
      <c r="A76" s="1606"/>
      <c r="D76" s="1607"/>
      <c r="K76" s="679"/>
      <c r="L76" s="679"/>
    </row>
    <row r="77" spans="1:44" s="676" customFormat="1">
      <c r="A77" s="1606"/>
      <c r="D77" s="1607"/>
      <c r="K77" s="679"/>
      <c r="L77" s="679"/>
    </row>
    <row r="78" spans="1:44" s="676" customFormat="1">
      <c r="A78" s="1606"/>
      <c r="D78" s="1607"/>
      <c r="K78" s="679"/>
      <c r="L78" s="679"/>
    </row>
    <row r="79" spans="1:44" s="676" customFormat="1">
      <c r="A79" s="1606"/>
      <c r="D79" s="1607"/>
      <c r="K79" s="679"/>
      <c r="L79" s="679"/>
    </row>
    <row r="80" spans="1:44" s="676" customFormat="1">
      <c r="A80" s="1606"/>
      <c r="D80" s="1607"/>
      <c r="K80" s="679"/>
      <c r="L80" s="679"/>
    </row>
    <row r="81" spans="1:12" s="676" customFormat="1">
      <c r="A81" s="1606"/>
      <c r="D81" s="1607"/>
      <c r="K81" s="679"/>
      <c r="L81" s="679"/>
    </row>
    <row r="82" spans="1:12" s="676" customFormat="1">
      <c r="A82" s="1606"/>
      <c r="D82" s="1607"/>
      <c r="K82" s="679"/>
      <c r="L82" s="679"/>
    </row>
    <row r="83" spans="1:12" s="676" customFormat="1">
      <c r="A83" s="1606"/>
      <c r="D83" s="1607"/>
      <c r="K83" s="679"/>
      <c r="L83" s="679"/>
    </row>
    <row r="84" spans="1:12" s="676" customFormat="1">
      <c r="A84" s="1606"/>
      <c r="D84" s="1607"/>
      <c r="K84" s="679"/>
      <c r="L84" s="679"/>
    </row>
    <row r="85" spans="1:12" s="676" customFormat="1">
      <c r="A85" s="1606"/>
      <c r="D85" s="1607"/>
      <c r="K85" s="679"/>
      <c r="L85" s="679"/>
    </row>
    <row r="86" spans="1:12" s="676" customFormat="1">
      <c r="A86" s="1606"/>
      <c r="D86" s="1607"/>
      <c r="K86" s="679"/>
      <c r="L86" s="679"/>
    </row>
    <row r="87" spans="1:12" s="676" customFormat="1">
      <c r="A87" s="1606"/>
      <c r="D87" s="1607"/>
      <c r="K87" s="679"/>
      <c r="L87" s="679"/>
    </row>
    <row r="88" spans="1:12" s="676" customFormat="1">
      <c r="A88" s="1606"/>
      <c r="D88" s="1607"/>
      <c r="K88" s="679"/>
      <c r="L88" s="679"/>
    </row>
    <row r="89" spans="1:12" s="676" customFormat="1">
      <c r="A89" s="1606"/>
      <c r="D89" s="1607"/>
      <c r="K89" s="679"/>
      <c r="L89" s="679"/>
    </row>
    <row r="90" spans="1:12" s="676" customFormat="1">
      <c r="A90" s="1606"/>
      <c r="D90" s="1607"/>
      <c r="K90" s="679"/>
      <c r="L90" s="679"/>
    </row>
    <row r="91" spans="1:12" s="676" customFormat="1">
      <c r="A91" s="1606"/>
      <c r="D91" s="1607"/>
      <c r="K91" s="679"/>
      <c r="L91" s="679"/>
    </row>
    <row r="92" spans="1:12" s="676" customFormat="1">
      <c r="A92" s="1606"/>
      <c r="D92" s="1607"/>
      <c r="K92" s="679"/>
      <c r="L92" s="679"/>
    </row>
    <row r="93" spans="1:12" s="676" customFormat="1">
      <c r="A93" s="1606"/>
      <c r="D93" s="1607"/>
      <c r="K93" s="679"/>
      <c r="L93" s="679"/>
    </row>
    <row r="94" spans="1:12" s="676" customFormat="1">
      <c r="A94" s="1606"/>
      <c r="D94" s="1607"/>
      <c r="K94" s="679"/>
      <c r="L94" s="679"/>
    </row>
    <row r="95" spans="1:12" s="676" customFormat="1">
      <c r="A95" s="1606"/>
      <c r="D95" s="1607"/>
      <c r="K95" s="679"/>
      <c r="L95" s="679"/>
    </row>
    <row r="96" spans="1:12" s="676" customFormat="1">
      <c r="A96" s="1606"/>
      <c r="D96" s="1607"/>
      <c r="K96" s="679"/>
      <c r="L96" s="679"/>
    </row>
    <row r="97" spans="1:12" s="676" customFormat="1">
      <c r="A97" s="1606"/>
      <c r="D97" s="1607"/>
      <c r="K97" s="679"/>
      <c r="L97" s="679"/>
    </row>
    <row r="98" spans="1:12" s="676" customFormat="1">
      <c r="A98" s="1606"/>
      <c r="D98" s="1607"/>
      <c r="K98" s="679"/>
      <c r="L98" s="679"/>
    </row>
    <row r="99" spans="1:12" s="676" customFormat="1">
      <c r="A99" s="1606"/>
      <c r="D99" s="1607"/>
      <c r="K99" s="679"/>
      <c r="L99" s="679"/>
    </row>
    <row r="100" spans="1:12" s="676" customFormat="1">
      <c r="A100" s="1606"/>
      <c r="D100" s="1607"/>
      <c r="K100" s="679"/>
      <c r="L100" s="679"/>
    </row>
    <row r="101" spans="1:12" s="676" customFormat="1">
      <c r="A101" s="1606"/>
      <c r="D101" s="1607"/>
      <c r="K101" s="679"/>
      <c r="L101" s="679"/>
    </row>
    <row r="102" spans="1:12" s="676" customFormat="1">
      <c r="A102" s="1606"/>
      <c r="D102" s="1607"/>
      <c r="K102" s="679"/>
      <c r="L102" s="679"/>
    </row>
    <row r="103" spans="1:12" s="676" customFormat="1">
      <c r="A103" s="1606"/>
      <c r="D103" s="1607"/>
      <c r="K103" s="679"/>
      <c r="L103" s="679"/>
    </row>
    <row r="104" spans="1:12" s="676" customFormat="1">
      <c r="A104" s="1606"/>
      <c r="D104" s="1607"/>
      <c r="K104" s="679"/>
      <c r="L104" s="679"/>
    </row>
    <row r="105" spans="1:12" s="676" customFormat="1">
      <c r="A105" s="1606"/>
      <c r="D105" s="1607"/>
      <c r="K105" s="679"/>
      <c r="L105" s="679"/>
    </row>
    <row r="106" spans="1:12" s="676" customFormat="1">
      <c r="A106" s="1606"/>
      <c r="D106" s="1607"/>
      <c r="K106" s="679"/>
      <c r="L106" s="679"/>
    </row>
    <row r="107" spans="1:12" s="676" customFormat="1">
      <c r="A107" s="1606"/>
      <c r="D107" s="1607"/>
      <c r="K107" s="679"/>
      <c r="L107" s="679"/>
    </row>
    <row r="108" spans="1:12" s="676" customFormat="1">
      <c r="A108" s="1606"/>
      <c r="D108" s="1607"/>
      <c r="K108" s="679"/>
      <c r="L108" s="679"/>
    </row>
    <row r="109" spans="1:12" s="676" customFormat="1">
      <c r="A109" s="1606"/>
      <c r="D109" s="1607"/>
      <c r="K109" s="679"/>
      <c r="L109" s="679"/>
    </row>
    <row r="110" spans="1:12" s="676" customFormat="1">
      <c r="A110" s="1606"/>
      <c r="D110" s="1607"/>
      <c r="K110" s="679"/>
      <c r="L110" s="679"/>
    </row>
    <row r="111" spans="1:12" s="676" customFormat="1">
      <c r="A111" s="1606"/>
      <c r="D111" s="1607"/>
      <c r="K111" s="679"/>
      <c r="L111" s="679"/>
    </row>
    <row r="112" spans="1:12" s="676" customFormat="1">
      <c r="A112" s="1606"/>
      <c r="D112" s="1607"/>
      <c r="K112" s="679"/>
      <c r="L112" s="679"/>
    </row>
    <row r="113" spans="1:12" s="676" customFormat="1">
      <c r="A113" s="1606"/>
      <c r="D113" s="1607"/>
      <c r="K113" s="679"/>
      <c r="L113" s="679"/>
    </row>
    <row r="114" spans="1:12" s="676" customFormat="1">
      <c r="A114" s="1606"/>
      <c r="D114" s="1607"/>
      <c r="K114" s="679"/>
      <c r="L114" s="679"/>
    </row>
    <row r="115" spans="1:12" s="676" customFormat="1">
      <c r="A115" s="1606"/>
      <c r="D115" s="1607"/>
      <c r="K115" s="679"/>
      <c r="L115" s="679"/>
    </row>
    <row r="116" spans="1:12" s="676" customFormat="1">
      <c r="A116" s="1606"/>
      <c r="D116" s="1607"/>
      <c r="K116" s="679"/>
      <c r="L116" s="679"/>
    </row>
    <row r="117" spans="1:12" s="676" customFormat="1">
      <c r="A117" s="1606"/>
      <c r="D117" s="1607"/>
      <c r="K117" s="679"/>
      <c r="L117" s="679"/>
    </row>
    <row r="118" spans="1:12" s="676" customFormat="1">
      <c r="A118" s="1606"/>
      <c r="D118" s="1607"/>
      <c r="K118" s="679"/>
      <c r="L118" s="679"/>
    </row>
    <row r="119" spans="1:12" s="676" customFormat="1">
      <c r="A119" s="1606"/>
      <c r="D119" s="1607"/>
      <c r="K119" s="679"/>
      <c r="L119" s="679"/>
    </row>
    <row r="120" spans="1:12" s="676" customFormat="1">
      <c r="A120" s="1606"/>
      <c r="D120" s="1607"/>
      <c r="K120" s="679"/>
      <c r="L120" s="679"/>
    </row>
    <row r="121" spans="1:12" s="676" customFormat="1">
      <c r="A121" s="1606"/>
      <c r="D121" s="1607"/>
      <c r="K121" s="679"/>
      <c r="L121" s="679"/>
    </row>
    <row r="122" spans="1:12" s="676" customFormat="1">
      <c r="A122" s="1606"/>
      <c r="D122" s="1607"/>
      <c r="K122" s="679"/>
      <c r="L122" s="679"/>
    </row>
    <row r="123" spans="1:12" s="676" customFormat="1">
      <c r="A123" s="1606"/>
      <c r="D123" s="1607"/>
      <c r="K123" s="679"/>
      <c r="L123" s="679"/>
    </row>
    <row r="124" spans="1:12" s="676" customFormat="1">
      <c r="A124" s="1606"/>
      <c r="D124" s="1607"/>
      <c r="K124" s="679"/>
      <c r="L124" s="679"/>
    </row>
    <row r="125" spans="1:12" s="676" customFormat="1">
      <c r="A125" s="1606"/>
      <c r="D125" s="1607"/>
      <c r="K125" s="679"/>
      <c r="L125" s="679"/>
    </row>
    <row r="126" spans="1:12" s="676" customFormat="1">
      <c r="A126" s="1606"/>
      <c r="D126" s="1607"/>
      <c r="K126" s="679"/>
      <c r="L126" s="679"/>
    </row>
    <row r="127" spans="1:12" s="676" customFormat="1">
      <c r="A127" s="1606"/>
      <c r="D127" s="1607"/>
      <c r="K127" s="679"/>
      <c r="L127" s="679"/>
    </row>
    <row r="128" spans="1:12" s="676" customFormat="1">
      <c r="A128" s="1606"/>
      <c r="D128" s="1607"/>
      <c r="K128" s="679"/>
      <c r="L128" s="679"/>
    </row>
    <row r="129" spans="1:12" s="676" customFormat="1">
      <c r="A129" s="1606"/>
      <c r="D129" s="1607"/>
      <c r="K129" s="679"/>
      <c r="L129" s="679"/>
    </row>
    <row r="130" spans="1:12" s="676" customFormat="1">
      <c r="A130" s="1606"/>
      <c r="D130" s="1607"/>
      <c r="K130" s="679"/>
      <c r="L130" s="679"/>
    </row>
    <row r="131" spans="1:12" s="676" customFormat="1">
      <c r="A131" s="1606"/>
      <c r="D131" s="1607"/>
      <c r="K131" s="679"/>
      <c r="L131" s="679"/>
    </row>
    <row r="132" spans="1:12" s="676" customFormat="1">
      <c r="A132" s="1606"/>
      <c r="D132" s="1607"/>
      <c r="K132" s="679"/>
      <c r="L132" s="679"/>
    </row>
    <row r="133" spans="1:12" s="676" customFormat="1">
      <c r="A133" s="1606"/>
      <c r="D133" s="1607"/>
      <c r="K133" s="679"/>
      <c r="L133" s="679"/>
    </row>
    <row r="134" spans="1:12" s="116" customFormat="1">
      <c r="A134" s="1608"/>
      <c r="D134" s="1609"/>
      <c r="K134" s="24"/>
      <c r="L134" s="24"/>
    </row>
    <row r="135" spans="1:12" s="116" customFormat="1">
      <c r="A135" s="1608"/>
      <c r="D135" s="1609"/>
      <c r="K135" s="24"/>
      <c r="L135" s="24"/>
    </row>
    <row r="136" spans="1:12" s="116" customFormat="1">
      <c r="A136" s="1608"/>
      <c r="D136" s="1609"/>
      <c r="K136" s="24"/>
      <c r="L136" s="24"/>
    </row>
    <row r="137" spans="1:12" s="116" customFormat="1">
      <c r="A137" s="1608"/>
      <c r="D137" s="1609"/>
      <c r="K137" s="24"/>
      <c r="L137" s="24"/>
    </row>
    <row r="138" spans="1:12" s="116" customFormat="1">
      <c r="A138" s="1608"/>
      <c r="D138" s="1609"/>
      <c r="K138" s="24"/>
      <c r="L138" s="24"/>
    </row>
    <row r="139" spans="1:12" s="116" customFormat="1">
      <c r="A139" s="1608"/>
      <c r="D139" s="1609"/>
      <c r="K139" s="24"/>
      <c r="L139" s="24"/>
    </row>
    <row r="140" spans="1:12" s="116" customFormat="1">
      <c r="A140" s="1608"/>
      <c r="D140" s="1609"/>
      <c r="K140" s="24"/>
      <c r="L140" s="24"/>
    </row>
    <row r="141" spans="1:12" s="116" customFormat="1">
      <c r="A141" s="1608"/>
      <c r="D141" s="1609"/>
      <c r="K141" s="24"/>
      <c r="L141" s="24"/>
    </row>
    <row r="142" spans="1:12" s="116" customFormat="1">
      <c r="A142" s="1608"/>
      <c r="D142" s="1609"/>
      <c r="K142" s="24"/>
      <c r="L142" s="24"/>
    </row>
    <row r="143" spans="1:12" s="116" customFormat="1">
      <c r="A143" s="1608"/>
      <c r="D143" s="1609"/>
      <c r="K143" s="24"/>
      <c r="L143" s="24"/>
    </row>
    <row r="144" spans="1:12" s="116" customFormat="1">
      <c r="A144" s="1608"/>
      <c r="D144" s="1609"/>
      <c r="K144" s="24"/>
      <c r="L144" s="24"/>
    </row>
    <row r="145" spans="1:12" s="116" customFormat="1">
      <c r="A145" s="1608"/>
      <c r="D145" s="1609"/>
      <c r="K145" s="24"/>
      <c r="L145" s="24"/>
    </row>
    <row r="146" spans="1:12" s="116" customFormat="1">
      <c r="A146" s="1608"/>
      <c r="D146" s="1609"/>
      <c r="K146" s="24"/>
      <c r="L146" s="24"/>
    </row>
    <row r="147" spans="1:12" s="116" customFormat="1">
      <c r="A147" s="1608"/>
      <c r="D147" s="1609"/>
      <c r="K147" s="24"/>
      <c r="L147" s="24"/>
    </row>
    <row r="148" spans="1:12" s="116" customFormat="1">
      <c r="A148" s="1608"/>
      <c r="D148" s="1609"/>
      <c r="K148" s="24"/>
      <c r="L148" s="24"/>
    </row>
    <row r="149" spans="1:12" s="116" customFormat="1">
      <c r="A149" s="1608"/>
      <c r="D149" s="1609"/>
      <c r="K149" s="24"/>
      <c r="L149" s="24"/>
    </row>
    <row r="150" spans="1:12" s="116" customFormat="1">
      <c r="A150" s="1608"/>
      <c r="D150" s="1609"/>
      <c r="K150" s="24"/>
      <c r="L150" s="24"/>
    </row>
    <row r="151" spans="1:12" s="116" customFormat="1">
      <c r="A151" s="1608"/>
      <c r="D151" s="1609"/>
      <c r="K151" s="24"/>
      <c r="L151" s="24"/>
    </row>
    <row r="152" spans="1:12" s="116" customFormat="1">
      <c r="A152" s="1608"/>
      <c r="D152" s="1609"/>
      <c r="K152" s="24"/>
      <c r="L152" s="24"/>
    </row>
    <row r="153" spans="1:12" s="116" customFormat="1">
      <c r="A153" s="1608"/>
      <c r="D153" s="1609"/>
      <c r="K153" s="24"/>
      <c r="L153" s="24"/>
    </row>
    <row r="154" spans="1:12" s="116" customFormat="1">
      <c r="A154" s="1608"/>
      <c r="D154" s="1609"/>
      <c r="K154" s="24"/>
      <c r="L154" s="24"/>
    </row>
    <row r="155" spans="1:12" s="116" customFormat="1">
      <c r="A155" s="1608"/>
      <c r="D155" s="1609"/>
      <c r="K155" s="24"/>
      <c r="L155" s="24"/>
    </row>
    <row r="156" spans="1:12" s="116" customFormat="1">
      <c r="A156" s="1608"/>
      <c r="D156" s="1609"/>
      <c r="K156" s="24"/>
      <c r="L156" s="24"/>
    </row>
    <row r="157" spans="1:12" s="116" customFormat="1">
      <c r="A157" s="1608"/>
      <c r="D157" s="1609"/>
      <c r="K157" s="24"/>
      <c r="L157" s="24"/>
    </row>
    <row r="158" spans="1:12" s="116" customFormat="1">
      <c r="A158" s="1608"/>
      <c r="D158" s="1609"/>
      <c r="K158" s="24"/>
      <c r="L158" s="24"/>
    </row>
    <row r="159" spans="1:12" s="116" customFormat="1">
      <c r="A159" s="1608"/>
      <c r="D159" s="1609"/>
      <c r="K159" s="24"/>
      <c r="L159" s="24"/>
    </row>
    <row r="160" spans="1:12" s="116" customFormat="1">
      <c r="A160" s="1608"/>
      <c r="D160" s="1609"/>
      <c r="K160" s="24"/>
      <c r="L160" s="24"/>
    </row>
    <row r="161" spans="1:12" s="116" customFormat="1">
      <c r="A161" s="1608"/>
      <c r="D161" s="1609"/>
      <c r="K161" s="24"/>
      <c r="L161" s="24"/>
    </row>
    <row r="162" spans="1:12" s="116" customFormat="1">
      <c r="A162" s="1608"/>
      <c r="D162" s="1609"/>
      <c r="K162" s="24"/>
      <c r="L162" s="24"/>
    </row>
    <row r="163" spans="1:12" s="116" customFormat="1">
      <c r="A163" s="1608"/>
      <c r="D163" s="1609"/>
      <c r="K163" s="24"/>
      <c r="L163" s="24"/>
    </row>
    <row r="164" spans="1:12" s="116" customFormat="1">
      <c r="A164" s="1608"/>
      <c r="D164" s="1609"/>
      <c r="K164" s="24"/>
      <c r="L164" s="24"/>
    </row>
    <row r="165" spans="1:12" s="116" customFormat="1">
      <c r="A165" s="1608"/>
      <c r="D165" s="1609"/>
      <c r="K165" s="24"/>
      <c r="L165" s="24"/>
    </row>
    <row r="166" spans="1:12" s="116" customFormat="1">
      <c r="A166" s="1608"/>
      <c r="D166" s="1609"/>
      <c r="K166" s="24"/>
      <c r="L166" s="24"/>
    </row>
    <row r="167" spans="1:12" s="116" customFormat="1">
      <c r="A167" s="1608"/>
      <c r="D167" s="1609"/>
      <c r="K167" s="24"/>
      <c r="L167" s="24"/>
    </row>
    <row r="168" spans="1:12" s="116" customFormat="1">
      <c r="A168" s="1608"/>
      <c r="D168" s="1609"/>
      <c r="K168" s="24"/>
      <c r="L168" s="24"/>
    </row>
    <row r="169" spans="1:12" s="116" customFormat="1">
      <c r="A169" s="1608"/>
      <c r="D169" s="1609"/>
      <c r="K169" s="24"/>
      <c r="L169" s="24"/>
    </row>
    <row r="170" spans="1:12" s="116" customFormat="1">
      <c r="A170" s="1608"/>
      <c r="D170" s="1609"/>
      <c r="K170" s="24"/>
      <c r="L170" s="24"/>
    </row>
    <row r="171" spans="1:12" s="116" customFormat="1">
      <c r="A171" s="1608"/>
      <c r="D171" s="1609"/>
      <c r="K171" s="24"/>
      <c r="L171" s="24"/>
    </row>
    <row r="172" spans="1:12" s="116" customFormat="1">
      <c r="A172" s="1608"/>
      <c r="D172" s="1609"/>
      <c r="K172" s="24"/>
      <c r="L172" s="24"/>
    </row>
    <row r="173" spans="1:12" s="116" customFormat="1">
      <c r="A173" s="1608"/>
      <c r="D173" s="1609"/>
      <c r="K173" s="24"/>
      <c r="L173" s="24"/>
    </row>
    <row r="174" spans="1:12" s="116" customFormat="1">
      <c r="A174" s="1608"/>
      <c r="D174" s="160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4" customWidth="1"/>
    <col min="19" max="29" width="9" style="744"/>
    <col min="30" max="16384" width="9" style="1514"/>
  </cols>
  <sheetData>
    <row r="1" spans="1:29" s="2250" customFormat="1" ht="18.75" thickBot="1">
      <c r="A1" s="3362" t="s">
        <v>2280</v>
      </c>
      <c r="B1" s="3363"/>
      <c r="C1" s="3363"/>
      <c r="D1" s="3363"/>
      <c r="E1" s="3363"/>
      <c r="F1" s="3363"/>
      <c r="G1" s="3363"/>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2275</v>
      </c>
      <c r="D2" s="1587"/>
      <c r="E2" s="2251"/>
      <c r="F2" s="2254"/>
      <c r="G2" s="2253" t="s">
        <v>2276</v>
      </c>
      <c r="H2" s="744"/>
      <c r="I2" s="744"/>
      <c r="J2" s="744"/>
      <c r="K2" s="744"/>
      <c r="L2" s="744"/>
      <c r="M2" s="744"/>
      <c r="N2" s="744"/>
      <c r="O2" s="744"/>
      <c r="P2" s="744"/>
      <c r="Q2" s="744"/>
    </row>
    <row r="3" spans="1:29" ht="48">
      <c r="A3" s="2238" t="s">
        <v>2277</v>
      </c>
      <c r="B3" s="2255" t="s">
        <v>2246</v>
      </c>
      <c r="C3" s="2256" t="s">
        <v>2278</v>
      </c>
      <c r="D3" s="2257"/>
      <c r="E3" s="2239" t="s">
        <v>2277</v>
      </c>
      <c r="F3" s="2258" t="s">
        <v>2247</v>
      </c>
      <c r="G3" s="2259" t="s">
        <v>2279</v>
      </c>
      <c r="H3" s="744"/>
      <c r="I3" s="744"/>
      <c r="J3" s="744"/>
      <c r="K3" s="744"/>
      <c r="L3" s="744"/>
      <c r="M3" s="744"/>
      <c r="N3" s="744"/>
      <c r="O3" s="744"/>
      <c r="P3" s="744"/>
      <c r="Q3" s="744"/>
    </row>
    <row r="4" spans="1:29" ht="36.75">
      <c r="A4" s="2239"/>
      <c r="B4" s="309" t="s">
        <v>2248</v>
      </c>
      <c r="C4" s="2260" t="s">
        <v>2249</v>
      </c>
      <c r="D4" s="2257"/>
      <c r="E4" s="2261"/>
      <c r="F4" s="1273" t="s">
        <v>2250</v>
      </c>
      <c r="G4" s="2262" t="s">
        <v>2251</v>
      </c>
      <c r="H4" s="744"/>
      <c r="I4" s="744"/>
      <c r="J4" s="744"/>
      <c r="K4" s="744"/>
      <c r="L4" s="744"/>
      <c r="M4" s="744"/>
      <c r="N4" s="744"/>
      <c r="O4" s="744"/>
      <c r="P4" s="744"/>
      <c r="Q4" s="744"/>
    </row>
    <row r="5" spans="1:29" ht="36.75">
      <c r="A5" s="2239"/>
      <c r="B5" s="309" t="s">
        <v>2252</v>
      </c>
      <c r="C5" s="2260" t="s">
        <v>2253</v>
      </c>
      <c r="D5" s="2257"/>
      <c r="E5" s="2261"/>
      <c r="F5" s="309" t="s">
        <v>2254</v>
      </c>
      <c r="G5" s="2262" t="s">
        <v>2255</v>
      </c>
      <c r="H5" s="744"/>
      <c r="I5" s="744"/>
      <c r="J5" s="744"/>
      <c r="K5" s="744"/>
      <c r="L5" s="744"/>
      <c r="M5" s="744"/>
      <c r="N5" s="744"/>
      <c r="O5" s="744"/>
      <c r="P5" s="744"/>
      <c r="Q5" s="744"/>
    </row>
    <row r="6" spans="1:29" ht="36">
      <c r="A6" s="2239"/>
      <c r="B6" s="309" t="s">
        <v>2256</v>
      </c>
      <c r="C6" s="2262" t="s">
        <v>2251</v>
      </c>
      <c r="D6" s="2257"/>
      <c r="E6" s="2261"/>
      <c r="F6" s="309" t="s">
        <v>2257</v>
      </c>
      <c r="G6" s="2262" t="s">
        <v>2258</v>
      </c>
      <c r="H6" s="744"/>
      <c r="I6" s="744"/>
      <c r="J6" s="744"/>
      <c r="K6" s="744"/>
      <c r="L6" s="744"/>
      <c r="M6" s="744"/>
      <c r="N6" s="744"/>
      <c r="O6" s="744"/>
      <c r="P6" s="744"/>
      <c r="Q6" s="744"/>
    </row>
    <row r="7" spans="1:29" ht="24.75" thickBot="1">
      <c r="A7" s="2239"/>
      <c r="B7" s="309" t="s">
        <v>2254</v>
      </c>
      <c r="C7" s="2262" t="s">
        <v>2255</v>
      </c>
      <c r="D7" s="2236"/>
      <c r="E7" s="2263"/>
      <c r="F7" s="2264" t="s">
        <v>2259</v>
      </c>
      <c r="G7" s="2265" t="s">
        <v>2260</v>
      </c>
      <c r="H7" s="744"/>
      <c r="I7" s="744"/>
      <c r="J7" s="744"/>
      <c r="K7" s="744"/>
      <c r="L7" s="744"/>
      <c r="M7" s="744"/>
      <c r="N7" s="744"/>
      <c r="O7" s="744"/>
      <c r="P7" s="744"/>
      <c r="Q7" s="744"/>
    </row>
    <row r="8" spans="1:29">
      <c r="A8" s="2239"/>
      <c r="B8" s="309" t="s">
        <v>2257</v>
      </c>
      <c r="C8" s="2262" t="s">
        <v>2258</v>
      </c>
      <c r="D8" s="2236"/>
      <c r="E8" s="2236"/>
      <c r="F8" s="115"/>
      <c r="G8" s="115"/>
      <c r="H8" s="744"/>
      <c r="I8" s="744"/>
      <c r="J8" s="744"/>
      <c r="K8" s="744"/>
      <c r="L8" s="744"/>
      <c r="M8" s="744"/>
      <c r="N8" s="744"/>
      <c r="O8" s="744"/>
      <c r="P8" s="744"/>
      <c r="Q8" s="744"/>
    </row>
    <row r="9" spans="1:29" ht="24">
      <c r="A9" s="2239"/>
      <c r="B9" s="309" t="s">
        <v>2261</v>
      </c>
      <c r="C9" s="2260" t="s">
        <v>2262</v>
      </c>
      <c r="D9" s="2257"/>
      <c r="E9" s="2236"/>
      <c r="F9" s="115"/>
      <c r="G9" s="115"/>
      <c r="H9" s="744"/>
      <c r="I9" s="744"/>
      <c r="J9" s="744"/>
      <c r="K9" s="744"/>
      <c r="L9" s="744"/>
      <c r="M9" s="744"/>
      <c r="N9" s="744"/>
      <c r="O9" s="744"/>
      <c r="P9" s="744"/>
      <c r="Q9" s="744"/>
    </row>
    <row r="10" spans="1:29" ht="15" thickBot="1">
      <c r="A10" s="2240"/>
      <c r="B10" s="2266" t="s">
        <v>2263</v>
      </c>
      <c r="C10" s="2267"/>
      <c r="D10" s="2257"/>
      <c r="E10" s="2257"/>
      <c r="F10" s="115"/>
      <c r="G10" s="115"/>
      <c r="J10" s="2269"/>
      <c r="M10" s="2269"/>
      <c r="P10" s="2269"/>
      <c r="R10" s="2268"/>
    </row>
    <row r="11" spans="1:29">
      <c r="A11" s="2270"/>
      <c r="B11" s="2236"/>
      <c r="C11" s="2257"/>
      <c r="D11" s="2257"/>
      <c r="E11" s="2257"/>
      <c r="F11" s="2236"/>
      <c r="G11" s="2236"/>
      <c r="J11" s="2269"/>
      <c r="M11" s="2269"/>
      <c r="P11" s="2269"/>
      <c r="R11" s="2268"/>
    </row>
    <row r="12" spans="1:29" s="2250" customFormat="1" ht="18">
      <c r="A12" s="2270"/>
      <c r="B12" s="2236"/>
      <c r="C12" s="2257"/>
      <c r="D12" s="2271"/>
      <c r="E12" s="2257"/>
      <c r="F12" s="2236"/>
      <c r="G12" s="2236"/>
      <c r="H12" s="2272"/>
      <c r="I12" s="2272"/>
      <c r="J12" s="2272"/>
      <c r="K12" s="2272"/>
      <c r="L12" s="2273"/>
      <c r="M12" s="2272"/>
      <c r="N12" s="2274"/>
      <c r="O12" s="2274"/>
      <c r="P12" s="2274"/>
      <c r="Q12" s="2274"/>
      <c r="R12" s="2249"/>
      <c r="S12" s="2249"/>
      <c r="T12" s="2249"/>
      <c r="U12" s="2249"/>
      <c r="V12" s="2249"/>
      <c r="W12" s="2249"/>
      <c r="X12" s="2249"/>
      <c r="Y12" s="2249"/>
      <c r="Z12" s="2249"/>
      <c r="AA12" s="2249"/>
      <c r="AB12" s="2249"/>
      <c r="AC12" s="2249"/>
    </row>
    <row r="13" spans="1:29" ht="15.75" thickBot="1">
      <c r="A13" s="2275" t="s">
        <v>2281</v>
      </c>
      <c r="B13" s="2271"/>
      <c r="C13" s="2271"/>
      <c r="D13" s="2270"/>
      <c r="E13" s="2271"/>
      <c r="F13" s="2271"/>
      <c r="G13" s="2271"/>
    </row>
    <row r="14" spans="1:29" ht="15" thickBot="1">
      <c r="A14" s="2276"/>
      <c r="B14" s="2276"/>
      <c r="C14" s="2277" t="s">
        <v>2264</v>
      </c>
      <c r="D14" s="2257"/>
      <c r="E14" s="2278"/>
      <c r="F14" s="2278"/>
      <c r="G14" s="2253" t="s">
        <v>2265</v>
      </c>
    </row>
    <row r="15" spans="1:29" ht="51">
      <c r="A15" s="2241" t="s">
        <v>2266</v>
      </c>
      <c r="B15" s="2279" t="s">
        <v>2246</v>
      </c>
      <c r="C15" s="2280" t="str">
        <f>C3</f>
        <v>估价对象周边居住用地比例、居住小区规模和社区发展完善程度，综合评价居住社区成熟度一般</v>
      </c>
      <c r="D15" s="2257"/>
      <c r="E15" s="2242" t="s">
        <v>2267</v>
      </c>
      <c r="F15" s="2279" t="s">
        <v>2268</v>
      </c>
      <c r="G15" s="2281" t="str">
        <f>G3</f>
        <v>估价对象位于XX开发区，园区建设成熟度XX，产业集聚程度XX</v>
      </c>
    </row>
    <row r="16" spans="1:29" ht="38.25">
      <c r="A16" s="2243"/>
      <c r="B16" s="2282" t="s">
        <v>2248</v>
      </c>
      <c r="C16" s="2283" t="str">
        <f>C4</f>
        <v>估价对象位于XX商圈，周边商业氛围成熟，人流量大，商业繁华度好</v>
      </c>
      <c r="D16" s="2257"/>
      <c r="E16" s="2244"/>
      <c r="F16" s="2284" t="s">
        <v>2250</v>
      </c>
      <c r="G16" s="2285" t="str">
        <f>G4</f>
        <v>估价对象周边道路状况、公共交通通达情况、停车便捷程度，综合评价交通便捷度较好</v>
      </c>
    </row>
    <row r="17" spans="1:17" ht="38.25">
      <c r="A17" s="2243"/>
      <c r="B17" s="2282" t="s">
        <v>2252</v>
      </c>
      <c r="C17" s="2283" t="str">
        <f>C5</f>
        <v>估价对象位于XX商圈，周边办公楼项目较多，入驻率高，办公集聚程度较好</v>
      </c>
      <c r="D17" s="2236"/>
      <c r="E17" s="2244"/>
      <c r="F17" s="2284" t="s">
        <v>2269</v>
      </c>
      <c r="G17" s="2286"/>
    </row>
    <row r="18" spans="1:17" ht="38.25">
      <c r="A18" s="2243"/>
      <c r="B18" s="2284" t="s">
        <v>2256</v>
      </c>
      <c r="C18" s="2285" t="str">
        <f>C6</f>
        <v>估价对象周边道路状况、公共交通通达情况、停车便捷程度，综合评价交通便捷度较好</v>
      </c>
      <c r="D18" s="2236"/>
      <c r="E18" s="2244"/>
      <c r="F18" s="2284" t="s">
        <v>2259</v>
      </c>
      <c r="G18" s="2285" t="str">
        <f>G7</f>
        <v>该园区内是否有污染型企业，绿化情况，卫生条件，整体环境状况判断</v>
      </c>
    </row>
    <row r="19" spans="1:17" ht="25.5">
      <c r="A19" s="2243"/>
      <c r="B19" s="2284" t="s">
        <v>2270</v>
      </c>
      <c r="C19" s="2286"/>
      <c r="D19" s="2257"/>
      <c r="E19" s="2244"/>
      <c r="F19" s="309" t="s">
        <v>2254</v>
      </c>
      <c r="G19" s="2285" t="str">
        <f>G5</f>
        <v>估价对象所在区域公共配套设施齐备情况</v>
      </c>
    </row>
    <row r="20" spans="1:17" ht="25.5">
      <c r="A20" s="2243"/>
      <c r="B20" s="2284" t="s">
        <v>2271</v>
      </c>
      <c r="C20" s="2283" t="str">
        <f>C9</f>
        <v>区域自然环境：；人文环境；综合评价环境状况一般</v>
      </c>
      <c r="D20" s="2236"/>
      <c r="E20" s="2244"/>
      <c r="F20" s="309" t="s">
        <v>2257</v>
      </c>
      <c r="G20" s="2285" t="str">
        <f>G6</f>
        <v>估价对象所在区域基础设施水平</v>
      </c>
    </row>
    <row r="21" spans="1:17" ht="25.5">
      <c r="A21" s="2243"/>
      <c r="B21" s="309" t="s">
        <v>2254</v>
      </c>
      <c r="C21" s="2285" t="str">
        <f>C7</f>
        <v>估价对象所在区域公共配套设施齐备情况</v>
      </c>
      <c r="D21" s="2257"/>
      <c r="E21" s="2244"/>
      <c r="F21" s="2284" t="s">
        <v>2272</v>
      </c>
      <c r="G21" s="2287"/>
    </row>
    <row r="22" spans="1:17" ht="13.5" customHeight="1">
      <c r="A22" s="2243"/>
      <c r="B22" s="309" t="s">
        <v>2257</v>
      </c>
      <c r="C22" s="2285" t="str">
        <f>C8</f>
        <v>估价对象所在区域基础设施水平</v>
      </c>
      <c r="D22" s="2257"/>
      <c r="E22" s="2244"/>
      <c r="F22" s="2284" t="s">
        <v>2263</v>
      </c>
      <c r="G22" s="2286"/>
    </row>
    <row r="23" spans="1:17" s="744" customFormat="1" ht="15" thickBot="1">
      <c r="A23" s="2243"/>
      <c r="B23" s="2284" t="s">
        <v>2272</v>
      </c>
      <c r="C23" s="2287"/>
      <c r="D23" s="1606"/>
      <c r="E23" s="2245"/>
      <c r="F23" s="2288" t="s">
        <v>2273</v>
      </c>
      <c r="G23" s="2289"/>
      <c r="H23" s="2268"/>
      <c r="I23" s="2268"/>
      <c r="J23" s="2268"/>
      <c r="K23" s="2268"/>
      <c r="L23" s="2268"/>
      <c r="M23" s="2268"/>
      <c r="N23" s="2268"/>
      <c r="O23" s="2268"/>
      <c r="P23" s="2268"/>
      <c r="Q23" s="2268"/>
    </row>
    <row r="24" spans="1:17" s="744" customFormat="1" ht="15" thickBot="1">
      <c r="A24" s="2246"/>
      <c r="B24" s="2288" t="s">
        <v>2274</v>
      </c>
      <c r="C24" s="2290">
        <f>C10</f>
        <v>0</v>
      </c>
      <c r="D24" s="1606"/>
      <c r="E24" s="2236"/>
      <c r="F24" s="2236"/>
      <c r="G24" s="2236"/>
      <c r="H24" s="2268"/>
      <c r="I24" s="2268"/>
      <c r="J24" s="2268"/>
      <c r="K24" s="2268"/>
      <c r="L24" s="2268"/>
      <c r="M24" s="2268"/>
      <c r="N24" s="2268"/>
      <c r="O24" s="2268"/>
      <c r="P24" s="2268"/>
      <c r="Q24" s="2268"/>
    </row>
    <row r="25" spans="1:17" s="744" customFormat="1">
      <c r="B25" s="2268"/>
      <c r="C25" s="2268"/>
      <c r="D25" s="2268"/>
      <c r="H25" s="2268"/>
      <c r="I25" s="2268"/>
      <c r="J25" s="2268"/>
      <c r="K25" s="2268"/>
      <c r="L25" s="2268"/>
      <c r="M25" s="2268"/>
      <c r="N25" s="2268"/>
      <c r="O25" s="2268"/>
      <c r="P25" s="2268"/>
      <c r="Q25" s="2268"/>
    </row>
    <row r="26" spans="1:17" s="744" customFormat="1">
      <c r="B26" s="2268"/>
      <c r="C26" s="2268"/>
      <c r="D26" s="2268"/>
      <c r="H26" s="2268"/>
      <c r="I26" s="2268"/>
      <c r="J26" s="2268"/>
      <c r="K26" s="2268"/>
      <c r="L26" s="2268"/>
      <c r="M26" s="2268"/>
      <c r="N26" s="2268"/>
      <c r="O26" s="2268"/>
      <c r="P26" s="2268"/>
      <c r="Q26" s="2268"/>
    </row>
    <row r="27" spans="1:17" s="744" customFormat="1">
      <c r="B27" s="2268"/>
      <c r="C27" s="2268"/>
      <c r="D27" s="2268"/>
      <c r="H27" s="2268"/>
      <c r="I27" s="2268"/>
      <c r="J27" s="2268"/>
      <c r="K27" s="2268"/>
      <c r="L27" s="2268"/>
      <c r="M27" s="2268"/>
      <c r="N27" s="2268"/>
      <c r="O27" s="2268"/>
      <c r="P27" s="2268"/>
      <c r="Q27" s="2268"/>
    </row>
    <row r="28" spans="1:17" s="744" customFormat="1">
      <c r="B28" s="2268"/>
      <c r="C28" s="2268"/>
      <c r="D28" s="2268"/>
      <c r="H28" s="2268"/>
      <c r="I28" s="2268"/>
      <c r="J28" s="2268"/>
      <c r="K28" s="2268"/>
      <c r="L28" s="2268"/>
      <c r="M28" s="2268"/>
      <c r="N28" s="2268"/>
      <c r="O28" s="2268"/>
      <c r="P28" s="2268"/>
      <c r="Q28" s="2268"/>
    </row>
    <row r="29" spans="1:17" s="744" customFormat="1">
      <c r="B29" s="2268"/>
      <c r="C29" s="2268"/>
      <c r="D29" s="2268"/>
      <c r="H29" s="2268"/>
      <c r="I29" s="2268"/>
      <c r="J29" s="2268"/>
      <c r="K29" s="2268"/>
      <c r="L29" s="2268"/>
      <c r="M29" s="2268"/>
      <c r="N29" s="2268"/>
      <c r="O29" s="2268"/>
      <c r="P29" s="2268"/>
      <c r="Q29" s="2268"/>
    </row>
    <row r="30" spans="1:17" s="744" customFormat="1">
      <c r="B30" s="2268"/>
      <c r="C30" s="2268"/>
      <c r="D30" s="2268"/>
      <c r="H30" s="2268"/>
      <c r="I30" s="2268"/>
      <c r="J30" s="2268"/>
      <c r="K30" s="2268"/>
      <c r="L30" s="2268"/>
      <c r="M30" s="2268"/>
      <c r="N30" s="2268"/>
      <c r="O30" s="2268"/>
      <c r="P30" s="2268"/>
      <c r="Q30" s="2268"/>
    </row>
    <row r="31" spans="1:17" s="744" customFormat="1">
      <c r="B31" s="2268"/>
      <c r="C31" s="2268"/>
      <c r="D31" s="2268"/>
      <c r="H31" s="2268"/>
      <c r="I31" s="2268"/>
      <c r="J31" s="2268"/>
      <c r="K31" s="2268"/>
      <c r="L31" s="2268"/>
      <c r="M31" s="2268"/>
      <c r="N31" s="2268"/>
      <c r="O31" s="2268"/>
      <c r="P31" s="2268"/>
      <c r="Q31" s="2268"/>
    </row>
    <row r="32" spans="1:17" s="744" customFormat="1">
      <c r="B32" s="2268"/>
      <c r="C32" s="2268"/>
      <c r="D32" s="2268"/>
      <c r="H32" s="2268"/>
      <c r="I32" s="2268"/>
      <c r="J32" s="2268"/>
      <c r="K32" s="2268"/>
      <c r="L32" s="2268"/>
      <c r="M32" s="2268"/>
      <c r="N32" s="2268"/>
      <c r="O32" s="2268"/>
      <c r="P32" s="2268"/>
      <c r="Q32" s="2268"/>
    </row>
    <row r="33" spans="2:17" s="744" customFormat="1">
      <c r="B33" s="2268"/>
      <c r="C33" s="2268"/>
      <c r="D33" s="2268"/>
      <c r="H33" s="2268"/>
      <c r="I33" s="2268"/>
      <c r="J33" s="2268"/>
      <c r="K33" s="2268"/>
      <c r="L33" s="2268"/>
      <c r="M33" s="2268"/>
      <c r="N33" s="2268"/>
      <c r="O33" s="2268"/>
      <c r="P33" s="2268"/>
      <c r="Q33" s="2268"/>
    </row>
    <row r="34" spans="2:17" s="744" customFormat="1">
      <c r="B34" s="2268"/>
      <c r="C34" s="2268"/>
      <c r="D34" s="2268"/>
      <c r="H34" s="2268"/>
      <c r="I34" s="2268"/>
      <c r="J34" s="2268"/>
      <c r="K34" s="2268"/>
      <c r="L34" s="2268"/>
      <c r="M34" s="2268"/>
      <c r="N34" s="2268"/>
      <c r="O34" s="2268"/>
      <c r="P34" s="2268"/>
      <c r="Q34" s="2268"/>
    </row>
    <row r="35" spans="2:17" s="744" customFormat="1">
      <c r="B35" s="2268"/>
      <c r="C35" s="2268"/>
      <c r="D35" s="2268"/>
      <c r="H35" s="2268"/>
      <c r="I35" s="2268"/>
      <c r="J35" s="2268"/>
      <c r="K35" s="2268"/>
      <c r="L35" s="2268"/>
      <c r="M35" s="2268"/>
      <c r="N35" s="2268"/>
      <c r="O35" s="2268"/>
      <c r="P35" s="2268"/>
      <c r="Q35" s="2268"/>
    </row>
    <row r="36" spans="2:17" s="744" customFormat="1">
      <c r="B36" s="2268"/>
      <c r="C36" s="2268"/>
      <c r="D36" s="2268"/>
      <c r="H36" s="2268"/>
      <c r="I36" s="2268"/>
      <c r="J36" s="2268"/>
      <c r="K36" s="2268"/>
      <c r="L36" s="2268"/>
      <c r="M36" s="2268"/>
      <c r="N36" s="2268"/>
      <c r="O36" s="2268"/>
      <c r="P36" s="2268"/>
      <c r="Q36" s="2268"/>
    </row>
    <row r="37" spans="2:17" s="744" customFormat="1">
      <c r="B37" s="2268"/>
      <c r="C37" s="2268"/>
      <c r="D37" s="2268"/>
      <c r="H37" s="2268"/>
      <c r="I37" s="2268"/>
      <c r="J37" s="2268"/>
      <c r="K37" s="2268"/>
      <c r="L37" s="2268"/>
      <c r="M37" s="2268"/>
      <c r="N37" s="2268"/>
      <c r="O37" s="2268"/>
      <c r="P37" s="2268"/>
      <c r="Q37" s="2268"/>
    </row>
    <row r="38" spans="2:17" s="744" customFormat="1">
      <c r="B38" s="2268"/>
      <c r="C38" s="2268"/>
      <c r="D38" s="2268"/>
      <c r="E38" s="2268"/>
      <c r="F38" s="2268"/>
      <c r="G38" s="2268"/>
      <c r="H38" s="2268"/>
      <c r="I38" s="2268"/>
      <c r="J38" s="2268"/>
      <c r="K38" s="2268"/>
      <c r="L38" s="2268"/>
      <c r="M38" s="2268"/>
      <c r="N38" s="2268"/>
      <c r="O38" s="2268"/>
      <c r="P38" s="2268"/>
      <c r="Q38" s="2268"/>
    </row>
    <row r="39" spans="2:17" s="744" customFormat="1">
      <c r="B39" s="2268"/>
      <c r="C39" s="2268"/>
      <c r="D39" s="2268"/>
      <c r="E39" s="2268"/>
      <c r="F39" s="2268"/>
      <c r="G39" s="2268"/>
      <c r="H39" s="2268"/>
      <c r="I39" s="2268"/>
      <c r="J39" s="2268"/>
      <c r="K39" s="2268"/>
      <c r="L39" s="2268"/>
      <c r="M39" s="2268"/>
      <c r="N39" s="2268"/>
      <c r="O39" s="2268"/>
      <c r="P39" s="2268"/>
      <c r="Q39" s="2268"/>
    </row>
    <row r="40" spans="2:17" s="744" customFormat="1">
      <c r="B40" s="2268"/>
      <c r="C40" s="2268"/>
      <c r="D40" s="2268"/>
      <c r="E40" s="2268"/>
      <c r="F40" s="2268"/>
      <c r="G40" s="2268"/>
      <c r="H40" s="2268"/>
      <c r="I40" s="2268"/>
      <c r="J40" s="2268"/>
      <c r="K40" s="2268"/>
      <c r="L40" s="2268"/>
      <c r="M40" s="2268"/>
      <c r="N40" s="2268"/>
      <c r="O40" s="2268"/>
      <c r="P40" s="2268"/>
      <c r="Q40" s="2268"/>
    </row>
    <row r="41" spans="2:17" s="744" customFormat="1">
      <c r="B41" s="2268"/>
      <c r="C41" s="2268"/>
      <c r="D41" s="2268"/>
      <c r="E41" s="2268"/>
      <c r="F41" s="2268"/>
      <c r="G41" s="2268"/>
      <c r="H41" s="2268"/>
      <c r="I41" s="2268"/>
      <c r="J41" s="2268"/>
      <c r="K41" s="2268"/>
      <c r="L41" s="2268"/>
      <c r="M41" s="2268"/>
      <c r="N41" s="2268"/>
      <c r="O41" s="2268"/>
      <c r="P41" s="2268"/>
      <c r="Q41" s="2268"/>
    </row>
    <row r="42" spans="2:17" s="744" customFormat="1">
      <c r="B42" s="2268"/>
      <c r="C42" s="2268"/>
      <c r="D42" s="2268"/>
      <c r="E42" s="2268"/>
      <c r="F42" s="2268"/>
      <c r="G42" s="2268"/>
      <c r="H42" s="2268"/>
      <c r="I42" s="2268"/>
      <c r="J42" s="2268"/>
      <c r="K42" s="2268"/>
      <c r="L42" s="2268"/>
      <c r="M42" s="2268"/>
      <c r="N42" s="2268"/>
      <c r="O42" s="2268"/>
      <c r="P42" s="2268"/>
      <c r="Q42" s="2268"/>
    </row>
    <row r="43" spans="2:17" s="744" customFormat="1">
      <c r="B43" s="2268"/>
      <c r="C43" s="2268"/>
      <c r="D43" s="2268"/>
      <c r="E43" s="2268"/>
      <c r="F43" s="2268"/>
      <c r="G43" s="2268"/>
      <c r="H43" s="2268"/>
      <c r="I43" s="2268"/>
      <c r="J43" s="2268"/>
      <c r="K43" s="2268"/>
      <c r="L43" s="2268"/>
      <c r="M43" s="2268"/>
      <c r="N43" s="2268"/>
      <c r="O43" s="2268"/>
      <c r="P43" s="2268"/>
      <c r="Q43" s="2268"/>
    </row>
    <row r="44" spans="2:17" s="744" customFormat="1">
      <c r="B44" s="2268"/>
      <c r="C44" s="2268"/>
      <c r="D44" s="2268"/>
      <c r="E44" s="2268"/>
      <c r="F44" s="2268"/>
      <c r="G44" s="2268"/>
      <c r="H44" s="2268"/>
      <c r="I44" s="2268"/>
      <c r="J44" s="2268"/>
      <c r="K44" s="2268"/>
      <c r="L44" s="2268"/>
      <c r="M44" s="2268"/>
      <c r="N44" s="2268"/>
      <c r="O44" s="2268"/>
      <c r="P44" s="2268"/>
      <c r="Q44" s="2268"/>
    </row>
    <row r="45" spans="2:17" s="744" customFormat="1">
      <c r="B45" s="2268"/>
      <c r="C45" s="2268"/>
      <c r="D45" s="2268"/>
      <c r="E45" s="2268"/>
      <c r="F45" s="2268"/>
      <c r="G45" s="2268"/>
      <c r="H45" s="2268"/>
      <c r="I45" s="2268"/>
      <c r="J45" s="2268"/>
      <c r="K45" s="2268"/>
      <c r="L45" s="2268"/>
      <c r="M45" s="2268"/>
      <c r="N45" s="2268"/>
      <c r="O45" s="2268"/>
      <c r="P45" s="2268"/>
      <c r="Q45" s="2268"/>
    </row>
    <row r="46" spans="2:17" s="744" customFormat="1">
      <c r="B46" s="2268"/>
      <c r="C46" s="2268"/>
      <c r="D46" s="2268"/>
      <c r="E46" s="2268"/>
      <c r="F46" s="2268"/>
      <c r="G46" s="2268"/>
      <c r="H46" s="2268"/>
      <c r="I46" s="2268"/>
      <c r="J46" s="2268"/>
      <c r="K46" s="2268"/>
      <c r="L46" s="2268"/>
      <c r="M46" s="2268"/>
      <c r="N46" s="2268"/>
      <c r="O46" s="2268"/>
      <c r="P46" s="2268"/>
      <c r="Q46" s="2268"/>
    </row>
    <row r="47" spans="2:17" s="744" customFormat="1">
      <c r="B47" s="2268"/>
      <c r="C47" s="2268"/>
      <c r="D47" s="2268"/>
      <c r="E47" s="2268"/>
      <c r="F47" s="2268"/>
      <c r="G47" s="2268"/>
      <c r="H47" s="2268"/>
      <c r="I47" s="2268"/>
      <c r="J47" s="2268"/>
      <c r="K47" s="2268"/>
      <c r="L47" s="2268"/>
      <c r="M47" s="2268"/>
      <c r="N47" s="2268"/>
      <c r="O47" s="2268"/>
      <c r="P47" s="2268"/>
      <c r="Q47" s="2268"/>
    </row>
    <row r="48" spans="2:17" s="744" customFormat="1">
      <c r="B48" s="2268"/>
      <c r="C48" s="2268"/>
      <c r="D48" s="2268"/>
      <c r="E48" s="2268"/>
      <c r="F48" s="2268"/>
      <c r="G48" s="2268"/>
      <c r="H48" s="2268"/>
      <c r="I48" s="2268"/>
      <c r="J48" s="2268"/>
      <c r="K48" s="2268"/>
      <c r="L48" s="2268"/>
      <c r="M48" s="2268"/>
      <c r="N48" s="2268"/>
      <c r="O48" s="2268"/>
      <c r="P48" s="2268"/>
      <c r="Q48" s="2268"/>
    </row>
    <row r="49" spans="2:17" s="744" customFormat="1">
      <c r="B49" s="2268"/>
      <c r="C49" s="2268"/>
      <c r="D49" s="2268"/>
      <c r="E49" s="2268"/>
      <c r="F49" s="2268"/>
      <c r="G49" s="2268"/>
      <c r="H49" s="2268"/>
      <c r="I49" s="2268"/>
      <c r="J49" s="2268"/>
      <c r="K49" s="2268"/>
      <c r="L49" s="2268"/>
      <c r="M49" s="2268"/>
      <c r="N49" s="2268"/>
      <c r="O49" s="2268"/>
      <c r="P49" s="2268"/>
      <c r="Q49" s="2268"/>
    </row>
    <row r="50" spans="2:17" s="744" customFormat="1">
      <c r="B50" s="2268"/>
      <c r="C50" s="2268"/>
      <c r="D50" s="2268"/>
      <c r="E50" s="2268"/>
      <c r="F50" s="2268"/>
      <c r="G50" s="2268"/>
      <c r="H50" s="2268"/>
      <c r="I50" s="2268"/>
      <c r="J50" s="2268"/>
      <c r="K50" s="2268"/>
      <c r="L50" s="2268"/>
      <c r="M50" s="2268"/>
      <c r="N50" s="2268"/>
      <c r="O50" s="2268"/>
      <c r="P50" s="2268"/>
      <c r="Q50" s="2268"/>
    </row>
    <row r="51" spans="2:17" s="744" customFormat="1">
      <c r="B51" s="2268"/>
      <c r="C51" s="2268"/>
      <c r="D51" s="2268"/>
      <c r="E51" s="2268"/>
      <c r="F51" s="2268"/>
      <c r="G51" s="2268"/>
      <c r="H51" s="2268"/>
      <c r="I51" s="2268"/>
      <c r="J51" s="2268"/>
      <c r="K51" s="2268"/>
      <c r="L51" s="2268"/>
      <c r="M51" s="2268"/>
      <c r="N51" s="2268"/>
      <c r="O51" s="2268"/>
      <c r="P51" s="2268"/>
      <c r="Q51" s="2268"/>
    </row>
    <row r="52" spans="2:17" s="744" customFormat="1">
      <c r="B52" s="2268"/>
      <c r="C52" s="2268"/>
      <c r="D52" s="2268"/>
      <c r="E52" s="2268"/>
      <c r="F52" s="2268"/>
      <c r="G52" s="2268"/>
      <c r="H52" s="2268"/>
      <c r="I52" s="2268"/>
      <c r="J52" s="2268"/>
      <c r="K52" s="2268"/>
      <c r="L52" s="2268"/>
      <c r="M52" s="2268"/>
      <c r="N52" s="2268"/>
      <c r="O52" s="2268"/>
      <c r="P52" s="2268"/>
      <c r="Q52" s="2268"/>
    </row>
    <row r="53" spans="2:17" s="744" customFormat="1">
      <c r="B53" s="2268"/>
      <c r="C53" s="2268"/>
      <c r="D53" s="2268"/>
      <c r="E53" s="2268"/>
      <c r="F53" s="2268"/>
      <c r="G53" s="2268"/>
      <c r="H53" s="2268"/>
      <c r="I53" s="2268"/>
      <c r="J53" s="2268"/>
      <c r="K53" s="2268"/>
      <c r="L53" s="2268"/>
      <c r="M53" s="2268"/>
      <c r="N53" s="2268"/>
      <c r="O53" s="2268"/>
      <c r="P53" s="2268"/>
      <c r="Q53" s="2268"/>
    </row>
    <row r="54" spans="2:17" s="744" customFormat="1">
      <c r="B54" s="2268"/>
      <c r="C54" s="2268"/>
      <c r="D54" s="2268"/>
      <c r="E54" s="2268"/>
      <c r="F54" s="2268"/>
      <c r="G54" s="2268"/>
      <c r="H54" s="2268"/>
      <c r="I54" s="2268"/>
      <c r="J54" s="2268"/>
      <c r="K54" s="2268"/>
      <c r="L54" s="2268"/>
      <c r="M54" s="2268"/>
      <c r="N54" s="2268"/>
      <c r="O54" s="2268"/>
      <c r="P54" s="2268"/>
      <c r="Q54" s="2268"/>
    </row>
    <row r="55" spans="2:17" s="744" customFormat="1">
      <c r="B55" s="2268"/>
      <c r="C55" s="2268"/>
      <c r="D55" s="2268"/>
      <c r="E55" s="2268"/>
      <c r="F55" s="2268"/>
      <c r="G55" s="2268"/>
      <c r="H55" s="2268"/>
      <c r="I55" s="2268"/>
      <c r="J55" s="2268"/>
      <c r="K55" s="2268"/>
      <c r="L55" s="2268"/>
      <c r="M55" s="2268"/>
      <c r="N55" s="2268"/>
      <c r="O55" s="2268"/>
      <c r="P55" s="2268"/>
      <c r="Q55" s="2268"/>
    </row>
    <row r="56" spans="2:17" s="744" customFormat="1">
      <c r="B56" s="2268"/>
      <c r="C56" s="2268"/>
      <c r="D56" s="2268"/>
      <c r="E56" s="2268"/>
      <c r="F56" s="2268"/>
      <c r="G56" s="2268"/>
      <c r="H56" s="2268"/>
      <c r="I56" s="2268"/>
      <c r="J56" s="2268"/>
      <c r="K56" s="2268"/>
      <c r="L56" s="2268"/>
      <c r="M56" s="2268"/>
      <c r="N56" s="2268"/>
      <c r="O56" s="2268"/>
      <c r="P56" s="2268"/>
      <c r="Q56" s="2268"/>
    </row>
    <row r="57" spans="2:17" s="744" customFormat="1">
      <c r="B57" s="2268"/>
      <c r="C57" s="2268"/>
      <c r="D57" s="2268"/>
      <c r="E57" s="2268"/>
      <c r="F57" s="2268"/>
      <c r="G57" s="2268"/>
      <c r="H57" s="2268"/>
      <c r="I57" s="2268"/>
      <c r="J57" s="2268"/>
      <c r="K57" s="2268"/>
      <c r="L57" s="2268"/>
      <c r="M57" s="2268"/>
      <c r="N57" s="2268"/>
      <c r="O57" s="2268"/>
      <c r="P57" s="2268"/>
      <c r="Q57" s="2268"/>
    </row>
    <row r="58" spans="2:17" s="744" customFormat="1">
      <c r="B58" s="2268"/>
      <c r="C58" s="2268"/>
      <c r="D58" s="2268"/>
      <c r="E58" s="2268"/>
      <c r="F58" s="2268"/>
      <c r="G58" s="2268"/>
      <c r="H58" s="2268"/>
      <c r="I58" s="2268"/>
      <c r="J58" s="2268"/>
      <c r="K58" s="2268"/>
      <c r="L58" s="2268"/>
      <c r="M58" s="2268"/>
      <c r="N58" s="2268"/>
      <c r="O58" s="2268"/>
      <c r="P58" s="2268"/>
      <c r="Q58" s="2268"/>
    </row>
    <row r="59" spans="2:17" s="744" customFormat="1">
      <c r="B59" s="2268"/>
      <c r="C59" s="2268"/>
      <c r="D59" s="2268"/>
      <c r="E59" s="2268"/>
      <c r="F59" s="2268"/>
      <c r="G59" s="2268"/>
      <c r="H59" s="2268"/>
      <c r="I59" s="2268"/>
      <c r="J59" s="2268"/>
      <c r="K59" s="2268"/>
      <c r="L59" s="2268"/>
      <c r="M59" s="2268"/>
      <c r="N59" s="2268"/>
      <c r="O59" s="2268"/>
      <c r="P59" s="2268"/>
      <c r="Q59" s="2268"/>
    </row>
    <row r="60" spans="2:17" s="744" customFormat="1">
      <c r="B60" s="2268"/>
      <c r="C60" s="2268"/>
      <c r="D60" s="2268"/>
      <c r="E60" s="2268"/>
      <c r="F60" s="2268"/>
      <c r="G60" s="2268"/>
      <c r="H60" s="2268"/>
      <c r="I60" s="2268"/>
      <c r="J60" s="2268"/>
      <c r="K60" s="2268"/>
      <c r="L60" s="2268"/>
      <c r="M60" s="2268"/>
      <c r="N60" s="2268"/>
      <c r="O60" s="2268"/>
      <c r="P60" s="2268"/>
      <c r="Q60" s="2268"/>
    </row>
    <row r="61" spans="2:17" s="744" customFormat="1">
      <c r="B61" s="2268"/>
      <c r="C61" s="2268"/>
      <c r="D61" s="2268"/>
      <c r="E61" s="2268"/>
      <c r="F61" s="2268"/>
      <c r="G61" s="2268"/>
      <c r="H61" s="2268"/>
      <c r="I61" s="2268"/>
      <c r="J61" s="2268"/>
      <c r="K61" s="2268"/>
      <c r="L61" s="2268"/>
      <c r="M61" s="2268"/>
      <c r="N61" s="2268"/>
      <c r="O61" s="2268"/>
      <c r="P61" s="2268"/>
      <c r="Q61" s="2268"/>
    </row>
    <row r="62" spans="2:17" s="744" customFormat="1">
      <c r="B62" s="2268"/>
      <c r="C62" s="2268"/>
      <c r="D62" s="2268"/>
      <c r="E62" s="2268"/>
      <c r="F62" s="2268"/>
      <c r="G62" s="2268"/>
      <c r="H62" s="2268"/>
      <c r="I62" s="2268"/>
      <c r="J62" s="2268"/>
      <c r="K62" s="2268"/>
      <c r="L62" s="2268"/>
      <c r="M62" s="2268"/>
      <c r="N62" s="2268"/>
      <c r="O62" s="2268"/>
      <c r="P62" s="2268"/>
      <c r="Q62" s="2268"/>
    </row>
    <row r="63" spans="2:17" s="744" customFormat="1">
      <c r="B63" s="2268"/>
      <c r="C63" s="2268"/>
      <c r="D63" s="2268"/>
      <c r="E63" s="2268"/>
      <c r="F63" s="2268"/>
      <c r="G63" s="2268"/>
      <c r="H63" s="2268"/>
      <c r="I63" s="2268"/>
      <c r="J63" s="2268"/>
      <c r="K63" s="2268"/>
      <c r="L63" s="2268"/>
      <c r="M63" s="2268"/>
      <c r="N63" s="2268"/>
      <c r="O63" s="2268"/>
      <c r="P63" s="2268"/>
      <c r="Q63" s="2268"/>
    </row>
    <row r="64" spans="2:17" s="744" customFormat="1">
      <c r="B64" s="2268"/>
      <c r="C64" s="2268"/>
      <c r="D64" s="2268"/>
      <c r="E64" s="2268"/>
      <c r="F64" s="2268"/>
      <c r="G64" s="2268"/>
      <c r="H64" s="2268"/>
      <c r="I64" s="2268"/>
      <c r="J64" s="2268"/>
      <c r="K64" s="2268"/>
      <c r="L64" s="2268"/>
      <c r="M64" s="2268"/>
      <c r="N64" s="2268"/>
      <c r="O64" s="2268"/>
      <c r="P64" s="2268"/>
      <c r="Q64" s="2268"/>
    </row>
    <row r="65" spans="2:17" s="744" customFormat="1">
      <c r="B65" s="2268"/>
      <c r="C65" s="2268"/>
      <c r="D65" s="2268"/>
      <c r="E65" s="2268"/>
      <c r="F65" s="2268"/>
      <c r="G65" s="2268"/>
      <c r="H65" s="2268"/>
      <c r="I65" s="2268"/>
      <c r="J65" s="2268"/>
      <c r="K65" s="2268"/>
      <c r="L65" s="2268"/>
      <c r="M65" s="2268"/>
      <c r="N65" s="2268"/>
      <c r="O65" s="2268"/>
      <c r="P65" s="2268"/>
      <c r="Q65" s="2268"/>
    </row>
    <row r="66" spans="2:17" s="744" customFormat="1">
      <c r="B66" s="2268"/>
      <c r="C66" s="2268"/>
      <c r="D66" s="2268"/>
      <c r="E66" s="2268"/>
      <c r="F66" s="2268"/>
      <c r="G66" s="2268"/>
      <c r="H66" s="2268"/>
      <c r="I66" s="2268"/>
      <c r="J66" s="2268"/>
      <c r="K66" s="2268"/>
      <c r="L66" s="2268"/>
      <c r="M66" s="2268"/>
      <c r="N66" s="2268"/>
      <c r="O66" s="2268"/>
      <c r="P66" s="2268"/>
      <c r="Q66" s="2268"/>
    </row>
    <row r="67" spans="2:17" s="744" customFormat="1">
      <c r="B67" s="2268"/>
      <c r="C67" s="2268"/>
      <c r="D67" s="2268"/>
      <c r="E67" s="2268"/>
      <c r="F67" s="2268"/>
      <c r="G67" s="2268"/>
      <c r="H67" s="2268"/>
      <c r="I67" s="2268"/>
      <c r="J67" s="2268"/>
      <c r="K67" s="2268"/>
      <c r="L67" s="2268"/>
      <c r="M67" s="2268"/>
      <c r="N67" s="2268"/>
      <c r="O67" s="2268"/>
      <c r="P67" s="2268"/>
      <c r="Q67" s="2268"/>
    </row>
    <row r="68" spans="2:17" s="744" customFormat="1">
      <c r="B68" s="2268"/>
      <c r="C68" s="2268"/>
      <c r="D68" s="2268"/>
      <c r="E68" s="2268"/>
      <c r="F68" s="2268"/>
      <c r="G68" s="2268"/>
      <c r="H68" s="2268"/>
      <c r="I68" s="2268"/>
      <c r="J68" s="2268"/>
      <c r="K68" s="2268"/>
      <c r="L68" s="2268"/>
      <c r="M68" s="2268"/>
      <c r="N68" s="2268"/>
      <c r="O68" s="2268"/>
      <c r="P68" s="2268"/>
      <c r="Q68" s="2268"/>
    </row>
    <row r="69" spans="2:17" s="744" customFormat="1">
      <c r="B69" s="2268"/>
      <c r="C69" s="2268"/>
      <c r="D69" s="2268"/>
      <c r="E69" s="2268"/>
      <c r="F69" s="2268"/>
      <c r="G69" s="2268"/>
      <c r="H69" s="2268"/>
      <c r="I69" s="2268"/>
      <c r="J69" s="2268"/>
      <c r="K69" s="2268"/>
      <c r="L69" s="2268"/>
      <c r="M69" s="2268"/>
      <c r="N69" s="2268"/>
      <c r="O69" s="2268"/>
      <c r="P69" s="2268"/>
      <c r="Q69" s="2268"/>
    </row>
    <row r="70" spans="2:17" s="744" customFormat="1">
      <c r="B70" s="2268"/>
      <c r="C70" s="2268"/>
      <c r="D70" s="2268"/>
      <c r="E70" s="2268"/>
      <c r="F70" s="2268"/>
      <c r="G70" s="2268"/>
      <c r="H70" s="2268"/>
      <c r="I70" s="2268"/>
      <c r="J70" s="2268"/>
      <c r="K70" s="2268"/>
      <c r="L70" s="2268"/>
      <c r="M70" s="2268"/>
      <c r="N70" s="2268"/>
      <c r="O70" s="2268"/>
      <c r="P70" s="2268"/>
      <c r="Q70" s="2268"/>
    </row>
    <row r="71" spans="2:17" s="744" customFormat="1">
      <c r="B71" s="2268"/>
      <c r="C71" s="2268"/>
      <c r="D71" s="2268"/>
      <c r="E71" s="2268"/>
      <c r="F71" s="2268"/>
      <c r="G71" s="2268"/>
      <c r="H71" s="2268"/>
      <c r="I71" s="2268"/>
      <c r="J71" s="2268"/>
      <c r="K71" s="2268"/>
      <c r="L71" s="2268"/>
      <c r="M71" s="2268"/>
      <c r="N71" s="2268"/>
      <c r="O71" s="2268"/>
      <c r="P71" s="2268"/>
      <c r="Q71" s="2268"/>
    </row>
    <row r="72" spans="2:17" s="744" customFormat="1">
      <c r="B72" s="2268"/>
      <c r="C72" s="2268"/>
      <c r="D72" s="2268"/>
      <c r="E72" s="2268"/>
      <c r="F72" s="2268"/>
      <c r="G72" s="2268"/>
      <c r="H72" s="2268"/>
      <c r="I72" s="2268"/>
      <c r="J72" s="2268"/>
      <c r="K72" s="2268"/>
      <c r="L72" s="2268"/>
      <c r="M72" s="2268"/>
      <c r="N72" s="2268"/>
      <c r="O72" s="2268"/>
      <c r="P72" s="2268"/>
      <c r="Q72" s="2268"/>
    </row>
    <row r="73" spans="2:17" s="744" customFormat="1">
      <c r="B73" s="2268"/>
      <c r="C73" s="2268"/>
      <c r="D73" s="2268"/>
      <c r="E73" s="2268"/>
      <c r="F73" s="2268"/>
      <c r="G73" s="2268"/>
      <c r="H73" s="2268"/>
      <c r="I73" s="2268"/>
      <c r="J73" s="2268"/>
      <c r="K73" s="2268"/>
      <c r="L73" s="2268"/>
      <c r="M73" s="2268"/>
      <c r="N73" s="2268"/>
      <c r="O73" s="2268"/>
      <c r="P73" s="2268"/>
      <c r="Q73" s="2268"/>
    </row>
    <row r="74" spans="2:17" s="744" customFormat="1">
      <c r="B74" s="2268"/>
      <c r="C74" s="2268"/>
      <c r="D74" s="2268"/>
      <c r="E74" s="2268"/>
      <c r="F74" s="2268"/>
      <c r="G74" s="2268"/>
      <c r="H74" s="2268"/>
      <c r="I74" s="2268"/>
      <c r="J74" s="2268"/>
      <c r="K74" s="2268"/>
      <c r="L74" s="2268"/>
      <c r="M74" s="2268"/>
      <c r="N74" s="2268"/>
      <c r="O74" s="2268"/>
      <c r="P74" s="2268"/>
      <c r="Q74" s="2268"/>
    </row>
    <row r="75" spans="2:17" s="744" customFormat="1">
      <c r="B75" s="2268"/>
      <c r="C75" s="2268"/>
      <c r="D75" s="2268"/>
      <c r="E75" s="2268"/>
      <c r="F75" s="2268"/>
      <c r="G75" s="2268"/>
      <c r="H75" s="2268"/>
      <c r="I75" s="2268"/>
      <c r="J75" s="2268"/>
      <c r="K75" s="2268"/>
      <c r="L75" s="2268"/>
      <c r="M75" s="2268"/>
      <c r="N75" s="2268"/>
      <c r="O75" s="2268"/>
      <c r="P75" s="2268"/>
      <c r="Q75" s="2268"/>
    </row>
    <row r="76" spans="2:17" s="744" customFormat="1">
      <c r="B76" s="2268"/>
      <c r="C76" s="2268"/>
      <c r="D76" s="2268"/>
      <c r="E76" s="2268"/>
      <c r="F76" s="2268"/>
      <c r="G76" s="2268"/>
      <c r="H76" s="2268"/>
      <c r="I76" s="2268"/>
      <c r="J76" s="2268"/>
      <c r="K76" s="2268"/>
      <c r="L76" s="2268"/>
      <c r="M76" s="2268"/>
      <c r="N76" s="2268"/>
      <c r="O76" s="2268"/>
      <c r="P76" s="2268"/>
      <c r="Q76" s="2268"/>
    </row>
    <row r="77" spans="2:17" s="744" customFormat="1">
      <c r="B77" s="2268"/>
      <c r="C77" s="2268"/>
      <c r="D77" s="2268"/>
      <c r="E77" s="2268"/>
      <c r="F77" s="2268"/>
      <c r="G77" s="2268"/>
      <c r="H77" s="2268"/>
      <c r="I77" s="2268"/>
      <c r="J77" s="2268"/>
      <c r="K77" s="2268"/>
      <c r="L77" s="2268"/>
      <c r="M77" s="2268"/>
      <c r="N77" s="2268"/>
      <c r="O77" s="2268"/>
      <c r="P77" s="2268"/>
      <c r="Q77" s="2268"/>
    </row>
    <row r="78" spans="2:17" s="744" customFormat="1">
      <c r="B78" s="2268"/>
      <c r="C78" s="2268"/>
      <c r="D78" s="2268"/>
      <c r="E78" s="2268"/>
      <c r="F78" s="2268"/>
      <c r="G78" s="2268"/>
      <c r="H78" s="2268"/>
      <c r="I78" s="2268"/>
      <c r="J78" s="2268"/>
      <c r="K78" s="2268"/>
      <c r="L78" s="2268"/>
      <c r="M78" s="2268"/>
      <c r="N78" s="2268"/>
      <c r="O78" s="2268"/>
      <c r="P78" s="2268"/>
      <c r="Q78" s="2268"/>
    </row>
    <row r="79" spans="2:17" s="744" customFormat="1">
      <c r="B79" s="2268"/>
      <c r="C79" s="2268"/>
      <c r="D79" s="2268"/>
      <c r="E79" s="2268"/>
      <c r="F79" s="2268"/>
      <c r="G79" s="2268"/>
      <c r="H79" s="2268"/>
      <c r="I79" s="2268"/>
      <c r="J79" s="2268"/>
      <c r="K79" s="2268"/>
      <c r="L79" s="2268"/>
      <c r="M79" s="2268"/>
      <c r="N79" s="2268"/>
      <c r="O79" s="2268"/>
      <c r="P79" s="2268"/>
      <c r="Q79" s="2268"/>
    </row>
    <row r="80" spans="2:17" s="744" customFormat="1">
      <c r="B80" s="2268"/>
      <c r="C80" s="2268"/>
      <c r="D80" s="2268"/>
      <c r="E80" s="2268"/>
      <c r="F80" s="2268"/>
      <c r="G80" s="2268"/>
      <c r="H80" s="2268"/>
      <c r="I80" s="2268"/>
      <c r="J80" s="2268"/>
      <c r="K80" s="2268"/>
      <c r="L80" s="2268"/>
      <c r="M80" s="2268"/>
      <c r="N80" s="2268"/>
      <c r="O80" s="2268"/>
      <c r="P80" s="2268"/>
      <c r="Q80" s="2268"/>
    </row>
    <row r="81" spans="2:17" s="744" customFormat="1">
      <c r="B81" s="2268"/>
      <c r="C81" s="2268"/>
      <c r="D81" s="2268"/>
      <c r="E81" s="2268"/>
      <c r="F81" s="2268"/>
      <c r="G81" s="2268"/>
      <c r="H81" s="2268"/>
      <c r="I81" s="2268"/>
      <c r="J81" s="2268"/>
      <c r="K81" s="2268"/>
      <c r="L81" s="2268"/>
      <c r="M81" s="2268"/>
      <c r="N81" s="2268"/>
      <c r="O81" s="2268"/>
      <c r="P81" s="2268"/>
      <c r="Q81" s="2268"/>
    </row>
    <row r="82" spans="2:17" s="744" customFormat="1">
      <c r="B82" s="2268"/>
      <c r="C82" s="2268"/>
      <c r="D82" s="2268"/>
      <c r="E82" s="2268"/>
      <c r="F82" s="2268"/>
      <c r="G82" s="2268"/>
      <c r="H82" s="2268"/>
      <c r="I82" s="2268"/>
      <c r="J82" s="2268"/>
      <c r="K82" s="2268"/>
      <c r="L82" s="2268"/>
      <c r="M82" s="2268"/>
      <c r="N82" s="2268"/>
      <c r="O82" s="2268"/>
      <c r="P82" s="2268"/>
      <c r="Q82" s="2268"/>
    </row>
    <row r="83" spans="2:17" s="744" customFormat="1">
      <c r="B83" s="2268"/>
      <c r="C83" s="2268"/>
      <c r="D83" s="2268"/>
      <c r="E83" s="2268"/>
      <c r="F83" s="2268"/>
      <c r="G83" s="2268"/>
      <c r="H83" s="2268"/>
      <c r="I83" s="2268"/>
      <c r="J83" s="2268"/>
      <c r="K83" s="2268"/>
      <c r="L83" s="2268"/>
      <c r="M83" s="2268"/>
      <c r="N83" s="2268"/>
      <c r="O83" s="2268"/>
      <c r="P83" s="2268"/>
      <c r="Q83" s="2268"/>
    </row>
    <row r="84" spans="2:17" s="744" customFormat="1">
      <c r="B84" s="2268"/>
      <c r="C84" s="2268"/>
      <c r="D84" s="2268"/>
      <c r="E84" s="2268"/>
      <c r="F84" s="2268"/>
      <c r="G84" s="2268"/>
      <c r="H84" s="2268"/>
      <c r="I84" s="2268"/>
      <c r="J84" s="2268"/>
      <c r="K84" s="2268"/>
      <c r="L84" s="2268"/>
      <c r="M84" s="2268"/>
      <c r="N84" s="2268"/>
      <c r="O84" s="2268"/>
      <c r="P84" s="2268"/>
      <c r="Q84" s="2268"/>
    </row>
    <row r="85" spans="2:17" s="744" customFormat="1">
      <c r="B85" s="2268"/>
      <c r="C85" s="2268"/>
      <c r="D85" s="2268"/>
      <c r="E85" s="2268"/>
      <c r="F85" s="2268"/>
      <c r="G85" s="2268"/>
      <c r="H85" s="2268"/>
      <c r="I85" s="2268"/>
      <c r="J85" s="2268"/>
      <c r="K85" s="2268"/>
      <c r="L85" s="2268"/>
      <c r="M85" s="2268"/>
      <c r="N85" s="2268"/>
      <c r="O85" s="2268"/>
      <c r="P85" s="2268"/>
      <c r="Q85" s="2268"/>
    </row>
    <row r="86" spans="2:17" s="744" customFormat="1">
      <c r="B86" s="2268"/>
      <c r="C86" s="2268"/>
      <c r="D86" s="2268"/>
      <c r="E86" s="2268"/>
      <c r="F86" s="2268"/>
      <c r="G86" s="2268"/>
      <c r="H86" s="2268"/>
      <c r="I86" s="2268"/>
      <c r="J86" s="2268"/>
      <c r="K86" s="2268"/>
      <c r="L86" s="2268"/>
      <c r="M86" s="2268"/>
      <c r="N86" s="2268"/>
      <c r="O86" s="2268"/>
      <c r="P86" s="2268"/>
      <c r="Q86" s="2268"/>
    </row>
    <row r="87" spans="2:17" s="744" customFormat="1">
      <c r="B87" s="2268"/>
      <c r="C87" s="2268"/>
      <c r="D87" s="2268"/>
      <c r="E87" s="2268"/>
      <c r="F87" s="2268"/>
      <c r="G87" s="2268"/>
      <c r="H87" s="2268"/>
      <c r="I87" s="2268"/>
      <c r="J87" s="2268"/>
      <c r="K87" s="2268"/>
      <c r="L87" s="2268"/>
      <c r="M87" s="2268"/>
      <c r="N87" s="2268"/>
      <c r="O87" s="2268"/>
      <c r="P87" s="2268"/>
      <c r="Q87" s="2268"/>
    </row>
    <row r="88" spans="2:17" s="744" customFormat="1">
      <c r="B88" s="2268"/>
      <c r="C88" s="2268"/>
      <c r="D88" s="2268"/>
      <c r="E88" s="2268"/>
      <c r="F88" s="2268"/>
      <c r="G88" s="2268"/>
      <c r="H88" s="2268"/>
      <c r="I88" s="2268"/>
      <c r="J88" s="2268"/>
      <c r="K88" s="2268"/>
      <c r="L88" s="2268"/>
      <c r="M88" s="2268"/>
      <c r="N88" s="2268"/>
      <c r="O88" s="2268"/>
      <c r="P88" s="2268"/>
      <c r="Q88" s="2268"/>
    </row>
    <row r="89" spans="2:17" s="744" customFormat="1">
      <c r="B89" s="2268"/>
      <c r="C89" s="2268"/>
      <c r="D89" s="2268"/>
      <c r="E89" s="2268"/>
      <c r="F89" s="2268"/>
      <c r="G89" s="2268"/>
      <c r="H89" s="2268"/>
      <c r="I89" s="2268"/>
      <c r="J89" s="2268"/>
      <c r="K89" s="2268"/>
      <c r="L89" s="2268"/>
      <c r="M89" s="2268"/>
      <c r="N89" s="2268"/>
      <c r="O89" s="2268"/>
      <c r="P89" s="2268"/>
      <c r="Q89" s="2268"/>
    </row>
    <row r="90" spans="2:17" s="744" customFormat="1">
      <c r="B90" s="2268"/>
      <c r="C90" s="2268"/>
      <c r="D90" s="2268"/>
      <c r="E90" s="2268"/>
      <c r="F90" s="2268"/>
      <c r="G90" s="2268"/>
      <c r="H90" s="2268"/>
      <c r="I90" s="2268"/>
      <c r="J90" s="2268"/>
      <c r="K90" s="2268"/>
      <c r="L90" s="2268"/>
      <c r="M90" s="2268"/>
      <c r="N90" s="2268"/>
      <c r="O90" s="2268"/>
      <c r="P90" s="2268"/>
      <c r="Q90" s="2268"/>
    </row>
    <row r="91" spans="2:17" s="744" customFormat="1">
      <c r="B91" s="2268"/>
      <c r="C91" s="2268"/>
      <c r="D91" s="2268"/>
      <c r="E91" s="2268"/>
      <c r="F91" s="2268"/>
      <c r="G91" s="2268"/>
      <c r="H91" s="2268"/>
      <c r="I91" s="2268"/>
      <c r="J91" s="2268"/>
      <c r="K91" s="2268"/>
      <c r="L91" s="2268"/>
      <c r="M91" s="2268"/>
      <c r="N91" s="2268"/>
      <c r="O91" s="2268"/>
      <c r="P91" s="2268"/>
      <c r="Q91" s="2268"/>
    </row>
    <row r="92" spans="2:17" s="744" customFormat="1">
      <c r="B92" s="2268"/>
      <c r="C92" s="2268"/>
      <c r="D92" s="2268"/>
      <c r="E92" s="2268"/>
      <c r="F92" s="2268"/>
      <c r="G92" s="2268"/>
      <c r="H92" s="2268"/>
      <c r="I92" s="2268"/>
      <c r="J92" s="2268"/>
      <c r="K92" s="2268"/>
      <c r="L92" s="2268"/>
      <c r="M92" s="2268"/>
      <c r="N92" s="2268"/>
      <c r="O92" s="2268"/>
      <c r="P92" s="2268"/>
      <c r="Q92" s="2268"/>
    </row>
    <row r="93" spans="2:17" s="744" customFormat="1">
      <c r="B93" s="2268"/>
      <c r="C93" s="2268"/>
      <c r="D93" s="2268"/>
      <c r="E93" s="2268"/>
      <c r="F93" s="2268"/>
      <c r="G93" s="2268"/>
      <c r="H93" s="2268"/>
      <c r="I93" s="2268"/>
      <c r="J93" s="2268"/>
      <c r="K93" s="2268"/>
      <c r="L93" s="2268"/>
      <c r="M93" s="2268"/>
      <c r="N93" s="2268"/>
      <c r="O93" s="2268"/>
      <c r="P93" s="2268"/>
      <c r="Q93" s="2268"/>
    </row>
    <row r="94" spans="2:17" s="744" customFormat="1">
      <c r="B94" s="2268"/>
      <c r="C94" s="2268"/>
      <c r="D94" s="2268"/>
      <c r="E94" s="2268"/>
      <c r="F94" s="2268"/>
      <c r="G94" s="2268"/>
      <c r="H94" s="2268"/>
      <c r="I94" s="2268"/>
      <c r="J94" s="2268"/>
      <c r="K94" s="2268"/>
      <c r="L94" s="2268"/>
      <c r="M94" s="2268"/>
      <c r="N94" s="2268"/>
      <c r="O94" s="2268"/>
      <c r="P94" s="2268"/>
      <c r="Q94" s="2268"/>
    </row>
    <row r="95" spans="2:17" s="744" customFormat="1">
      <c r="B95" s="2268"/>
      <c r="C95" s="2268"/>
      <c r="D95" s="2268"/>
      <c r="E95" s="2268"/>
      <c r="F95" s="2268"/>
      <c r="G95" s="2268"/>
      <c r="H95" s="2268"/>
      <c r="I95" s="2268"/>
      <c r="J95" s="2268"/>
      <c r="K95" s="2268"/>
      <c r="L95" s="2268"/>
      <c r="M95" s="2268"/>
      <c r="N95" s="2268"/>
      <c r="O95" s="2268"/>
      <c r="P95" s="2268"/>
      <c r="Q95" s="2268"/>
    </row>
    <row r="96" spans="2:17" s="744" customFormat="1">
      <c r="B96" s="2268"/>
      <c r="C96" s="2268"/>
      <c r="D96" s="2268"/>
      <c r="E96" s="2268"/>
      <c r="F96" s="2268"/>
      <c r="G96" s="2268"/>
      <c r="H96" s="2268"/>
      <c r="I96" s="2268"/>
      <c r="J96" s="2268"/>
      <c r="K96" s="2268"/>
      <c r="L96" s="2268"/>
      <c r="M96" s="2268"/>
      <c r="N96" s="2268"/>
      <c r="O96" s="2268"/>
      <c r="P96" s="2268"/>
      <c r="Q96" s="2268"/>
    </row>
    <row r="97" spans="2:17" s="744" customFormat="1">
      <c r="B97" s="2268"/>
      <c r="C97" s="2268"/>
      <c r="D97" s="2268"/>
      <c r="E97" s="2268"/>
      <c r="F97" s="2268"/>
      <c r="G97" s="2268"/>
      <c r="H97" s="2268"/>
      <c r="I97" s="2268"/>
      <c r="J97" s="2268"/>
      <c r="K97" s="2268"/>
      <c r="L97" s="2268"/>
      <c r="M97" s="2268"/>
      <c r="N97" s="2268"/>
      <c r="O97" s="2268"/>
      <c r="P97" s="2268"/>
      <c r="Q97" s="2268"/>
    </row>
    <row r="98" spans="2:17" s="744" customFormat="1">
      <c r="B98" s="2268"/>
      <c r="C98" s="2268"/>
      <c r="D98" s="2268"/>
      <c r="E98" s="2268"/>
      <c r="F98" s="2268"/>
      <c r="G98" s="2268"/>
      <c r="H98" s="2268"/>
      <c r="I98" s="2268"/>
      <c r="J98" s="2268"/>
      <c r="K98" s="2268"/>
      <c r="L98" s="2268"/>
      <c r="M98" s="2268"/>
      <c r="N98" s="2268"/>
      <c r="O98" s="2268"/>
      <c r="P98" s="2268"/>
      <c r="Q98" s="2268"/>
    </row>
    <row r="99" spans="2:17" s="744" customFormat="1">
      <c r="B99" s="2268"/>
      <c r="C99" s="2268"/>
      <c r="D99" s="2268"/>
      <c r="E99" s="2268"/>
      <c r="F99" s="2268"/>
      <c r="G99" s="2268"/>
      <c r="H99" s="2268"/>
      <c r="I99" s="2268"/>
      <c r="J99" s="2268"/>
      <c r="K99" s="2268"/>
      <c r="L99" s="2268"/>
      <c r="M99" s="2268"/>
      <c r="N99" s="2268"/>
      <c r="O99" s="2268"/>
      <c r="P99" s="2268"/>
      <c r="Q99" s="2268"/>
    </row>
    <row r="100" spans="2:17" s="744" customFormat="1">
      <c r="B100" s="2268"/>
      <c r="C100" s="2268"/>
      <c r="D100" s="2268"/>
      <c r="E100" s="2268"/>
      <c r="F100" s="2268"/>
      <c r="G100" s="2268"/>
      <c r="H100" s="2268"/>
      <c r="I100" s="2268"/>
      <c r="J100" s="2268"/>
      <c r="K100" s="2268"/>
      <c r="L100" s="2268"/>
      <c r="M100" s="2268"/>
      <c r="N100" s="2268"/>
      <c r="O100" s="2268"/>
      <c r="P100" s="2268"/>
      <c r="Q100" s="2268"/>
    </row>
    <row r="101" spans="2:17" s="744" customFormat="1">
      <c r="B101" s="2268"/>
      <c r="C101" s="2268"/>
      <c r="D101" s="2268"/>
      <c r="E101" s="2268"/>
      <c r="F101" s="2268"/>
      <c r="G101" s="2268"/>
      <c r="H101" s="2268"/>
      <c r="I101" s="2268"/>
      <c r="J101" s="2268"/>
      <c r="K101" s="2268"/>
      <c r="L101" s="2268"/>
      <c r="M101" s="2268"/>
      <c r="N101" s="2268"/>
      <c r="O101" s="2268"/>
      <c r="P101" s="2268"/>
      <c r="Q101" s="2268"/>
    </row>
    <row r="102" spans="2:17" s="744" customFormat="1">
      <c r="B102" s="2268"/>
      <c r="C102" s="2268"/>
      <c r="D102" s="2268"/>
      <c r="E102" s="2268"/>
      <c r="F102" s="2268"/>
      <c r="G102" s="2268"/>
      <c r="H102" s="2268"/>
      <c r="I102" s="2268"/>
      <c r="J102" s="2268"/>
      <c r="K102" s="2268"/>
      <c r="L102" s="2268"/>
      <c r="M102" s="2268"/>
      <c r="N102" s="2268"/>
      <c r="O102" s="2268"/>
      <c r="P102" s="2268"/>
      <c r="Q102" s="2268"/>
    </row>
    <row r="103" spans="2:17" s="744" customFormat="1">
      <c r="B103" s="2268"/>
      <c r="C103" s="2268"/>
      <c r="D103" s="2268"/>
      <c r="E103" s="2268"/>
      <c r="F103" s="2268"/>
      <c r="G103" s="2268"/>
      <c r="H103" s="2268"/>
      <c r="I103" s="2268"/>
      <c r="J103" s="2268"/>
      <c r="K103" s="2268"/>
      <c r="L103" s="2268"/>
      <c r="M103" s="2268"/>
      <c r="N103" s="2268"/>
      <c r="O103" s="2268"/>
      <c r="P103" s="2268"/>
      <c r="Q103" s="2268"/>
    </row>
    <row r="104" spans="2:17" s="744" customFormat="1">
      <c r="B104" s="2268"/>
      <c r="C104" s="2268"/>
      <c r="D104" s="2268"/>
      <c r="E104" s="2268"/>
      <c r="F104" s="2268"/>
      <c r="G104" s="2268"/>
      <c r="H104" s="2268"/>
      <c r="I104" s="2268"/>
      <c r="J104" s="2268"/>
      <c r="K104" s="2268"/>
      <c r="L104" s="2268"/>
      <c r="M104" s="2268"/>
      <c r="N104" s="2268"/>
      <c r="O104" s="2268"/>
      <c r="P104" s="2268"/>
      <c r="Q104" s="2268"/>
    </row>
    <row r="105" spans="2:17" s="744" customFormat="1">
      <c r="B105" s="2268"/>
      <c r="C105" s="2268"/>
      <c r="D105" s="2268"/>
      <c r="E105" s="2268"/>
      <c r="F105" s="2268"/>
      <c r="G105" s="2268"/>
      <c r="H105" s="2268"/>
      <c r="I105" s="2268"/>
      <c r="J105" s="2268"/>
      <c r="K105" s="2268"/>
      <c r="L105" s="2268"/>
      <c r="M105" s="2268"/>
      <c r="N105" s="2268"/>
      <c r="O105" s="2268"/>
      <c r="P105" s="2268"/>
      <c r="Q105" s="2268"/>
    </row>
    <row r="106" spans="2:17" s="744" customFormat="1">
      <c r="B106" s="2268"/>
      <c r="C106" s="2268"/>
      <c r="D106" s="2268"/>
      <c r="E106" s="2268"/>
      <c r="F106" s="2268"/>
      <c r="G106" s="2268"/>
      <c r="H106" s="2268"/>
      <c r="I106" s="2268"/>
      <c r="J106" s="2268"/>
      <c r="K106" s="2268"/>
      <c r="L106" s="2268"/>
      <c r="M106" s="2268"/>
      <c r="N106" s="2268"/>
      <c r="O106" s="2268"/>
      <c r="P106" s="2268"/>
      <c r="Q106" s="2268"/>
    </row>
    <row r="107" spans="2:17" s="744" customFormat="1">
      <c r="B107" s="2268"/>
      <c r="C107" s="2268"/>
      <c r="D107" s="2268"/>
      <c r="E107" s="2268"/>
      <c r="F107" s="2268"/>
      <c r="G107" s="2268"/>
      <c r="H107" s="2268"/>
      <c r="I107" s="2268"/>
      <c r="J107" s="2268"/>
      <c r="K107" s="2268"/>
      <c r="L107" s="2268"/>
      <c r="M107" s="2268"/>
      <c r="N107" s="2268"/>
      <c r="O107" s="2268"/>
      <c r="P107" s="2268"/>
      <c r="Q107" s="2268"/>
    </row>
    <row r="108" spans="2:17" s="744" customFormat="1">
      <c r="B108" s="2268"/>
      <c r="C108" s="2268"/>
      <c r="D108" s="2268"/>
      <c r="E108" s="2268"/>
      <c r="F108" s="2268"/>
      <c r="G108" s="2268"/>
      <c r="H108" s="2268"/>
      <c r="I108" s="2268"/>
      <c r="J108" s="2268"/>
      <c r="K108" s="2268"/>
      <c r="L108" s="2268"/>
      <c r="M108" s="2268"/>
      <c r="N108" s="2268"/>
      <c r="O108" s="2268"/>
      <c r="P108" s="2268"/>
      <c r="Q108" s="2268"/>
    </row>
    <row r="109" spans="2:17" s="744" customFormat="1">
      <c r="B109" s="2268"/>
      <c r="C109" s="2268"/>
      <c r="D109" s="2268"/>
      <c r="E109" s="2268"/>
      <c r="F109" s="2268"/>
      <c r="G109" s="2268"/>
      <c r="H109" s="2268"/>
      <c r="I109" s="2268"/>
      <c r="J109" s="2268"/>
      <c r="K109" s="2268"/>
      <c r="L109" s="2268"/>
      <c r="M109" s="2268"/>
      <c r="N109" s="2268"/>
      <c r="O109" s="2268"/>
      <c r="P109" s="2268"/>
      <c r="Q109" s="2268"/>
    </row>
    <row r="110" spans="2:17" s="744" customFormat="1">
      <c r="B110" s="2268"/>
      <c r="C110" s="2268"/>
      <c r="D110" s="2268"/>
      <c r="E110" s="2268"/>
      <c r="F110" s="2268"/>
      <c r="G110" s="2268"/>
      <c r="H110" s="2268"/>
      <c r="I110" s="2268"/>
      <c r="J110" s="2268"/>
      <c r="K110" s="2268"/>
      <c r="L110" s="2268"/>
      <c r="M110" s="2268"/>
      <c r="N110" s="2268"/>
      <c r="O110" s="2268"/>
      <c r="P110" s="2268"/>
      <c r="Q110" s="2268"/>
    </row>
    <row r="111" spans="2:17" s="744" customFormat="1">
      <c r="B111" s="2268"/>
      <c r="C111" s="2268"/>
      <c r="D111" s="2268"/>
      <c r="E111" s="2268"/>
      <c r="F111" s="2268"/>
      <c r="G111" s="2268"/>
      <c r="H111" s="2268"/>
      <c r="I111" s="2268"/>
      <c r="J111" s="2268"/>
      <c r="K111" s="2268"/>
      <c r="L111" s="2268"/>
      <c r="M111" s="2268"/>
      <c r="N111" s="2268"/>
      <c r="O111" s="2268"/>
      <c r="P111" s="2268"/>
      <c r="Q111" s="2268"/>
    </row>
    <row r="112" spans="2:17" s="744" customFormat="1">
      <c r="B112" s="2268"/>
      <c r="C112" s="2268"/>
      <c r="D112" s="2268"/>
      <c r="E112" s="2268"/>
      <c r="F112" s="2268"/>
      <c r="G112" s="2268"/>
      <c r="H112" s="2268"/>
      <c r="I112" s="2268"/>
      <c r="J112" s="2268"/>
      <c r="K112" s="2268"/>
      <c r="L112" s="2268"/>
      <c r="M112" s="2268"/>
      <c r="N112" s="2268"/>
      <c r="O112" s="2268"/>
      <c r="P112" s="2268"/>
      <c r="Q112" s="2268"/>
    </row>
    <row r="113" spans="2:17" s="744" customFormat="1">
      <c r="B113" s="2268"/>
      <c r="C113" s="2268"/>
      <c r="D113" s="2268"/>
      <c r="E113" s="2268"/>
      <c r="F113" s="2268"/>
      <c r="G113" s="2268"/>
      <c r="H113" s="2268"/>
      <c r="I113" s="2268"/>
      <c r="J113" s="2268"/>
      <c r="K113" s="2268"/>
      <c r="L113" s="2268"/>
      <c r="M113" s="2268"/>
      <c r="N113" s="2268"/>
      <c r="O113" s="2268"/>
      <c r="P113" s="2268"/>
      <c r="Q113" s="2268"/>
    </row>
    <row r="114" spans="2:17" s="744" customFormat="1">
      <c r="B114" s="2268"/>
      <c r="C114" s="2268"/>
      <c r="D114" s="2268"/>
      <c r="E114" s="2268"/>
      <c r="F114" s="2268"/>
      <c r="G114" s="2268"/>
      <c r="H114" s="2268"/>
      <c r="I114" s="2268"/>
      <c r="J114" s="2268"/>
      <c r="K114" s="2268"/>
      <c r="L114" s="2268"/>
      <c r="M114" s="2268"/>
      <c r="N114" s="2268"/>
      <c r="O114" s="2268"/>
      <c r="P114" s="2268"/>
      <c r="Q114" s="2268"/>
    </row>
    <row r="115" spans="2:17" s="744" customFormat="1">
      <c r="B115" s="2268"/>
      <c r="C115" s="2268"/>
      <c r="D115" s="2268"/>
      <c r="E115" s="2268"/>
      <c r="F115" s="2268"/>
      <c r="G115" s="2268"/>
      <c r="H115" s="2268"/>
      <c r="I115" s="2268"/>
      <c r="J115" s="2268"/>
      <c r="K115" s="2268"/>
      <c r="L115" s="2268"/>
      <c r="M115" s="2268"/>
      <c r="N115" s="2268"/>
      <c r="O115" s="2268"/>
      <c r="P115" s="2268"/>
      <c r="Q115" s="2268"/>
    </row>
    <row r="116" spans="2:17" s="744" customFormat="1">
      <c r="B116" s="2268"/>
      <c r="C116" s="2268"/>
      <c r="D116" s="2268"/>
      <c r="E116" s="2268"/>
      <c r="F116" s="2268"/>
      <c r="G116" s="2268"/>
      <c r="H116" s="2268"/>
      <c r="I116" s="2268"/>
      <c r="J116" s="2268"/>
      <c r="K116" s="2268"/>
      <c r="L116" s="2268"/>
      <c r="M116" s="2268"/>
      <c r="N116" s="2268"/>
      <c r="O116" s="2268"/>
      <c r="P116" s="2268"/>
      <c r="Q116" s="2268"/>
    </row>
    <row r="117" spans="2:17" s="744" customFormat="1">
      <c r="B117" s="2268"/>
      <c r="C117" s="2268"/>
      <c r="D117" s="2268"/>
      <c r="E117" s="2268"/>
      <c r="F117" s="2268"/>
      <c r="G117" s="2268"/>
      <c r="H117" s="2268"/>
      <c r="I117" s="2268"/>
      <c r="J117" s="2268"/>
      <c r="K117" s="2268"/>
      <c r="L117" s="2268"/>
      <c r="M117" s="2268"/>
      <c r="N117" s="2268"/>
      <c r="O117" s="2268"/>
      <c r="P117" s="2268"/>
      <c r="Q117" s="2268"/>
    </row>
    <row r="118" spans="2:17" s="744" customFormat="1">
      <c r="B118" s="2268"/>
      <c r="C118" s="2268"/>
      <c r="D118" s="2268"/>
      <c r="E118" s="2268"/>
      <c r="F118" s="2268"/>
      <c r="G118" s="2268"/>
      <c r="H118" s="2268"/>
      <c r="I118" s="2268"/>
      <c r="J118" s="2268"/>
      <c r="K118" s="2268"/>
      <c r="L118" s="2268"/>
      <c r="M118" s="2268"/>
      <c r="N118" s="2268"/>
      <c r="O118" s="2268"/>
      <c r="P118" s="2268"/>
      <c r="Q118" s="2268"/>
    </row>
    <row r="119" spans="2:17" s="744" customFormat="1">
      <c r="B119" s="2268"/>
      <c r="C119" s="2268"/>
      <c r="D119" s="2268"/>
      <c r="E119" s="2268"/>
      <c r="F119" s="2268"/>
      <c r="G119" s="2268"/>
      <c r="H119" s="2268"/>
      <c r="I119" s="2268"/>
      <c r="J119" s="2268"/>
      <c r="K119" s="2268"/>
      <c r="L119" s="2268"/>
      <c r="M119" s="2268"/>
      <c r="N119" s="2268"/>
      <c r="O119" s="2268"/>
      <c r="P119" s="2268"/>
      <c r="Q119" s="2268"/>
    </row>
    <row r="120" spans="2:17" s="744" customFormat="1">
      <c r="B120" s="2268"/>
      <c r="C120" s="2268"/>
      <c r="D120" s="2268"/>
      <c r="E120" s="2268"/>
      <c r="F120" s="2268"/>
      <c r="G120" s="2268"/>
      <c r="H120" s="2268"/>
      <c r="I120" s="2268"/>
      <c r="J120" s="2268"/>
      <c r="K120" s="2268"/>
      <c r="L120" s="2268"/>
      <c r="M120" s="2268"/>
      <c r="N120" s="2268"/>
      <c r="O120" s="2268"/>
      <c r="P120" s="2268"/>
      <c r="Q120" s="2268"/>
    </row>
    <row r="121" spans="2:17" s="744" customFormat="1">
      <c r="B121" s="2268"/>
      <c r="C121" s="2268"/>
      <c r="D121" s="2268"/>
      <c r="E121" s="2268"/>
      <c r="F121" s="2268"/>
      <c r="G121" s="2268"/>
      <c r="H121" s="2268"/>
      <c r="I121" s="2268"/>
      <c r="J121" s="2268"/>
      <c r="K121" s="2268"/>
      <c r="L121" s="2268"/>
      <c r="M121" s="2268"/>
      <c r="N121" s="2268"/>
      <c r="O121" s="2268"/>
      <c r="P121" s="2268"/>
      <c r="Q121" s="2268"/>
    </row>
    <row r="122" spans="2:17" s="744" customFormat="1">
      <c r="B122" s="2268"/>
      <c r="C122" s="2268"/>
      <c r="D122" s="2268"/>
      <c r="E122" s="2268"/>
      <c r="F122" s="2268"/>
      <c r="G122" s="2268"/>
      <c r="H122" s="2268"/>
      <c r="I122" s="2268"/>
      <c r="J122" s="2268"/>
      <c r="K122" s="2268"/>
      <c r="L122" s="2268"/>
      <c r="M122" s="2268"/>
      <c r="N122" s="2268"/>
      <c r="O122" s="2268"/>
      <c r="P122" s="2268"/>
      <c r="Q122" s="2268"/>
    </row>
    <row r="123" spans="2:17" s="744" customFormat="1">
      <c r="B123" s="2268"/>
      <c r="C123" s="2268"/>
      <c r="D123" s="2268"/>
      <c r="E123" s="2268"/>
      <c r="F123" s="2268"/>
      <c r="G123" s="2268"/>
      <c r="H123" s="2268"/>
      <c r="I123" s="2268"/>
      <c r="J123" s="2268"/>
      <c r="K123" s="2268"/>
      <c r="L123" s="2268"/>
      <c r="M123" s="2268"/>
      <c r="N123" s="2268"/>
      <c r="O123" s="2268"/>
      <c r="P123" s="2268"/>
      <c r="Q123" s="2268"/>
    </row>
    <row r="124" spans="2:17" s="744" customFormat="1">
      <c r="B124" s="2268"/>
      <c r="C124" s="2268"/>
      <c r="D124" s="2268"/>
      <c r="E124" s="2268"/>
      <c r="F124" s="2268"/>
      <c r="G124" s="2268"/>
      <c r="H124" s="2268"/>
      <c r="I124" s="2268"/>
      <c r="J124" s="2268"/>
      <c r="K124" s="2268"/>
      <c r="L124" s="2268"/>
      <c r="M124" s="2268"/>
      <c r="N124" s="2268"/>
      <c r="O124" s="2268"/>
      <c r="P124" s="2268"/>
      <c r="Q124" s="2268"/>
    </row>
    <row r="125" spans="2:17" s="744" customFormat="1">
      <c r="B125" s="2268"/>
      <c r="C125" s="2268"/>
      <c r="D125" s="2268"/>
      <c r="E125" s="2268"/>
      <c r="F125" s="2268"/>
      <c r="G125" s="2268"/>
      <c r="H125" s="2268"/>
      <c r="I125" s="2268"/>
      <c r="J125" s="2268"/>
      <c r="K125" s="2268"/>
      <c r="L125" s="2268"/>
      <c r="M125" s="2268"/>
      <c r="N125" s="2268"/>
      <c r="O125" s="2268"/>
      <c r="P125" s="2268"/>
      <c r="Q125" s="2268"/>
    </row>
    <row r="126" spans="2:17" s="744" customFormat="1">
      <c r="B126" s="2268"/>
      <c r="C126" s="2268"/>
      <c r="D126" s="2268"/>
      <c r="E126" s="2268"/>
      <c r="F126" s="2268"/>
      <c r="G126" s="2268"/>
      <c r="H126" s="2268"/>
      <c r="I126" s="2268"/>
      <c r="J126" s="2268"/>
      <c r="K126" s="2268"/>
      <c r="L126" s="2268"/>
      <c r="M126" s="2268"/>
      <c r="N126" s="2268"/>
      <c r="O126" s="2268"/>
      <c r="P126" s="2268"/>
      <c r="Q126" s="2268"/>
    </row>
    <row r="127" spans="2:17" s="744" customFormat="1">
      <c r="B127" s="2268"/>
      <c r="C127" s="2268"/>
      <c r="D127" s="2268"/>
      <c r="E127" s="2268"/>
      <c r="F127" s="2268"/>
      <c r="G127" s="2268"/>
      <c r="H127" s="2268"/>
      <c r="I127" s="2268"/>
      <c r="J127" s="2268"/>
      <c r="K127" s="2268"/>
      <c r="L127" s="2268"/>
      <c r="M127" s="2268"/>
      <c r="N127" s="2268"/>
      <c r="O127" s="2268"/>
      <c r="P127" s="2268"/>
      <c r="Q127" s="2268"/>
    </row>
    <row r="128" spans="2:17" s="744" customFormat="1">
      <c r="B128" s="2268"/>
      <c r="C128" s="2268"/>
      <c r="D128" s="2268"/>
      <c r="E128" s="2268"/>
      <c r="F128" s="2268"/>
      <c r="G128" s="2268"/>
      <c r="H128" s="2268"/>
      <c r="I128" s="2268"/>
      <c r="J128" s="2268"/>
      <c r="K128" s="2268"/>
      <c r="L128" s="2268"/>
      <c r="M128" s="2268"/>
      <c r="N128" s="2268"/>
      <c r="O128" s="2268"/>
      <c r="P128" s="2268"/>
      <c r="Q128" s="2268"/>
    </row>
    <row r="129" spans="2:17" s="744" customFormat="1">
      <c r="B129" s="2268"/>
      <c r="C129" s="2268"/>
      <c r="D129" s="2268"/>
      <c r="E129" s="2268"/>
      <c r="F129" s="2268"/>
      <c r="G129" s="2268"/>
      <c r="H129" s="2268"/>
      <c r="I129" s="2268"/>
      <c r="J129" s="2268"/>
      <c r="K129" s="2268"/>
      <c r="L129" s="2268"/>
      <c r="M129" s="2268"/>
      <c r="N129" s="2268"/>
      <c r="O129" s="2268"/>
      <c r="P129" s="2268"/>
      <c r="Q129" s="2268"/>
    </row>
    <row r="130" spans="2:17" s="744" customFormat="1">
      <c r="B130" s="2268"/>
      <c r="C130" s="2268"/>
      <c r="D130" s="2268"/>
      <c r="E130" s="2268"/>
      <c r="F130" s="2268"/>
      <c r="G130" s="2268"/>
      <c r="H130" s="2268"/>
      <c r="I130" s="2268"/>
      <c r="J130" s="2268"/>
      <c r="K130" s="2268"/>
      <c r="L130" s="2268"/>
      <c r="M130" s="2268"/>
      <c r="N130" s="2268"/>
      <c r="O130" s="2268"/>
      <c r="P130" s="2268"/>
      <c r="Q130" s="2268"/>
    </row>
    <row r="131" spans="2:17" s="744" customFormat="1">
      <c r="B131" s="2268"/>
      <c r="C131" s="2268"/>
      <c r="D131" s="2268"/>
      <c r="E131" s="2268"/>
      <c r="F131" s="2268"/>
      <c r="G131" s="2268"/>
      <c r="H131" s="2268"/>
      <c r="I131" s="2268"/>
      <c r="J131" s="2268"/>
      <c r="K131" s="2268"/>
      <c r="L131" s="2268"/>
      <c r="M131" s="2268"/>
      <c r="N131" s="2268"/>
      <c r="O131" s="2268"/>
      <c r="P131" s="2268"/>
      <c r="Q131" s="2268"/>
    </row>
    <row r="132" spans="2:17" s="744" customFormat="1">
      <c r="B132" s="2268"/>
      <c r="C132" s="2268"/>
      <c r="D132" s="2268"/>
      <c r="E132" s="2268"/>
      <c r="F132" s="2268"/>
      <c r="G132" s="2268"/>
      <c r="H132" s="2268"/>
      <c r="I132" s="2268"/>
      <c r="J132" s="2268"/>
      <c r="K132" s="2268"/>
      <c r="L132" s="2268"/>
      <c r="M132" s="2268"/>
      <c r="N132" s="2268"/>
      <c r="O132" s="2268"/>
      <c r="P132" s="2268"/>
      <c r="Q132" s="2268"/>
    </row>
    <row r="133" spans="2:17" s="744" customFormat="1">
      <c r="B133" s="2268"/>
      <c r="C133" s="2268"/>
      <c r="D133" s="2268"/>
      <c r="E133" s="2268"/>
      <c r="F133" s="2268"/>
      <c r="G133" s="2268"/>
      <c r="H133" s="2268"/>
      <c r="I133" s="2268"/>
      <c r="J133" s="2268"/>
      <c r="K133" s="2268"/>
      <c r="L133" s="2268"/>
      <c r="M133" s="2268"/>
      <c r="N133" s="2268"/>
      <c r="O133" s="2268"/>
      <c r="P133" s="2268"/>
      <c r="Q133" s="2268"/>
    </row>
    <row r="134" spans="2:17" s="744" customFormat="1">
      <c r="B134" s="2268"/>
      <c r="C134" s="2268"/>
      <c r="D134" s="2268"/>
      <c r="E134" s="2268"/>
      <c r="F134" s="2268"/>
      <c r="G134" s="2268"/>
      <c r="H134" s="2268"/>
      <c r="I134" s="2268"/>
      <c r="J134" s="2268"/>
      <c r="K134" s="2268"/>
      <c r="L134" s="2268"/>
      <c r="M134" s="2268"/>
      <c r="N134" s="2268"/>
      <c r="O134" s="2268"/>
      <c r="P134" s="2268"/>
      <c r="Q134" s="2268"/>
    </row>
    <row r="135" spans="2:17" s="744" customFormat="1">
      <c r="B135" s="2268"/>
      <c r="C135" s="2268"/>
      <c r="D135" s="2268"/>
      <c r="E135" s="2268"/>
      <c r="F135" s="2268"/>
      <c r="G135" s="2268"/>
      <c r="H135" s="2268"/>
      <c r="I135" s="2268"/>
      <c r="J135" s="2268"/>
      <c r="K135" s="2268"/>
      <c r="L135" s="2268"/>
      <c r="M135" s="2268"/>
      <c r="N135" s="2268"/>
      <c r="O135" s="2268"/>
      <c r="P135" s="2268"/>
      <c r="Q135" s="2268"/>
    </row>
    <row r="136" spans="2:17" s="744" customFormat="1">
      <c r="B136" s="2268"/>
      <c r="C136" s="2268"/>
      <c r="D136" s="2268"/>
      <c r="E136" s="2268"/>
      <c r="F136" s="2268"/>
      <c r="G136" s="2268"/>
      <c r="H136" s="2268"/>
      <c r="I136" s="2268"/>
      <c r="J136" s="2268"/>
      <c r="K136" s="2268"/>
      <c r="L136" s="2268"/>
      <c r="M136" s="2268"/>
      <c r="N136" s="2268"/>
      <c r="O136" s="2268"/>
      <c r="P136" s="2268"/>
      <c r="Q136" s="2268"/>
    </row>
    <row r="137" spans="2:17" s="744" customFormat="1">
      <c r="B137" s="2268"/>
      <c r="C137" s="2268"/>
      <c r="D137" s="2268"/>
      <c r="E137" s="2268"/>
      <c r="F137" s="2268"/>
      <c r="G137" s="2268"/>
      <c r="H137" s="2268"/>
      <c r="I137" s="2268"/>
      <c r="J137" s="2268"/>
      <c r="K137" s="2268"/>
      <c r="L137" s="2268"/>
      <c r="M137" s="2268"/>
      <c r="N137" s="2268"/>
      <c r="O137" s="2268"/>
      <c r="P137" s="2268"/>
      <c r="Q137" s="2268"/>
    </row>
    <row r="138" spans="2:17" s="744" customFormat="1">
      <c r="B138" s="2268"/>
      <c r="C138" s="2268"/>
      <c r="D138" s="2268"/>
      <c r="E138" s="2268"/>
      <c r="F138" s="2268"/>
      <c r="G138" s="2268"/>
      <c r="H138" s="2268"/>
      <c r="I138" s="2268"/>
      <c r="J138" s="2268"/>
      <c r="K138" s="2268"/>
      <c r="L138" s="2268"/>
      <c r="M138" s="2268"/>
      <c r="N138" s="2268"/>
      <c r="O138" s="2268"/>
      <c r="P138" s="2268"/>
      <c r="Q138" s="2268"/>
    </row>
    <row r="139" spans="2:17" s="744" customFormat="1">
      <c r="B139" s="2268"/>
      <c r="C139" s="2268"/>
      <c r="D139" s="2268"/>
      <c r="E139" s="2268"/>
      <c r="F139" s="2268"/>
      <c r="G139" s="2268"/>
      <c r="H139" s="2268"/>
      <c r="I139" s="2268"/>
      <c r="J139" s="2268"/>
      <c r="K139" s="2268"/>
      <c r="L139" s="2268"/>
      <c r="M139" s="2268"/>
      <c r="N139" s="2268"/>
      <c r="O139" s="2268"/>
      <c r="P139" s="2268"/>
      <c r="Q139" s="2268"/>
    </row>
    <row r="140" spans="2:17" s="744" customFormat="1">
      <c r="B140" s="2268"/>
      <c r="C140" s="2268"/>
      <c r="D140" s="2268"/>
      <c r="E140" s="2268"/>
      <c r="F140" s="2268"/>
      <c r="G140" s="2268"/>
      <c r="H140" s="2268"/>
      <c r="I140" s="2268"/>
      <c r="J140" s="2268"/>
      <c r="K140" s="2268"/>
      <c r="L140" s="2268"/>
      <c r="M140" s="2268"/>
      <c r="N140" s="2268"/>
      <c r="O140" s="2268"/>
      <c r="P140" s="2268"/>
      <c r="Q140" s="2268"/>
    </row>
    <row r="141" spans="2:17" s="744" customFormat="1">
      <c r="B141" s="2268"/>
      <c r="C141" s="2268"/>
      <c r="D141" s="2268"/>
      <c r="E141" s="2268"/>
      <c r="F141" s="2268"/>
      <c r="G141" s="2268"/>
      <c r="H141" s="2268"/>
      <c r="I141" s="2268"/>
      <c r="J141" s="2268"/>
      <c r="K141" s="2268"/>
      <c r="L141" s="2268"/>
      <c r="M141" s="2268"/>
      <c r="N141" s="2268"/>
      <c r="O141" s="2268"/>
      <c r="P141" s="2268"/>
      <c r="Q141" s="2268"/>
    </row>
    <row r="142" spans="2:17" s="744" customFormat="1">
      <c r="B142" s="2268"/>
      <c r="C142" s="2268"/>
      <c r="D142" s="2268"/>
      <c r="E142" s="2268"/>
      <c r="F142" s="2268"/>
      <c r="G142" s="2268"/>
      <c r="H142" s="2268"/>
      <c r="I142" s="2268"/>
      <c r="J142" s="2268"/>
      <c r="K142" s="2268"/>
      <c r="L142" s="2268"/>
      <c r="M142" s="2268"/>
      <c r="N142" s="2268"/>
      <c r="O142" s="2268"/>
      <c r="P142" s="2268"/>
      <c r="Q142" s="2268"/>
    </row>
    <row r="143" spans="2:17" s="744" customFormat="1">
      <c r="B143" s="2268"/>
      <c r="C143" s="2268"/>
      <c r="D143" s="2268"/>
      <c r="E143" s="2268"/>
      <c r="F143" s="2268"/>
      <c r="G143" s="2268"/>
      <c r="H143" s="2268"/>
      <c r="I143" s="2268"/>
      <c r="J143" s="2268"/>
      <c r="K143" s="2268"/>
      <c r="L143" s="2268"/>
      <c r="M143" s="2268"/>
      <c r="N143" s="2268"/>
      <c r="O143" s="2268"/>
      <c r="P143" s="2268"/>
      <c r="Q143" s="2268"/>
    </row>
    <row r="144" spans="2:17" s="744" customFormat="1">
      <c r="B144" s="2268"/>
      <c r="C144" s="2268"/>
      <c r="D144" s="2268"/>
      <c r="E144" s="2268"/>
      <c r="F144" s="2268"/>
      <c r="G144" s="2268"/>
      <c r="H144" s="2268"/>
      <c r="I144" s="2268"/>
      <c r="J144" s="2268"/>
      <c r="K144" s="2268"/>
      <c r="L144" s="2268"/>
      <c r="M144" s="2268"/>
      <c r="N144" s="2268"/>
      <c r="O144" s="2268"/>
      <c r="P144" s="2268"/>
      <c r="Q144" s="2268"/>
    </row>
    <row r="145" spans="2:17" s="744" customFormat="1">
      <c r="B145" s="2268"/>
      <c r="C145" s="2268"/>
      <c r="D145" s="2268"/>
      <c r="E145" s="2268"/>
      <c r="F145" s="2268"/>
      <c r="G145" s="2268"/>
      <c r="H145" s="2268"/>
      <c r="I145" s="2268"/>
      <c r="J145" s="2268"/>
      <c r="K145" s="2268"/>
      <c r="L145" s="2268"/>
      <c r="M145" s="2268"/>
      <c r="N145" s="2268"/>
      <c r="O145" s="2268"/>
      <c r="P145" s="2268"/>
      <c r="Q145" s="2268"/>
    </row>
    <row r="146" spans="2:17" s="744" customFormat="1">
      <c r="B146" s="2268"/>
      <c r="C146" s="2268"/>
      <c r="D146" s="2268"/>
      <c r="E146" s="2268"/>
      <c r="F146" s="2268"/>
      <c r="G146" s="2268"/>
      <c r="H146" s="2268"/>
      <c r="I146" s="2268"/>
      <c r="J146" s="2268"/>
      <c r="K146" s="2268"/>
      <c r="L146" s="2268"/>
      <c r="M146" s="2268"/>
      <c r="N146" s="2268"/>
      <c r="O146" s="2268"/>
      <c r="P146" s="2268"/>
      <c r="Q146" s="2268"/>
    </row>
    <row r="147" spans="2:17" s="744" customFormat="1">
      <c r="B147" s="2268"/>
      <c r="C147" s="2268"/>
      <c r="D147" s="2268"/>
      <c r="E147" s="2268"/>
      <c r="F147" s="2268"/>
      <c r="G147" s="2268"/>
      <c r="H147" s="2268"/>
      <c r="I147" s="2268"/>
      <c r="J147" s="2268"/>
      <c r="K147" s="2268"/>
      <c r="L147" s="2268"/>
      <c r="M147" s="2268"/>
      <c r="N147" s="2268"/>
      <c r="O147" s="2268"/>
      <c r="P147" s="2268"/>
      <c r="Q147" s="2268"/>
    </row>
    <row r="148" spans="2:17" s="744" customFormat="1">
      <c r="B148" s="2268"/>
      <c r="C148" s="2268"/>
      <c r="D148" s="2268"/>
      <c r="E148" s="2268"/>
      <c r="F148" s="2268"/>
      <c r="G148" s="2268"/>
      <c r="H148" s="2268"/>
      <c r="I148" s="2268"/>
      <c r="J148" s="2268"/>
      <c r="K148" s="2268"/>
      <c r="L148" s="2268"/>
      <c r="M148" s="2268"/>
      <c r="N148" s="2268"/>
      <c r="O148" s="2268"/>
      <c r="P148" s="2268"/>
      <c r="Q148" s="2268"/>
    </row>
    <row r="149" spans="2:17" s="744" customFormat="1">
      <c r="B149" s="2268"/>
      <c r="C149" s="2268"/>
      <c r="D149" s="2268"/>
      <c r="E149" s="2268"/>
      <c r="F149" s="2268"/>
      <c r="G149" s="2268"/>
      <c r="H149" s="2268"/>
      <c r="I149" s="2268"/>
      <c r="J149" s="2268"/>
      <c r="K149" s="2268"/>
      <c r="L149" s="2268"/>
      <c r="M149" s="2268"/>
      <c r="N149" s="2268"/>
      <c r="O149" s="2268"/>
      <c r="P149" s="2268"/>
      <c r="Q149" s="2268"/>
    </row>
    <row r="150" spans="2:17" s="744" customFormat="1">
      <c r="B150" s="2268"/>
      <c r="C150" s="2268"/>
      <c r="D150" s="2268"/>
      <c r="E150" s="2268"/>
      <c r="F150" s="2268"/>
      <c r="G150" s="2268"/>
      <c r="H150" s="2268"/>
      <c r="I150" s="2268"/>
      <c r="J150" s="2268"/>
      <c r="K150" s="2268"/>
      <c r="L150" s="2268"/>
      <c r="M150" s="2268"/>
      <c r="N150" s="2268"/>
      <c r="O150" s="2268"/>
      <c r="P150" s="2268"/>
      <c r="Q150" s="2268"/>
    </row>
    <row r="151" spans="2:17" s="744" customFormat="1">
      <c r="B151" s="2268"/>
      <c r="C151" s="2268"/>
      <c r="D151" s="2268"/>
      <c r="E151" s="2268"/>
      <c r="F151" s="2268"/>
      <c r="G151" s="2268"/>
      <c r="H151" s="2268"/>
      <c r="I151" s="2268"/>
      <c r="J151" s="2268"/>
      <c r="K151" s="2268"/>
      <c r="L151" s="2268"/>
      <c r="M151" s="2268"/>
      <c r="N151" s="2268"/>
      <c r="O151" s="2268"/>
      <c r="P151" s="2268"/>
      <c r="Q151" s="2268"/>
    </row>
    <row r="152" spans="2:17" s="744" customFormat="1">
      <c r="B152" s="2268"/>
      <c r="C152" s="2268"/>
      <c r="D152" s="2268"/>
      <c r="E152" s="2268"/>
      <c r="F152" s="2268"/>
      <c r="G152" s="2268"/>
      <c r="H152" s="2268"/>
      <c r="I152" s="2268"/>
      <c r="J152" s="2268"/>
      <c r="K152" s="2268"/>
      <c r="L152" s="2268"/>
      <c r="M152" s="2268"/>
      <c r="N152" s="2268"/>
      <c r="O152" s="2268"/>
      <c r="P152" s="2268"/>
      <c r="Q152" s="2268"/>
    </row>
    <row r="153" spans="2:17" s="744" customFormat="1">
      <c r="B153" s="2268"/>
      <c r="C153" s="2268"/>
      <c r="D153" s="2268"/>
      <c r="E153" s="2268"/>
      <c r="F153" s="2268"/>
      <c r="G153" s="2268"/>
      <c r="H153" s="2268"/>
      <c r="I153" s="2268"/>
      <c r="J153" s="2268"/>
      <c r="K153" s="2268"/>
      <c r="L153" s="2268"/>
      <c r="M153" s="2268"/>
      <c r="N153" s="2268"/>
      <c r="O153" s="2268"/>
      <c r="P153" s="2268"/>
      <c r="Q153" s="2268"/>
    </row>
    <row r="154" spans="2:17" s="744" customFormat="1">
      <c r="B154" s="2268"/>
      <c r="C154" s="2268"/>
      <c r="D154" s="2268"/>
      <c r="E154" s="2268"/>
      <c r="F154" s="2268"/>
      <c r="G154" s="2268"/>
      <c r="H154" s="2268"/>
      <c r="I154" s="2268"/>
      <c r="J154" s="2268"/>
      <c r="K154" s="2268"/>
      <c r="L154" s="2268"/>
      <c r="M154" s="2268"/>
      <c r="N154" s="2268"/>
      <c r="O154" s="2268"/>
      <c r="P154" s="2268"/>
      <c r="Q154" s="2268"/>
    </row>
    <row r="155" spans="2:17" s="744" customFormat="1">
      <c r="B155" s="2268"/>
      <c r="C155" s="2268"/>
      <c r="D155" s="2268"/>
      <c r="E155" s="2268"/>
      <c r="F155" s="2268"/>
      <c r="G155" s="2268"/>
      <c r="H155" s="2268"/>
      <c r="I155" s="2268"/>
      <c r="J155" s="2268"/>
      <c r="K155" s="2268"/>
      <c r="L155" s="2268"/>
      <c r="M155" s="2268"/>
      <c r="N155" s="2268"/>
      <c r="O155" s="2268"/>
      <c r="P155" s="2268"/>
      <c r="Q155" s="2268"/>
    </row>
    <row r="156" spans="2:17" s="744" customFormat="1">
      <c r="B156" s="2268"/>
      <c r="C156" s="2268"/>
      <c r="D156" s="2268"/>
      <c r="E156" s="2268"/>
      <c r="F156" s="2268"/>
      <c r="G156" s="2268"/>
      <c r="H156" s="2268"/>
      <c r="I156" s="2268"/>
      <c r="J156" s="2268"/>
      <c r="K156" s="2268"/>
      <c r="L156" s="2268"/>
      <c r="M156" s="2268"/>
      <c r="N156" s="2268"/>
      <c r="O156" s="2268"/>
      <c r="P156" s="2268"/>
      <c r="Q156" s="2268"/>
    </row>
    <row r="157" spans="2:17" s="744" customFormat="1">
      <c r="B157" s="2268"/>
      <c r="C157" s="2268"/>
      <c r="D157" s="2268"/>
      <c r="E157" s="2268"/>
      <c r="F157" s="2268"/>
      <c r="G157" s="2268"/>
      <c r="H157" s="2268"/>
      <c r="I157" s="2268"/>
      <c r="J157" s="2268"/>
      <c r="K157" s="2268"/>
      <c r="L157" s="2268"/>
      <c r="M157" s="2268"/>
      <c r="N157" s="2268"/>
      <c r="O157" s="2268"/>
      <c r="P157" s="2268"/>
      <c r="Q157" s="2268"/>
    </row>
    <row r="158" spans="2:17" s="744" customFormat="1">
      <c r="B158" s="2268"/>
      <c r="C158" s="2268"/>
      <c r="D158" s="2268"/>
      <c r="E158" s="2268"/>
      <c r="F158" s="2268"/>
      <c r="G158" s="2268"/>
      <c r="H158" s="2268"/>
      <c r="I158" s="2268"/>
      <c r="J158" s="2268"/>
      <c r="K158" s="2268"/>
      <c r="L158" s="2268"/>
      <c r="M158" s="2268"/>
      <c r="N158" s="2268"/>
      <c r="O158" s="2268"/>
      <c r="P158" s="2268"/>
      <c r="Q158" s="2268"/>
    </row>
    <row r="159" spans="2:17" s="744" customFormat="1">
      <c r="B159" s="2268"/>
      <c r="C159" s="2268"/>
      <c r="D159" s="2268"/>
      <c r="E159" s="2268"/>
      <c r="F159" s="2268"/>
      <c r="G159" s="2268"/>
      <c r="H159" s="2268"/>
      <c r="I159" s="2268"/>
      <c r="J159" s="2268"/>
      <c r="K159" s="2268"/>
      <c r="L159" s="2268"/>
      <c r="M159" s="2268"/>
      <c r="N159" s="2268"/>
      <c r="O159" s="2268"/>
      <c r="P159" s="2268"/>
      <c r="Q159" s="2268"/>
    </row>
    <row r="160" spans="2:17" s="744" customFormat="1">
      <c r="B160" s="2268"/>
      <c r="C160" s="2268"/>
      <c r="D160" s="2268"/>
      <c r="E160" s="2268"/>
      <c r="F160" s="2268"/>
      <c r="G160" s="2268"/>
      <c r="H160" s="2268"/>
      <c r="I160" s="2268"/>
      <c r="J160" s="2268"/>
      <c r="K160" s="2268"/>
      <c r="L160" s="2268"/>
      <c r="M160" s="2268"/>
      <c r="N160" s="2268"/>
      <c r="O160" s="2268"/>
      <c r="P160" s="2268"/>
      <c r="Q160" s="2268"/>
    </row>
    <row r="161" spans="2:17" s="744" customFormat="1">
      <c r="B161" s="2268"/>
      <c r="C161" s="2268"/>
      <c r="D161" s="2268"/>
      <c r="E161" s="2268"/>
      <c r="F161" s="2268"/>
      <c r="G161" s="2268"/>
      <c r="H161" s="2268"/>
      <c r="I161" s="2268"/>
      <c r="J161" s="2268"/>
      <c r="K161" s="2268"/>
      <c r="L161" s="2268"/>
      <c r="M161" s="2268"/>
      <c r="N161" s="2268"/>
      <c r="O161" s="2268"/>
      <c r="P161" s="2268"/>
      <c r="Q161" s="2268"/>
    </row>
    <row r="162" spans="2:17" s="744" customFormat="1">
      <c r="B162" s="2268"/>
      <c r="C162" s="2268"/>
      <c r="D162" s="2268"/>
      <c r="E162" s="2268"/>
      <c r="F162" s="2268"/>
      <c r="G162" s="2268"/>
      <c r="H162" s="2268"/>
      <c r="I162" s="2268"/>
      <c r="J162" s="2268"/>
      <c r="K162" s="2268"/>
      <c r="L162" s="2268"/>
      <c r="M162" s="2268"/>
      <c r="N162" s="2268"/>
      <c r="O162" s="2268"/>
      <c r="P162" s="2268"/>
      <c r="Q162" s="2268"/>
    </row>
    <row r="163" spans="2:17" s="744" customFormat="1">
      <c r="B163" s="2268"/>
      <c r="C163" s="2268"/>
      <c r="D163" s="2268"/>
      <c r="E163" s="2268"/>
      <c r="F163" s="2268"/>
      <c r="G163" s="2268"/>
      <c r="H163" s="2268"/>
      <c r="I163" s="2268"/>
      <c r="J163" s="2268"/>
      <c r="K163" s="2268"/>
      <c r="L163" s="2268"/>
      <c r="M163" s="2268"/>
      <c r="N163" s="2268"/>
      <c r="O163" s="2268"/>
      <c r="P163" s="2268"/>
      <c r="Q163" s="2268"/>
    </row>
    <row r="164" spans="2:17" s="744" customFormat="1">
      <c r="B164" s="2268"/>
      <c r="C164" s="2268"/>
      <c r="D164" s="2268"/>
      <c r="E164" s="2268"/>
      <c r="F164" s="2268"/>
      <c r="G164" s="2268"/>
      <c r="H164" s="2268"/>
      <c r="I164" s="2268"/>
      <c r="J164" s="2268"/>
      <c r="K164" s="2268"/>
      <c r="L164" s="2268"/>
      <c r="M164" s="2268"/>
      <c r="N164" s="2268"/>
      <c r="O164" s="2268"/>
      <c r="P164" s="2268"/>
      <c r="Q164" s="2268"/>
    </row>
    <row r="165" spans="2:17" s="744" customFormat="1">
      <c r="B165" s="2268"/>
      <c r="C165" s="2268"/>
      <c r="D165" s="2268"/>
      <c r="E165" s="2268"/>
      <c r="F165" s="2268"/>
      <c r="G165" s="2268"/>
      <c r="H165" s="2268"/>
      <c r="I165" s="2268"/>
      <c r="J165" s="2268"/>
      <c r="K165" s="2268"/>
      <c r="L165" s="2268"/>
      <c r="M165" s="2268"/>
      <c r="N165" s="2268"/>
      <c r="O165" s="2268"/>
      <c r="P165" s="2268"/>
      <c r="Q165" s="2268"/>
    </row>
    <row r="166" spans="2:17" s="744" customFormat="1">
      <c r="B166" s="2268"/>
      <c r="C166" s="2268"/>
      <c r="D166" s="2268"/>
      <c r="E166" s="2268"/>
      <c r="F166" s="2268"/>
      <c r="G166" s="2268"/>
      <c r="H166" s="2268"/>
      <c r="I166" s="2268"/>
      <c r="J166" s="2268"/>
      <c r="K166" s="2268"/>
      <c r="L166" s="2268"/>
      <c r="M166" s="2268"/>
      <c r="N166" s="2268"/>
      <c r="O166" s="2268"/>
      <c r="P166" s="2268"/>
      <c r="Q166" s="2268"/>
    </row>
    <row r="167" spans="2:17" s="744" customFormat="1">
      <c r="B167" s="2268"/>
      <c r="C167" s="2268"/>
      <c r="D167" s="2268"/>
      <c r="E167" s="2268"/>
      <c r="F167" s="2268"/>
      <c r="G167" s="2268"/>
      <c r="H167" s="2268"/>
      <c r="I167" s="2268"/>
      <c r="J167" s="2268"/>
      <c r="K167" s="2268"/>
      <c r="L167" s="2268"/>
      <c r="M167" s="2268"/>
      <c r="N167" s="2268"/>
      <c r="O167" s="2268"/>
      <c r="P167" s="2268"/>
      <c r="Q167" s="2268"/>
    </row>
    <row r="168" spans="2:17" s="744" customFormat="1">
      <c r="B168" s="2268"/>
      <c r="C168" s="2268"/>
      <c r="D168" s="2268"/>
      <c r="E168" s="2268"/>
      <c r="F168" s="2268"/>
      <c r="G168" s="2268"/>
      <c r="H168" s="2268"/>
      <c r="I168" s="2268"/>
      <c r="J168" s="2268"/>
      <c r="K168" s="2268"/>
      <c r="L168" s="2268"/>
      <c r="M168" s="2268"/>
      <c r="N168" s="2268"/>
      <c r="O168" s="2268"/>
      <c r="P168" s="2268"/>
      <c r="Q168" s="2268"/>
    </row>
    <row r="169" spans="2:17" s="744" customFormat="1">
      <c r="B169" s="2268"/>
      <c r="C169" s="2268"/>
      <c r="D169" s="2268"/>
      <c r="E169" s="2268"/>
      <c r="F169" s="2268"/>
      <c r="G169" s="2268"/>
      <c r="H169" s="2268"/>
      <c r="I169" s="2268"/>
      <c r="J169" s="2268"/>
      <c r="K169" s="2268"/>
      <c r="L169" s="2268"/>
      <c r="M169" s="2268"/>
      <c r="N169" s="2268"/>
      <c r="O169" s="2268"/>
      <c r="P169" s="2268"/>
      <c r="Q169" s="2268"/>
    </row>
    <row r="170" spans="2:17" s="744" customFormat="1">
      <c r="B170" s="2268"/>
      <c r="C170" s="2268"/>
      <c r="D170" s="2268"/>
      <c r="E170" s="2268"/>
      <c r="F170" s="2268"/>
      <c r="G170" s="2268"/>
      <c r="H170" s="2268"/>
      <c r="I170" s="2268"/>
      <c r="J170" s="2268"/>
      <c r="K170" s="2268"/>
      <c r="L170" s="2268"/>
      <c r="M170" s="2268"/>
      <c r="N170" s="2268"/>
      <c r="O170" s="2268"/>
      <c r="P170" s="2268"/>
      <c r="Q170" s="2268"/>
    </row>
    <row r="171" spans="2:17" s="744" customFormat="1">
      <c r="B171" s="2268"/>
      <c r="C171" s="2268"/>
      <c r="D171" s="2268"/>
      <c r="E171" s="2268"/>
      <c r="F171" s="2268"/>
      <c r="G171" s="2268"/>
      <c r="H171" s="2268"/>
      <c r="I171" s="2268"/>
      <c r="J171" s="2268"/>
      <c r="K171" s="2268"/>
      <c r="L171" s="2268"/>
      <c r="M171" s="2268"/>
      <c r="N171" s="2268"/>
      <c r="O171" s="2268"/>
      <c r="P171" s="2268"/>
      <c r="Q171" s="2268"/>
    </row>
    <row r="172" spans="2:17" s="744" customFormat="1">
      <c r="B172" s="2268"/>
      <c r="C172" s="2268"/>
      <c r="D172" s="2268"/>
      <c r="E172" s="2268"/>
      <c r="F172" s="2268"/>
      <c r="G172" s="2268"/>
      <c r="H172" s="2268"/>
      <c r="I172" s="2268"/>
      <c r="J172" s="2268"/>
      <c r="K172" s="2268"/>
      <c r="L172" s="2268"/>
      <c r="M172" s="2268"/>
      <c r="N172" s="2268"/>
      <c r="O172" s="2268"/>
      <c r="P172" s="2268"/>
      <c r="Q172" s="2268"/>
    </row>
    <row r="173" spans="2:17" s="744" customFormat="1">
      <c r="B173" s="2268"/>
      <c r="C173" s="2268"/>
      <c r="D173" s="2268"/>
      <c r="E173" s="2268"/>
      <c r="F173" s="2268"/>
      <c r="G173" s="2268"/>
      <c r="H173" s="2268"/>
      <c r="I173" s="2268"/>
      <c r="J173" s="2268"/>
      <c r="K173" s="2268"/>
      <c r="L173" s="2268"/>
      <c r="M173" s="2268"/>
      <c r="N173" s="2268"/>
      <c r="O173" s="2268"/>
      <c r="P173" s="2268"/>
      <c r="Q173" s="2268"/>
    </row>
    <row r="174" spans="2:17" s="744" customFormat="1">
      <c r="B174" s="2268"/>
      <c r="C174" s="2268"/>
      <c r="D174" s="2268"/>
      <c r="E174" s="2268"/>
      <c r="F174" s="2268"/>
      <c r="G174" s="2268"/>
      <c r="H174" s="2268"/>
      <c r="I174" s="2268"/>
      <c r="J174" s="2268"/>
      <c r="K174" s="2268"/>
      <c r="L174" s="2268"/>
      <c r="M174" s="2268"/>
      <c r="N174" s="2268"/>
      <c r="O174" s="2268"/>
      <c r="P174" s="2268"/>
      <c r="Q174" s="2268"/>
    </row>
    <row r="175" spans="2:17" s="744" customFormat="1">
      <c r="B175" s="2268"/>
      <c r="C175" s="2268"/>
      <c r="D175" s="2268"/>
      <c r="E175" s="2268"/>
      <c r="F175" s="2268"/>
      <c r="G175" s="2268"/>
      <c r="H175" s="2268"/>
      <c r="I175" s="2268"/>
      <c r="J175" s="2268"/>
      <c r="K175" s="2268"/>
      <c r="L175" s="2268"/>
      <c r="M175" s="2268"/>
      <c r="N175" s="2268"/>
      <c r="O175" s="2268"/>
      <c r="P175" s="2268"/>
      <c r="Q175" s="2268"/>
    </row>
    <row r="176" spans="2:17" s="744" customFormat="1">
      <c r="B176" s="2268"/>
      <c r="C176" s="2268"/>
      <c r="D176" s="2268"/>
      <c r="E176" s="2268"/>
      <c r="F176" s="2268"/>
      <c r="G176" s="2268"/>
      <c r="H176" s="2268"/>
      <c r="I176" s="2268"/>
      <c r="J176" s="2268"/>
      <c r="K176" s="2268"/>
      <c r="L176" s="2268"/>
      <c r="M176" s="2268"/>
      <c r="N176" s="2268"/>
      <c r="O176" s="2268"/>
      <c r="P176" s="2268"/>
      <c r="Q176" s="2268"/>
    </row>
    <row r="177" spans="1:17" s="744" customFormat="1">
      <c r="B177" s="2268"/>
      <c r="C177" s="2268"/>
      <c r="D177" s="2268"/>
      <c r="E177" s="2268"/>
      <c r="F177" s="2268"/>
      <c r="G177" s="2268"/>
      <c r="H177" s="2268"/>
      <c r="I177" s="2268"/>
      <c r="J177" s="2268"/>
      <c r="K177" s="2268"/>
      <c r="L177" s="2268"/>
      <c r="M177" s="2268"/>
      <c r="N177" s="2268"/>
      <c r="O177" s="2268"/>
      <c r="P177" s="2268"/>
      <c r="Q177" s="2268"/>
    </row>
    <row r="178" spans="1:17" s="744" customFormat="1">
      <c r="B178" s="2268"/>
      <c r="C178" s="2268"/>
      <c r="D178" s="2268"/>
      <c r="E178" s="2268"/>
      <c r="F178" s="2268"/>
      <c r="G178" s="2268"/>
      <c r="H178" s="2268"/>
      <c r="I178" s="2268"/>
      <c r="J178" s="2268"/>
      <c r="K178" s="2268"/>
      <c r="L178" s="2268"/>
      <c r="M178" s="2268"/>
      <c r="N178" s="2268"/>
      <c r="O178" s="2268"/>
      <c r="P178" s="2268"/>
      <c r="Q178" s="2268"/>
    </row>
    <row r="179" spans="1:17" s="744" customFormat="1">
      <c r="B179" s="2268"/>
      <c r="C179" s="2268"/>
      <c r="D179" s="2268"/>
      <c r="E179" s="2268"/>
      <c r="F179" s="2268"/>
      <c r="G179" s="2268"/>
      <c r="H179" s="2268"/>
      <c r="I179" s="2268"/>
      <c r="J179" s="2268"/>
      <c r="K179" s="2268"/>
      <c r="L179" s="2268"/>
      <c r="M179" s="2268"/>
      <c r="N179" s="2268"/>
      <c r="O179" s="2268"/>
      <c r="P179" s="2268"/>
      <c r="Q179" s="2268"/>
    </row>
    <row r="180" spans="1:17" s="744" customFormat="1">
      <c r="B180" s="2268"/>
      <c r="C180" s="2268"/>
      <c r="D180" s="2268"/>
      <c r="E180" s="2268"/>
      <c r="F180" s="2268"/>
      <c r="G180" s="2268"/>
      <c r="H180" s="2268"/>
      <c r="I180" s="2268"/>
      <c r="J180" s="2268"/>
      <c r="K180" s="2268"/>
      <c r="L180" s="2268"/>
      <c r="M180" s="2268"/>
      <c r="N180" s="2268"/>
      <c r="O180" s="2268"/>
      <c r="P180" s="2268"/>
      <c r="Q180" s="2268"/>
    </row>
    <row r="181" spans="1:17" s="744" customFormat="1">
      <c r="B181" s="2268"/>
      <c r="C181" s="2268"/>
      <c r="D181" s="2268"/>
      <c r="E181" s="2268"/>
      <c r="F181" s="2268"/>
      <c r="G181" s="2268"/>
      <c r="H181" s="2268"/>
      <c r="I181" s="2268"/>
      <c r="J181" s="2268"/>
      <c r="K181" s="2268"/>
      <c r="L181" s="2268"/>
      <c r="M181" s="2268"/>
      <c r="N181" s="2268"/>
      <c r="O181" s="2268"/>
      <c r="P181" s="2268"/>
      <c r="Q181" s="2268"/>
    </row>
    <row r="182" spans="1:17" s="744" customFormat="1">
      <c r="B182" s="2268"/>
      <c r="C182" s="2268"/>
      <c r="D182" s="2268"/>
      <c r="E182" s="2268"/>
      <c r="F182" s="2268"/>
      <c r="G182" s="2268"/>
      <c r="H182" s="2268"/>
      <c r="I182" s="2268"/>
      <c r="J182" s="2268"/>
      <c r="K182" s="2268"/>
      <c r="L182" s="2268"/>
      <c r="M182" s="2268"/>
      <c r="N182" s="2268"/>
      <c r="O182" s="2268"/>
      <c r="P182" s="2268"/>
      <c r="Q182" s="2268"/>
    </row>
    <row r="183" spans="1:17" s="744" customFormat="1">
      <c r="B183" s="2268"/>
      <c r="C183" s="2268"/>
      <c r="D183" s="2268"/>
      <c r="E183" s="2268"/>
      <c r="F183" s="2268"/>
      <c r="G183" s="2268"/>
      <c r="H183" s="2268"/>
      <c r="I183" s="2268"/>
      <c r="J183" s="2268"/>
      <c r="K183" s="2268"/>
      <c r="L183" s="2268"/>
      <c r="M183" s="2268"/>
      <c r="N183" s="2268"/>
      <c r="O183" s="2268"/>
      <c r="P183" s="2268"/>
      <c r="Q183" s="2268"/>
    </row>
    <row r="184" spans="1:17" s="744" customFormat="1">
      <c r="B184" s="2268"/>
      <c r="C184" s="2268"/>
      <c r="D184" s="2268"/>
      <c r="E184" s="2268"/>
      <c r="F184" s="2268"/>
      <c r="G184" s="2268"/>
      <c r="H184" s="2268"/>
      <c r="I184" s="2268"/>
      <c r="J184" s="2268"/>
      <c r="K184" s="2268"/>
      <c r="L184" s="2268"/>
      <c r="M184" s="2268"/>
      <c r="N184" s="2268"/>
      <c r="O184" s="2268"/>
      <c r="P184" s="2268"/>
      <c r="Q184" s="2268"/>
    </row>
    <row r="185" spans="1:17" s="744" customFormat="1">
      <c r="B185" s="2268"/>
      <c r="C185" s="2268"/>
      <c r="D185" s="2268"/>
      <c r="E185" s="2268"/>
      <c r="F185" s="2268"/>
      <c r="G185" s="2268"/>
      <c r="H185" s="2268"/>
      <c r="I185" s="2268"/>
      <c r="J185" s="2268"/>
      <c r="K185" s="2268"/>
      <c r="L185" s="2268"/>
      <c r="M185" s="2268"/>
      <c r="N185" s="2268"/>
      <c r="O185" s="2268"/>
      <c r="P185" s="2268"/>
      <c r="Q185" s="2268"/>
    </row>
    <row r="186" spans="1:17">
      <c r="A186" s="744"/>
      <c r="B186" s="2268"/>
      <c r="C186" s="2268"/>
      <c r="E186" s="2268"/>
      <c r="F186" s="2268"/>
      <c r="G186" s="2268"/>
    </row>
    <row r="187" spans="1:17">
      <c r="A187" s="744"/>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T258"/>
  <sheetViews>
    <sheetView zoomScale="68" zoomScaleNormal="68" workbookViewId="0">
      <pane xSplit="1" ySplit="2" topLeftCell="B232" activePane="bottomRight" state="frozen"/>
      <selection pane="topRight"/>
      <selection pane="bottomLeft"/>
      <selection pane="bottomRight" activeCell="AG238" sqref="AG238"/>
    </sheetView>
  </sheetViews>
  <sheetFormatPr defaultColWidth="9.875" defaultRowHeight="18.75"/>
  <cols>
    <col min="1" max="1" width="6.125" style="3161" hidden="1" customWidth="1"/>
    <col min="2" max="2" width="6.125" style="3161" customWidth="1"/>
    <col min="3" max="3" width="33.875" style="3256" customWidth="1"/>
    <col min="4" max="4" width="9.875" style="3257"/>
    <col min="5" max="5" width="9.875" style="3183" hidden="1" customWidth="1"/>
    <col min="6" max="6" width="30.875" style="3183" customWidth="1"/>
    <col min="7" max="7" width="16.875" style="3258" customWidth="1"/>
    <col min="8" max="8" width="9.875" style="3161" hidden="1" customWidth="1"/>
    <col min="9" max="9" width="18.75" style="3183" customWidth="1"/>
    <col min="10" max="10" width="17.625" style="3161" customWidth="1"/>
    <col min="11" max="11" width="7.875" style="3257" customWidth="1"/>
    <col min="12" max="12" width="12" style="3259" hidden="1" customWidth="1"/>
    <col min="13" max="13" width="10" style="3259" hidden="1" customWidth="1"/>
    <col min="14" max="14" width="13.375" style="3161" hidden="1" customWidth="1"/>
    <col min="15" max="15" width="15.625" style="3161" customWidth="1"/>
    <col min="16" max="16" width="19.625" style="3161" hidden="1" customWidth="1"/>
    <col min="17" max="18" width="16.125" style="3161" hidden="1" customWidth="1"/>
    <col min="19" max="19" width="21.375" style="3161" hidden="1" customWidth="1"/>
    <col min="20" max="20" width="25.25" style="3161" hidden="1" customWidth="1"/>
    <col min="21" max="21" width="29.125" style="3161" hidden="1" customWidth="1"/>
    <col min="22" max="22" width="28.625" style="3161" hidden="1" customWidth="1"/>
    <col min="23" max="23" width="22.875" style="3161" customWidth="1"/>
    <col min="24" max="25" width="21.5" style="3253" customWidth="1"/>
    <col min="26" max="26" width="19.625" style="3253" hidden="1" customWidth="1"/>
    <col min="27" max="27" width="21.375" style="3254" hidden="1" customWidth="1"/>
    <col min="28" max="28" width="31.375" style="3255" hidden="1" customWidth="1"/>
    <col min="29" max="30" width="9.875" style="3161" hidden="1" customWidth="1"/>
    <col min="31" max="31" width="18.375" style="3161" hidden="1" customWidth="1"/>
    <col min="32" max="32" width="21.375" style="3161" hidden="1" customWidth="1"/>
    <col min="33" max="33" width="15.875" style="3161" bestFit="1" customWidth="1"/>
    <col min="34" max="16384" width="9.875" style="3161"/>
  </cols>
  <sheetData>
    <row r="1" spans="1:34" ht="37.5" customHeight="1">
      <c r="B1" s="3364" t="s">
        <v>3753</v>
      </c>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row>
    <row r="2" spans="1:34" s="3169" customFormat="1" ht="77.25" customHeight="1">
      <c r="A2" s="3162" t="s">
        <v>3380</v>
      </c>
      <c r="B2" s="3162" t="s">
        <v>3380</v>
      </c>
      <c r="C2" s="3163" t="s">
        <v>3754</v>
      </c>
      <c r="D2" s="3162" t="s">
        <v>3382</v>
      </c>
      <c r="E2" s="3163" t="s">
        <v>3755</v>
      </c>
      <c r="F2" s="3164" t="s">
        <v>3381</v>
      </c>
      <c r="G2" s="3165" t="s">
        <v>3756</v>
      </c>
      <c r="H2" s="3164" t="s">
        <v>3757</v>
      </c>
      <c r="I2" s="3164" t="s">
        <v>3758</v>
      </c>
      <c r="J2" s="3163" t="s">
        <v>3759</v>
      </c>
      <c r="K2" s="3162" t="s">
        <v>3760</v>
      </c>
      <c r="L2" s="3165" t="s">
        <v>3761</v>
      </c>
      <c r="M2" s="3165" t="s">
        <v>3762</v>
      </c>
      <c r="N2" s="3166" t="s">
        <v>3763</v>
      </c>
      <c r="O2" s="3166" t="s">
        <v>3764</v>
      </c>
      <c r="P2" s="3166" t="s">
        <v>3765</v>
      </c>
      <c r="Q2" s="3166" t="s">
        <v>3766</v>
      </c>
      <c r="R2" s="3166" t="s">
        <v>3767</v>
      </c>
      <c r="S2" s="3166" t="s">
        <v>3768</v>
      </c>
      <c r="T2" s="3166" t="s">
        <v>3769</v>
      </c>
      <c r="U2" s="3166" t="s">
        <v>3770</v>
      </c>
      <c r="V2" s="3166" t="s">
        <v>3771</v>
      </c>
      <c r="W2" s="3166" t="s">
        <v>3772</v>
      </c>
      <c r="X2" s="3167" t="s">
        <v>3773</v>
      </c>
      <c r="Y2" s="3167" t="s">
        <v>3774</v>
      </c>
      <c r="Z2" s="3167" t="s">
        <v>3775</v>
      </c>
      <c r="AA2" s="3168" t="s">
        <v>3776</v>
      </c>
      <c r="AB2" s="3163" t="s">
        <v>3386</v>
      </c>
    </row>
    <row r="3" spans="1:34" s="3183" customFormat="1" ht="34.5" customHeight="1">
      <c r="A3" s="3170">
        <v>199</v>
      </c>
      <c r="B3" s="3170">
        <v>1</v>
      </c>
      <c r="C3" s="3171" t="s">
        <v>3777</v>
      </c>
      <c r="D3" s="3172" t="s">
        <v>3778</v>
      </c>
      <c r="E3" s="3173" t="s">
        <v>3779</v>
      </c>
      <c r="F3" s="3171" t="s">
        <v>3780</v>
      </c>
      <c r="G3" s="3174">
        <v>248</v>
      </c>
      <c r="H3" s="3175" t="s">
        <v>3781</v>
      </c>
      <c r="I3" s="3173" t="s">
        <v>3782</v>
      </c>
      <c r="J3" s="3176" t="s">
        <v>3783</v>
      </c>
      <c r="K3" s="3177"/>
      <c r="L3" s="3178">
        <v>3</v>
      </c>
      <c r="M3" s="3179">
        <v>3</v>
      </c>
      <c r="N3" s="3180"/>
      <c r="O3" s="3180">
        <f t="shared" ref="O3:O16" si="0">SUM(L3:N3)</f>
        <v>6</v>
      </c>
      <c r="P3" s="3180">
        <f>L3*G3*365/12</f>
        <v>22630</v>
      </c>
      <c r="Q3" s="3180">
        <f t="shared" ref="Q3:Q8" si="1">M3*G3*365/12</f>
        <v>22630</v>
      </c>
      <c r="R3" s="3180"/>
      <c r="S3" s="3180">
        <f t="shared" ref="S3:S19" si="2">SUM(P3:R3)</f>
        <v>45260</v>
      </c>
      <c r="T3" s="3180">
        <v>282875</v>
      </c>
      <c r="U3" s="3180">
        <f t="shared" ref="U3:U17" si="3">M3*G3*365</f>
        <v>271560</v>
      </c>
      <c r="V3" s="3180">
        <f t="shared" ref="V3:V19" si="4">N3*G3*365</f>
        <v>0</v>
      </c>
      <c r="W3" s="3180">
        <f t="shared" ref="W3:W19" si="5">SUM(T3:V3)</f>
        <v>554435</v>
      </c>
      <c r="X3" s="3181">
        <v>45153</v>
      </c>
      <c r="Y3" s="3181">
        <v>46234</v>
      </c>
      <c r="Z3" s="3181" t="s">
        <v>3784</v>
      </c>
      <c r="AA3" s="3182">
        <v>12</v>
      </c>
      <c r="AB3" s="3171" t="s">
        <v>3785</v>
      </c>
      <c r="AG3" s="3184">
        <f>W3/365/G3</f>
        <v>6.125</v>
      </c>
      <c r="AH3" s="3183">
        <f>G3*O3*365</f>
        <v>543120</v>
      </c>
    </row>
    <row r="4" spans="1:34" s="3183" customFormat="1" ht="34.5" customHeight="1">
      <c r="A4" s="3170">
        <v>41</v>
      </c>
      <c r="B4" s="3170">
        <v>2</v>
      </c>
      <c r="C4" s="3171" t="s">
        <v>3786</v>
      </c>
      <c r="D4" s="3172" t="s">
        <v>3778</v>
      </c>
      <c r="E4" s="3173" t="s">
        <v>3779</v>
      </c>
      <c r="F4" s="3171" t="s">
        <v>3787</v>
      </c>
      <c r="G4" s="3174">
        <v>97</v>
      </c>
      <c r="H4" s="3176" t="s">
        <v>3788</v>
      </c>
      <c r="I4" s="3171">
        <v>711</v>
      </c>
      <c r="J4" s="3176" t="s">
        <v>3783</v>
      </c>
      <c r="K4" s="3177"/>
      <c r="L4" s="3179">
        <v>13</v>
      </c>
      <c r="M4" s="3179">
        <v>3</v>
      </c>
      <c r="N4" s="3180"/>
      <c r="O4" s="3180">
        <f t="shared" si="0"/>
        <v>16</v>
      </c>
      <c r="P4" s="3180">
        <v>38355.416666666701</v>
      </c>
      <c r="Q4" s="3180">
        <f t="shared" si="1"/>
        <v>8851.25</v>
      </c>
      <c r="R4" s="3180"/>
      <c r="S4" s="3180">
        <f t="shared" si="2"/>
        <v>47206.666666666701</v>
      </c>
      <c r="T4" s="3180">
        <f t="shared" ref="T4:T5" si="6">L4*G4*365</f>
        <v>460265</v>
      </c>
      <c r="U4" s="3180">
        <f t="shared" si="3"/>
        <v>106215</v>
      </c>
      <c r="V4" s="3180">
        <f t="shared" si="4"/>
        <v>0</v>
      </c>
      <c r="W4" s="3180">
        <f t="shared" si="5"/>
        <v>566480</v>
      </c>
      <c r="X4" s="3181">
        <v>44470</v>
      </c>
      <c r="Y4" s="3181">
        <v>46295</v>
      </c>
      <c r="Z4" s="3181" t="s">
        <v>3784</v>
      </c>
      <c r="AA4" s="3182">
        <v>12</v>
      </c>
      <c r="AB4" s="3171"/>
    </row>
    <row r="5" spans="1:34" s="3183" customFormat="1" ht="34.5" customHeight="1">
      <c r="A5" s="3170">
        <v>21</v>
      </c>
      <c r="B5" s="3170">
        <v>3</v>
      </c>
      <c r="C5" s="3171" t="s">
        <v>3789</v>
      </c>
      <c r="D5" s="3172" t="s">
        <v>3778</v>
      </c>
      <c r="E5" s="3173" t="s">
        <v>3779</v>
      </c>
      <c r="F5" s="3171" t="s">
        <v>3790</v>
      </c>
      <c r="G5" s="3174">
        <v>214</v>
      </c>
      <c r="H5" s="3176" t="s">
        <v>3791</v>
      </c>
      <c r="I5" s="3171" t="s">
        <v>3792</v>
      </c>
      <c r="J5" s="3176" t="s">
        <v>3783</v>
      </c>
      <c r="K5" s="3177"/>
      <c r="L5" s="3179">
        <v>13.3387858148765</v>
      </c>
      <c r="M5" s="3179">
        <v>3</v>
      </c>
      <c r="N5" s="3180"/>
      <c r="O5" s="3180">
        <f t="shared" si="0"/>
        <v>16.338785814876502</v>
      </c>
      <c r="P5" s="3180">
        <v>86824.38</v>
      </c>
      <c r="Q5" s="3180">
        <f t="shared" si="1"/>
        <v>19527.5</v>
      </c>
      <c r="R5" s="3180"/>
      <c r="S5" s="3180">
        <f t="shared" si="2"/>
        <v>106351.88</v>
      </c>
      <c r="T5" s="3180">
        <f t="shared" si="6"/>
        <v>1041892.5600000035</v>
      </c>
      <c r="U5" s="3180">
        <f t="shared" si="3"/>
        <v>234330</v>
      </c>
      <c r="V5" s="3180">
        <f t="shared" si="4"/>
        <v>0</v>
      </c>
      <c r="W5" s="3180">
        <f t="shared" si="5"/>
        <v>1276222.5600000035</v>
      </c>
      <c r="X5" s="3181">
        <v>44331</v>
      </c>
      <c r="Y5" s="3181">
        <v>47982</v>
      </c>
      <c r="Z5" s="3181" t="s">
        <v>3784</v>
      </c>
      <c r="AA5" s="3182">
        <v>12</v>
      </c>
      <c r="AB5" s="3171"/>
    </row>
    <row r="6" spans="1:34" s="3183" customFormat="1" ht="34.5" customHeight="1">
      <c r="A6" s="3170">
        <v>93</v>
      </c>
      <c r="B6" s="3170">
        <v>4</v>
      </c>
      <c r="C6" s="3171" t="s">
        <v>3793</v>
      </c>
      <c r="D6" s="3172" t="s">
        <v>3778</v>
      </c>
      <c r="E6" s="3173" t="s">
        <v>3779</v>
      </c>
      <c r="F6" s="3171" t="s">
        <v>3794</v>
      </c>
      <c r="G6" s="3174">
        <v>60</v>
      </c>
      <c r="H6" s="3175" t="s">
        <v>3781</v>
      </c>
      <c r="I6" s="3171" t="s">
        <v>3795</v>
      </c>
      <c r="J6" s="3176" t="s">
        <v>3783</v>
      </c>
      <c r="K6" s="3177"/>
      <c r="L6" s="3179">
        <v>18</v>
      </c>
      <c r="M6" s="3179">
        <v>3</v>
      </c>
      <c r="N6" s="3180"/>
      <c r="O6" s="3180">
        <f t="shared" si="0"/>
        <v>21</v>
      </c>
      <c r="P6" s="3180">
        <f>L6*G6*365/12</f>
        <v>32850</v>
      </c>
      <c r="Q6" s="3180">
        <f t="shared" si="1"/>
        <v>5475</v>
      </c>
      <c r="R6" s="3180"/>
      <c r="S6" s="3180">
        <f t="shared" si="2"/>
        <v>38325</v>
      </c>
      <c r="T6" s="3180">
        <v>393810</v>
      </c>
      <c r="U6" s="3180">
        <f t="shared" si="3"/>
        <v>65700</v>
      </c>
      <c r="V6" s="3180">
        <f t="shared" si="4"/>
        <v>0</v>
      </c>
      <c r="W6" s="3180">
        <f t="shared" si="5"/>
        <v>459510</v>
      </c>
      <c r="X6" s="3181">
        <v>44579</v>
      </c>
      <c r="Y6" s="3181">
        <v>46404</v>
      </c>
      <c r="Z6" s="3181" t="s">
        <v>3784</v>
      </c>
      <c r="AA6" s="3182">
        <v>12</v>
      </c>
      <c r="AB6" s="3171" t="s">
        <v>3796</v>
      </c>
    </row>
    <row r="7" spans="1:34" s="3183" customFormat="1" ht="34.5" customHeight="1">
      <c r="A7" s="3170">
        <v>86</v>
      </c>
      <c r="B7" s="3170">
        <v>5</v>
      </c>
      <c r="C7" s="3171" t="s">
        <v>3797</v>
      </c>
      <c r="D7" s="3172" t="s">
        <v>3778</v>
      </c>
      <c r="E7" s="3173" t="s">
        <v>3779</v>
      </c>
      <c r="F7" s="3171" t="s">
        <v>3798</v>
      </c>
      <c r="G7" s="3174">
        <v>512</v>
      </c>
      <c r="H7" s="3176" t="s">
        <v>3799</v>
      </c>
      <c r="I7" s="3171" t="s">
        <v>3800</v>
      </c>
      <c r="J7" s="3176" t="s">
        <v>3783</v>
      </c>
      <c r="K7" s="3177"/>
      <c r="L7" s="3179">
        <v>9.6</v>
      </c>
      <c r="M7" s="3179">
        <v>3</v>
      </c>
      <c r="N7" s="3180"/>
      <c r="O7" s="3180">
        <f t="shared" si="0"/>
        <v>12.6</v>
      </c>
      <c r="P7" s="3180">
        <f>L7*G7*365/12</f>
        <v>149504</v>
      </c>
      <c r="Q7" s="3180">
        <f t="shared" si="1"/>
        <v>46720</v>
      </c>
      <c r="R7" s="3180"/>
      <c r="S7" s="3180">
        <f t="shared" si="2"/>
        <v>196224</v>
      </c>
      <c r="T7" s="3180">
        <v>1784704</v>
      </c>
      <c r="U7" s="3180">
        <f t="shared" si="3"/>
        <v>560640</v>
      </c>
      <c r="V7" s="3180">
        <f t="shared" si="4"/>
        <v>0</v>
      </c>
      <c r="W7" s="3180">
        <f t="shared" si="5"/>
        <v>2345344</v>
      </c>
      <c r="X7" s="3181">
        <v>44593</v>
      </c>
      <c r="Y7" s="3181">
        <v>47514</v>
      </c>
      <c r="Z7" s="3181" t="s">
        <v>3784</v>
      </c>
      <c r="AA7" s="3182">
        <v>12</v>
      </c>
      <c r="AB7" s="3171" t="s">
        <v>3801</v>
      </c>
    </row>
    <row r="8" spans="1:34" s="3183" customFormat="1" ht="34.5" customHeight="1">
      <c r="A8" s="3170">
        <v>107</v>
      </c>
      <c r="B8" s="3170">
        <v>6</v>
      </c>
      <c r="C8" s="3171" t="s">
        <v>3802</v>
      </c>
      <c r="D8" s="3172" t="s">
        <v>3778</v>
      </c>
      <c r="E8" s="3173" t="s">
        <v>3779</v>
      </c>
      <c r="F8" s="3171" t="s">
        <v>3803</v>
      </c>
      <c r="G8" s="3174">
        <v>238</v>
      </c>
      <c r="H8" s="3175" t="s">
        <v>3804</v>
      </c>
      <c r="I8" s="3173" t="s">
        <v>3805</v>
      </c>
      <c r="J8" s="3176" t="s">
        <v>3783</v>
      </c>
      <c r="K8" s="3177"/>
      <c r="L8" s="3179">
        <v>9.6</v>
      </c>
      <c r="M8" s="3179">
        <v>3</v>
      </c>
      <c r="N8" s="3180"/>
      <c r="O8" s="3180">
        <f t="shared" si="0"/>
        <v>12.6</v>
      </c>
      <c r="P8" s="3180">
        <v>69496</v>
      </c>
      <c r="Q8" s="3180">
        <f t="shared" si="1"/>
        <v>21717.5</v>
      </c>
      <c r="R8" s="3180"/>
      <c r="S8" s="3180">
        <f t="shared" si="2"/>
        <v>91213.5</v>
      </c>
      <c r="T8" s="3180">
        <v>808224.2</v>
      </c>
      <c r="U8" s="3180">
        <f t="shared" si="3"/>
        <v>260610</v>
      </c>
      <c r="V8" s="3180">
        <f t="shared" si="4"/>
        <v>0</v>
      </c>
      <c r="W8" s="3180">
        <f t="shared" si="5"/>
        <v>1068834.2</v>
      </c>
      <c r="X8" s="3181">
        <v>44659</v>
      </c>
      <c r="Y8" s="3181">
        <v>46575</v>
      </c>
      <c r="Z8" s="3181" t="s">
        <v>3784</v>
      </c>
      <c r="AA8" s="3182">
        <v>12</v>
      </c>
      <c r="AB8" s="3171" t="s">
        <v>3806</v>
      </c>
    </row>
    <row r="9" spans="1:34" s="3183" customFormat="1" ht="34.5" customHeight="1">
      <c r="A9" s="3170">
        <v>299</v>
      </c>
      <c r="B9" s="3170">
        <v>7</v>
      </c>
      <c r="C9" s="3171" t="s">
        <v>3807</v>
      </c>
      <c r="D9" s="3172" t="s">
        <v>3778</v>
      </c>
      <c r="E9" s="3173" t="s">
        <v>3779</v>
      </c>
      <c r="F9" s="3171" t="s">
        <v>3808</v>
      </c>
      <c r="G9" s="3174">
        <v>32</v>
      </c>
      <c r="H9" s="3175" t="s">
        <v>3809</v>
      </c>
      <c r="I9" s="3173" t="s">
        <v>3810</v>
      </c>
      <c r="J9" s="3176" t="s">
        <v>3783</v>
      </c>
      <c r="K9" s="3177"/>
      <c r="L9" s="3179">
        <v>7.26</v>
      </c>
      <c r="M9" s="3179">
        <v>2.98</v>
      </c>
      <c r="N9" s="3180"/>
      <c r="O9" s="3180">
        <f t="shared" si="0"/>
        <v>10.24</v>
      </c>
      <c r="P9" s="3180">
        <v>7000</v>
      </c>
      <c r="Q9" s="3180">
        <v>3000</v>
      </c>
      <c r="R9" s="3180"/>
      <c r="S9" s="3180">
        <f t="shared" si="2"/>
        <v>10000</v>
      </c>
      <c r="T9" s="3180">
        <v>84818</v>
      </c>
      <c r="U9" s="3180">
        <v>34838.71</v>
      </c>
      <c r="V9" s="3180">
        <f t="shared" si="4"/>
        <v>0</v>
      </c>
      <c r="W9" s="3180">
        <f t="shared" si="5"/>
        <v>119656.70999999999</v>
      </c>
      <c r="X9" s="3181">
        <v>45273</v>
      </c>
      <c r="Y9" s="3181">
        <v>46081</v>
      </c>
      <c r="Z9" s="3181" t="s">
        <v>3784</v>
      </c>
      <c r="AA9" s="3182">
        <v>12</v>
      </c>
      <c r="AB9" s="3171"/>
    </row>
    <row r="10" spans="1:34" s="3183" customFormat="1" ht="34.5" customHeight="1">
      <c r="A10" s="3170">
        <v>215</v>
      </c>
      <c r="B10" s="3170">
        <v>8</v>
      </c>
      <c r="C10" s="3171" t="s">
        <v>3811</v>
      </c>
      <c r="D10" s="3172" t="s">
        <v>3778</v>
      </c>
      <c r="E10" s="3173" t="s">
        <v>3779</v>
      </c>
      <c r="F10" s="3171" t="s">
        <v>3812</v>
      </c>
      <c r="G10" s="3174">
        <v>47</v>
      </c>
      <c r="H10" s="3175" t="s">
        <v>3781</v>
      </c>
      <c r="I10" s="3173" t="s">
        <v>3813</v>
      </c>
      <c r="J10" s="3176" t="s">
        <v>3783</v>
      </c>
      <c r="K10" s="3172"/>
      <c r="L10" s="3185">
        <v>5</v>
      </c>
      <c r="M10" s="3179">
        <v>3</v>
      </c>
      <c r="N10" s="3180"/>
      <c r="O10" s="3180">
        <f t="shared" si="0"/>
        <v>8</v>
      </c>
      <c r="P10" s="3175">
        <v>7147.92</v>
      </c>
      <c r="Q10" s="3186">
        <f>M10*G10*365/12</f>
        <v>4288.75</v>
      </c>
      <c r="R10" s="3186"/>
      <c r="S10" s="3180">
        <f t="shared" si="2"/>
        <v>11436.67</v>
      </c>
      <c r="T10" s="3180">
        <v>87919.41</v>
      </c>
      <c r="U10" s="3180">
        <f t="shared" si="3"/>
        <v>51465</v>
      </c>
      <c r="V10" s="3180">
        <f t="shared" si="4"/>
        <v>0</v>
      </c>
      <c r="W10" s="3180">
        <f t="shared" si="5"/>
        <v>139384.41</v>
      </c>
      <c r="X10" s="3187">
        <v>45194</v>
      </c>
      <c r="Y10" s="3187">
        <v>45930</v>
      </c>
      <c r="Z10" s="3181" t="s">
        <v>3784</v>
      </c>
      <c r="AA10" s="3182">
        <v>12</v>
      </c>
      <c r="AB10" s="3171" t="s">
        <v>3814</v>
      </c>
    </row>
    <row r="11" spans="1:34" s="3183" customFormat="1" ht="34.5" customHeight="1">
      <c r="A11" s="3170">
        <v>197</v>
      </c>
      <c r="B11" s="3170">
        <v>9</v>
      </c>
      <c r="C11" s="3188" t="s">
        <v>3815</v>
      </c>
      <c r="D11" s="3172" t="s">
        <v>3778</v>
      </c>
      <c r="E11" s="3173" t="s">
        <v>3779</v>
      </c>
      <c r="F11" s="3171" t="s">
        <v>3816</v>
      </c>
      <c r="G11" s="3174">
        <v>189</v>
      </c>
      <c r="H11" s="3175" t="s">
        <v>3781</v>
      </c>
      <c r="I11" s="3173" t="s">
        <v>3817</v>
      </c>
      <c r="J11" s="3176" t="s">
        <v>3783</v>
      </c>
      <c r="K11" s="3177"/>
      <c r="L11" s="3179">
        <v>4</v>
      </c>
      <c r="M11" s="3179">
        <v>3</v>
      </c>
      <c r="N11" s="3180"/>
      <c r="O11" s="3180">
        <f t="shared" si="0"/>
        <v>7</v>
      </c>
      <c r="P11" s="3180">
        <f>L11*G11*365/12</f>
        <v>22995</v>
      </c>
      <c r="Q11" s="3180">
        <f>M11*G11*365/12</f>
        <v>17246.25</v>
      </c>
      <c r="R11" s="3180"/>
      <c r="S11" s="3180">
        <f t="shared" si="2"/>
        <v>40241.25</v>
      </c>
      <c r="T11" s="3180">
        <v>304683.75</v>
      </c>
      <c r="U11" s="3180">
        <f t="shared" si="3"/>
        <v>206955</v>
      </c>
      <c r="V11" s="3180">
        <f t="shared" si="4"/>
        <v>0</v>
      </c>
      <c r="W11" s="3180">
        <f t="shared" si="5"/>
        <v>511638.75</v>
      </c>
      <c r="X11" s="3181">
        <v>45139</v>
      </c>
      <c r="Y11" s="3181">
        <v>46234</v>
      </c>
      <c r="Z11" s="3181" t="s">
        <v>3784</v>
      </c>
      <c r="AA11" s="3182">
        <v>12</v>
      </c>
      <c r="AB11" s="3171" t="s">
        <v>3818</v>
      </c>
    </row>
    <row r="12" spans="1:34" s="3183" customFormat="1" ht="34.5" customHeight="1">
      <c r="A12" s="3170">
        <v>276</v>
      </c>
      <c r="B12" s="3170">
        <v>10</v>
      </c>
      <c r="C12" s="3171" t="s">
        <v>3819</v>
      </c>
      <c r="D12" s="3172" t="s">
        <v>3778</v>
      </c>
      <c r="E12" s="3173" t="s">
        <v>3779</v>
      </c>
      <c r="F12" s="3171" t="s">
        <v>3820</v>
      </c>
      <c r="G12" s="3174">
        <f>735-465</f>
        <v>270</v>
      </c>
      <c r="H12" s="3175" t="s">
        <v>3821</v>
      </c>
      <c r="I12" s="3173" t="s">
        <v>3822</v>
      </c>
      <c r="J12" s="3176" t="s">
        <v>3783</v>
      </c>
      <c r="K12" s="3177"/>
      <c r="L12" s="3179">
        <v>0.3</v>
      </c>
      <c r="M12" s="3179">
        <v>3</v>
      </c>
      <c r="N12" s="3180"/>
      <c r="O12" s="3180">
        <f t="shared" si="0"/>
        <v>3.3</v>
      </c>
      <c r="P12" s="3180">
        <v>2463.75</v>
      </c>
      <c r="Q12" s="3180">
        <v>24637.5</v>
      </c>
      <c r="R12" s="3180"/>
      <c r="S12" s="3179">
        <f t="shared" si="2"/>
        <v>27101.25</v>
      </c>
      <c r="T12" s="3180">
        <v>37777.5</v>
      </c>
      <c r="U12" s="3180">
        <v>295650</v>
      </c>
      <c r="V12" s="3180">
        <f t="shared" si="4"/>
        <v>0</v>
      </c>
      <c r="W12" s="3180">
        <f t="shared" si="5"/>
        <v>333427.5</v>
      </c>
      <c r="X12" s="3181">
        <v>45137</v>
      </c>
      <c r="Y12" s="3181">
        <v>46965</v>
      </c>
      <c r="Z12" s="3181" t="s">
        <v>3784</v>
      </c>
      <c r="AA12" s="3182">
        <v>12</v>
      </c>
      <c r="AB12" s="3171" t="s">
        <v>3823</v>
      </c>
    </row>
    <row r="13" spans="1:34" s="3183" customFormat="1" ht="34.5" customHeight="1">
      <c r="A13" s="3170">
        <v>277</v>
      </c>
      <c r="B13" s="3170">
        <v>11</v>
      </c>
      <c r="C13" s="3171" t="s">
        <v>3824</v>
      </c>
      <c r="D13" s="3172" t="s">
        <v>3778</v>
      </c>
      <c r="E13" s="3173" t="s">
        <v>3779</v>
      </c>
      <c r="F13" s="3171" t="s">
        <v>3825</v>
      </c>
      <c r="G13" s="3174">
        <v>245</v>
      </c>
      <c r="H13" s="3175" t="s">
        <v>3826</v>
      </c>
      <c r="I13" s="3173" t="s">
        <v>3827</v>
      </c>
      <c r="J13" s="3176" t="s">
        <v>3783</v>
      </c>
      <c r="K13" s="3177"/>
      <c r="L13" s="3179">
        <v>0.3</v>
      </c>
      <c r="M13" s="3179">
        <v>3</v>
      </c>
      <c r="N13" s="3180"/>
      <c r="O13" s="3180">
        <f t="shared" si="0"/>
        <v>3.3</v>
      </c>
      <c r="P13" s="3180">
        <v>2235.625</v>
      </c>
      <c r="Q13" s="3180">
        <v>22356.25</v>
      </c>
      <c r="R13" s="3180"/>
      <c r="S13" s="3179">
        <f t="shared" si="2"/>
        <v>24591.875</v>
      </c>
      <c r="T13" s="3180">
        <v>34279.61</v>
      </c>
      <c r="U13" s="3180">
        <v>268275</v>
      </c>
      <c r="V13" s="3180">
        <f t="shared" si="4"/>
        <v>0</v>
      </c>
      <c r="W13" s="3180">
        <f t="shared" si="5"/>
        <v>302554.61</v>
      </c>
      <c r="X13" s="3181">
        <v>45137</v>
      </c>
      <c r="Y13" s="3181">
        <v>46965</v>
      </c>
      <c r="Z13" s="3181" t="s">
        <v>3784</v>
      </c>
      <c r="AA13" s="3182">
        <v>12</v>
      </c>
      <c r="AB13" s="3171" t="s">
        <v>3823</v>
      </c>
    </row>
    <row r="14" spans="1:34" s="3183" customFormat="1" ht="34.5" customHeight="1">
      <c r="A14" s="3170">
        <v>278</v>
      </c>
      <c r="B14" s="3170">
        <v>12</v>
      </c>
      <c r="C14" s="3171" t="s">
        <v>3828</v>
      </c>
      <c r="D14" s="3172" t="s">
        <v>3778</v>
      </c>
      <c r="E14" s="3173" t="s">
        <v>3779</v>
      </c>
      <c r="F14" s="3171" t="s">
        <v>3829</v>
      </c>
      <c r="G14" s="3174">
        <v>220</v>
      </c>
      <c r="H14" s="3175" t="s">
        <v>3826</v>
      </c>
      <c r="I14" s="3173" t="s">
        <v>3827</v>
      </c>
      <c r="J14" s="3176" t="s">
        <v>3783</v>
      </c>
      <c r="K14" s="3177"/>
      <c r="L14" s="3179">
        <v>0.3</v>
      </c>
      <c r="M14" s="3179">
        <v>3</v>
      </c>
      <c r="N14" s="3180"/>
      <c r="O14" s="3180">
        <f t="shared" si="0"/>
        <v>3.3</v>
      </c>
      <c r="P14" s="3180">
        <v>2007.5</v>
      </c>
      <c r="Q14" s="3180">
        <v>20075</v>
      </c>
      <c r="R14" s="3180"/>
      <c r="S14" s="3179">
        <f t="shared" si="2"/>
        <v>22082.5</v>
      </c>
      <c r="T14" s="3180">
        <v>30781.65</v>
      </c>
      <c r="U14" s="3180">
        <v>240900</v>
      </c>
      <c r="V14" s="3180">
        <f t="shared" si="4"/>
        <v>0</v>
      </c>
      <c r="W14" s="3180">
        <f t="shared" si="5"/>
        <v>271681.65000000002</v>
      </c>
      <c r="X14" s="3181">
        <v>45137</v>
      </c>
      <c r="Y14" s="3181">
        <v>46965</v>
      </c>
      <c r="Z14" s="3181" t="s">
        <v>3784</v>
      </c>
      <c r="AA14" s="3182">
        <v>12</v>
      </c>
      <c r="AB14" s="3171" t="s">
        <v>3823</v>
      </c>
    </row>
    <row r="15" spans="1:34" s="3183" customFormat="1" ht="34.5" customHeight="1">
      <c r="A15" s="3170">
        <v>252</v>
      </c>
      <c r="B15" s="3170">
        <v>13</v>
      </c>
      <c r="C15" s="3171" t="s">
        <v>3830</v>
      </c>
      <c r="D15" s="3172" t="s">
        <v>3778</v>
      </c>
      <c r="E15" s="3173" t="s">
        <v>3779</v>
      </c>
      <c r="F15" s="3171" t="s">
        <v>3831</v>
      </c>
      <c r="G15" s="3174">
        <v>109</v>
      </c>
      <c r="H15" s="3175" t="s">
        <v>3832</v>
      </c>
      <c r="I15" s="3173" t="s">
        <v>3833</v>
      </c>
      <c r="J15" s="3176" t="s">
        <v>3783</v>
      </c>
      <c r="K15" s="3177"/>
      <c r="L15" s="3179">
        <v>3.92107578233002</v>
      </c>
      <c r="M15" s="3179">
        <v>0.90486364207615899</v>
      </c>
      <c r="N15" s="3180"/>
      <c r="O15" s="3180">
        <f t="shared" si="0"/>
        <v>4.8259394244061786</v>
      </c>
      <c r="P15" s="3180">
        <v>13000</v>
      </c>
      <c r="Q15" s="3180">
        <v>3000</v>
      </c>
      <c r="R15" s="3180"/>
      <c r="S15" s="3179">
        <f t="shared" si="2"/>
        <v>16000</v>
      </c>
      <c r="T15" s="3180">
        <v>170000</v>
      </c>
      <c r="U15" s="3180">
        <f t="shared" si="3"/>
        <v>35999.999999999985</v>
      </c>
      <c r="V15" s="3180">
        <f t="shared" si="4"/>
        <v>0</v>
      </c>
      <c r="W15" s="3180">
        <f t="shared" si="5"/>
        <v>206000</v>
      </c>
      <c r="X15" s="3181">
        <v>45170</v>
      </c>
      <c r="Y15" s="3181">
        <v>45900</v>
      </c>
      <c r="Z15" s="3181" t="s">
        <v>3784</v>
      </c>
      <c r="AA15" s="3182">
        <v>12</v>
      </c>
      <c r="AB15" s="3171" t="s">
        <v>3834</v>
      </c>
    </row>
    <row r="16" spans="1:34" s="3183" customFormat="1" ht="34.5" customHeight="1">
      <c r="A16" s="3170">
        <v>258</v>
      </c>
      <c r="B16" s="3170">
        <v>14</v>
      </c>
      <c r="C16" s="3171" t="s">
        <v>3835</v>
      </c>
      <c r="D16" s="3172" t="s">
        <v>3778</v>
      </c>
      <c r="E16" s="3173" t="s">
        <v>3779</v>
      </c>
      <c r="F16" s="3171" t="s">
        <v>3836</v>
      </c>
      <c r="G16" s="3174">
        <v>97</v>
      </c>
      <c r="H16" s="3175" t="s">
        <v>3837</v>
      </c>
      <c r="I16" s="3173" t="s">
        <v>3838</v>
      </c>
      <c r="J16" s="3176" t="s">
        <v>3783</v>
      </c>
      <c r="K16" s="3177"/>
      <c r="L16" s="3179">
        <v>7</v>
      </c>
      <c r="M16" s="3179">
        <v>3</v>
      </c>
      <c r="N16" s="3180"/>
      <c r="O16" s="3180">
        <f t="shared" si="0"/>
        <v>10</v>
      </c>
      <c r="P16" s="3180">
        <f>L16*G16*365/12</f>
        <v>20652.916666666668</v>
      </c>
      <c r="Q16" s="3180">
        <f>M16*G16*365/12</f>
        <v>8851.25</v>
      </c>
      <c r="R16" s="3180"/>
      <c r="S16" s="3179">
        <f t="shared" si="2"/>
        <v>29504.166666666668</v>
      </c>
      <c r="T16" s="3180">
        <v>259636.67</v>
      </c>
      <c r="U16" s="3180">
        <f t="shared" si="3"/>
        <v>106215</v>
      </c>
      <c r="V16" s="3180">
        <f t="shared" si="4"/>
        <v>0</v>
      </c>
      <c r="W16" s="3180">
        <f t="shared" si="5"/>
        <v>365851.67000000004</v>
      </c>
      <c r="X16" s="3181">
        <v>45170</v>
      </c>
      <c r="Y16" s="3181">
        <v>46265</v>
      </c>
      <c r="Z16" s="3181" t="s">
        <v>3784</v>
      </c>
      <c r="AA16" s="3182">
        <v>12</v>
      </c>
      <c r="AB16" s="3171" t="s">
        <v>3839</v>
      </c>
    </row>
    <row r="17" spans="1:29" s="3183" customFormat="1" ht="34.5" customHeight="1">
      <c r="A17" s="3170">
        <v>224</v>
      </c>
      <c r="B17" s="3170">
        <v>15</v>
      </c>
      <c r="C17" s="3171" t="s">
        <v>3840</v>
      </c>
      <c r="D17" s="3172" t="s">
        <v>3778</v>
      </c>
      <c r="E17" s="3173" t="s">
        <v>3779</v>
      </c>
      <c r="F17" s="3171" t="s">
        <v>3841</v>
      </c>
      <c r="G17" s="3174">
        <v>143</v>
      </c>
      <c r="H17" s="3175" t="s">
        <v>3842</v>
      </c>
      <c r="I17" s="3173" t="s">
        <v>3843</v>
      </c>
      <c r="J17" s="3176" t="s">
        <v>3844</v>
      </c>
      <c r="K17" s="3177">
        <v>0.1</v>
      </c>
      <c r="L17" s="3179">
        <v>5</v>
      </c>
      <c r="M17" s="3179">
        <v>3</v>
      </c>
      <c r="N17" s="3180"/>
      <c r="O17" s="3180">
        <f t="shared" ref="O17:O19" si="7">SUM(L17:N17)</f>
        <v>8</v>
      </c>
      <c r="P17" s="3180">
        <v>21747.919999999998</v>
      </c>
      <c r="Q17" s="3180">
        <f>M17*G17*365/12</f>
        <v>13048.75</v>
      </c>
      <c r="R17" s="3180"/>
      <c r="S17" s="3179">
        <f t="shared" si="2"/>
        <v>34796.67</v>
      </c>
      <c r="T17" s="3180">
        <v>271848.99</v>
      </c>
      <c r="U17" s="3180">
        <f t="shared" si="3"/>
        <v>156585</v>
      </c>
      <c r="V17" s="3180">
        <f t="shared" si="4"/>
        <v>0</v>
      </c>
      <c r="W17" s="3180">
        <f t="shared" si="5"/>
        <v>428433.99</v>
      </c>
      <c r="X17" s="3181">
        <v>45148</v>
      </c>
      <c r="Y17" s="3181">
        <v>46965</v>
      </c>
      <c r="Z17" s="3181" t="s">
        <v>3784</v>
      </c>
      <c r="AA17" s="3182">
        <v>12</v>
      </c>
      <c r="AB17" s="3171" t="s">
        <v>3845</v>
      </c>
    </row>
    <row r="18" spans="1:29" s="3183" customFormat="1" ht="34.5" customHeight="1">
      <c r="A18" s="3170">
        <v>306</v>
      </c>
      <c r="B18" s="3170">
        <v>16</v>
      </c>
      <c r="C18" s="3171" t="s">
        <v>3846</v>
      </c>
      <c r="D18" s="3172" t="s">
        <v>3778</v>
      </c>
      <c r="E18" s="3173" t="s">
        <v>3779</v>
      </c>
      <c r="F18" s="3171" t="s">
        <v>3847</v>
      </c>
      <c r="G18" s="3174">
        <v>80</v>
      </c>
      <c r="H18" s="3175" t="s">
        <v>3781</v>
      </c>
      <c r="I18" s="3173" t="s">
        <v>3848</v>
      </c>
      <c r="J18" s="3176" t="s">
        <v>3783</v>
      </c>
      <c r="K18" s="3177"/>
      <c r="L18" s="3179">
        <v>1.8</v>
      </c>
      <c r="M18" s="3179">
        <v>3</v>
      </c>
      <c r="N18" s="3180"/>
      <c r="O18" s="3180">
        <f t="shared" si="7"/>
        <v>4.8</v>
      </c>
      <c r="P18" s="3180">
        <f>L18*G18*365/12</f>
        <v>4380</v>
      </c>
      <c r="Q18" s="3180">
        <f>M18*G18*365/12</f>
        <v>7300</v>
      </c>
      <c r="R18" s="3180"/>
      <c r="S18" s="3179">
        <f t="shared" si="2"/>
        <v>11680</v>
      </c>
      <c r="T18" s="3180">
        <v>38064</v>
      </c>
      <c r="U18" s="3180">
        <v>63440</v>
      </c>
      <c r="V18" s="3180">
        <f t="shared" si="4"/>
        <v>0</v>
      </c>
      <c r="W18" s="3180">
        <f t="shared" si="5"/>
        <v>101504</v>
      </c>
      <c r="X18" s="3181">
        <v>45362</v>
      </c>
      <c r="Y18" s="3181">
        <v>46477</v>
      </c>
      <c r="Z18" s="3181" t="s">
        <v>3784</v>
      </c>
      <c r="AA18" s="3182">
        <v>9</v>
      </c>
      <c r="AB18" s="3171"/>
    </row>
    <row r="19" spans="1:29" s="3183" customFormat="1" ht="34.5" customHeight="1">
      <c r="A19" s="3170"/>
      <c r="B19" s="3170">
        <v>17</v>
      </c>
      <c r="C19" s="3171" t="s">
        <v>3849</v>
      </c>
      <c r="D19" s="3172" t="s">
        <v>3778</v>
      </c>
      <c r="E19" s="3173" t="s">
        <v>3779</v>
      </c>
      <c r="F19" s="3171" t="s">
        <v>3850</v>
      </c>
      <c r="G19" s="3174">
        <v>122</v>
      </c>
      <c r="H19" s="3175" t="s">
        <v>3781</v>
      </c>
      <c r="I19" s="3173" t="s">
        <v>3849</v>
      </c>
      <c r="J19" s="3176" t="s">
        <v>3783</v>
      </c>
      <c r="K19" s="3170"/>
      <c r="L19" s="3179">
        <v>5</v>
      </c>
      <c r="M19" s="3179">
        <v>3</v>
      </c>
      <c r="N19" s="3180"/>
      <c r="O19" s="3180">
        <f t="shared" si="7"/>
        <v>8</v>
      </c>
      <c r="P19" s="3180">
        <f>L19*G19*365/12</f>
        <v>18554.166666666668</v>
      </c>
      <c r="Q19" s="3180">
        <f>M19*G19*365/12</f>
        <v>11132.5</v>
      </c>
      <c r="R19" s="3180"/>
      <c r="S19" s="3179">
        <f t="shared" si="2"/>
        <v>29686.666666666668</v>
      </c>
      <c r="T19" s="3180">
        <f>P19*AA19</f>
        <v>148433.33333333334</v>
      </c>
      <c r="U19" s="3180">
        <f>Q19*AA19</f>
        <v>89060</v>
      </c>
      <c r="V19" s="3180">
        <f t="shared" si="4"/>
        <v>0</v>
      </c>
      <c r="W19" s="3180">
        <f t="shared" si="5"/>
        <v>237493.33333333334</v>
      </c>
      <c r="X19" s="3181">
        <v>45413</v>
      </c>
      <c r="Y19" s="3181">
        <v>46477</v>
      </c>
      <c r="Z19" s="3181" t="s">
        <v>3784</v>
      </c>
      <c r="AA19" s="3182">
        <v>8</v>
      </c>
      <c r="AB19" s="3171" t="s">
        <v>3851</v>
      </c>
    </row>
    <row r="20" spans="1:29" s="3189" customFormat="1" ht="27" customHeight="1">
      <c r="B20" s="3170">
        <v>18</v>
      </c>
      <c r="C20" s="3190" t="s">
        <v>3852</v>
      </c>
      <c r="D20" s="3170" t="s">
        <v>3778</v>
      </c>
      <c r="E20" s="3191" t="s">
        <v>3779</v>
      </c>
      <c r="F20" s="3171" t="s">
        <v>3853</v>
      </c>
      <c r="G20" s="3192">
        <v>150</v>
      </c>
      <c r="H20" s="3192" t="s">
        <v>3781</v>
      </c>
      <c r="I20" s="3191" t="s">
        <v>3854</v>
      </c>
      <c r="J20" s="3170" t="s">
        <v>3783</v>
      </c>
      <c r="K20" s="3170"/>
      <c r="L20" s="3178">
        <v>3.95</v>
      </c>
      <c r="M20" s="3178"/>
      <c r="N20" s="3178"/>
      <c r="O20" s="3178">
        <f>SUM(L20:N20)</f>
        <v>3.95</v>
      </c>
      <c r="P20" s="3174">
        <v>18000</v>
      </c>
      <c r="Q20" s="3174">
        <v>0</v>
      </c>
      <c r="R20" s="3174"/>
      <c r="S20" s="3174">
        <f>SUM(P20:R20)</f>
        <v>18000</v>
      </c>
      <c r="T20" s="3174">
        <v>18000</v>
      </c>
      <c r="U20" s="3174">
        <v>0</v>
      </c>
      <c r="V20" s="3174">
        <v>0</v>
      </c>
      <c r="W20" s="3174">
        <f>SUM(T20:V20)</f>
        <v>18000</v>
      </c>
      <c r="X20" s="3181">
        <v>45292</v>
      </c>
      <c r="Y20" s="3181">
        <v>45351</v>
      </c>
      <c r="Z20" s="3170"/>
      <c r="AA20" s="3182">
        <v>1</v>
      </c>
      <c r="AB20" s="3170" t="s">
        <v>3855</v>
      </c>
      <c r="AC20" s="3170"/>
    </row>
    <row r="21" spans="1:29" s="3189" customFormat="1" ht="27" customHeight="1">
      <c r="B21" s="3170">
        <v>19</v>
      </c>
      <c r="C21" s="3171" t="s">
        <v>3856</v>
      </c>
      <c r="D21" s="3170" t="s">
        <v>3778</v>
      </c>
      <c r="E21" s="3191" t="s">
        <v>3857</v>
      </c>
      <c r="F21" s="3171" t="s">
        <v>3858</v>
      </c>
      <c r="G21" s="3192">
        <v>70</v>
      </c>
      <c r="H21" s="3192" t="s">
        <v>3781</v>
      </c>
      <c r="I21" s="3191" t="s">
        <v>3859</v>
      </c>
      <c r="J21" s="3170" t="s">
        <v>3783</v>
      </c>
      <c r="K21" s="3170"/>
      <c r="L21" s="3178"/>
      <c r="M21" s="3178"/>
      <c r="N21" s="3178">
        <v>2.3483365949119399</v>
      </c>
      <c r="O21" s="3178">
        <f t="shared" ref="O21:O26" si="8">SUM(L21:N21)</f>
        <v>2.3483365949119399</v>
      </c>
      <c r="P21" s="3174"/>
      <c r="Q21" s="3174"/>
      <c r="R21" s="3174">
        <v>5000</v>
      </c>
      <c r="S21" s="3174">
        <f t="shared" ref="S21:S26" si="9">SUM(P21:R21)</f>
        <v>5000</v>
      </c>
      <c r="T21" s="3174">
        <v>0</v>
      </c>
      <c r="U21" s="3174">
        <v>0</v>
      </c>
      <c r="V21" s="3174">
        <v>5000</v>
      </c>
      <c r="W21" s="3174">
        <f t="shared" ref="W21:W26" si="10">SUM(T21:V21)</f>
        <v>5000</v>
      </c>
      <c r="X21" s="3181">
        <v>45323</v>
      </c>
      <c r="Y21" s="3181">
        <v>45351</v>
      </c>
      <c r="Z21" s="3170"/>
      <c r="AA21" s="3182">
        <v>1</v>
      </c>
      <c r="AB21" s="3170" t="s">
        <v>3860</v>
      </c>
      <c r="AC21" s="3170"/>
    </row>
    <row r="22" spans="1:29" s="3189" customFormat="1" ht="27" customHeight="1">
      <c r="B22" s="3170">
        <v>20</v>
      </c>
      <c r="C22" s="3171" t="s">
        <v>3861</v>
      </c>
      <c r="D22" s="3170" t="s">
        <v>3778</v>
      </c>
      <c r="E22" s="3191" t="s">
        <v>3779</v>
      </c>
      <c r="F22" s="3171" t="s">
        <v>3812</v>
      </c>
      <c r="G22" s="3192">
        <v>44</v>
      </c>
      <c r="H22" s="3192" t="s">
        <v>3781</v>
      </c>
      <c r="I22" s="3191" t="s">
        <v>3862</v>
      </c>
      <c r="J22" s="3170" t="s">
        <v>3783</v>
      </c>
      <c r="K22" s="3177"/>
      <c r="L22" s="3178">
        <v>7.47</v>
      </c>
      <c r="M22" s="3178">
        <v>3.74</v>
      </c>
      <c r="N22" s="3178"/>
      <c r="O22" s="3178">
        <f t="shared" si="8"/>
        <v>11.21</v>
      </c>
      <c r="P22" s="3174">
        <v>10000</v>
      </c>
      <c r="Q22" s="3174">
        <v>5000</v>
      </c>
      <c r="R22" s="3174"/>
      <c r="S22" s="3174">
        <f t="shared" si="9"/>
        <v>15000</v>
      </c>
      <c r="T22" s="3174">
        <v>20000</v>
      </c>
      <c r="U22" s="3174">
        <v>10000</v>
      </c>
      <c r="V22" s="3174">
        <v>0</v>
      </c>
      <c r="W22" s="3174">
        <f t="shared" si="10"/>
        <v>30000</v>
      </c>
      <c r="X22" s="3181">
        <v>45189</v>
      </c>
      <c r="Y22" s="3181">
        <v>45900</v>
      </c>
      <c r="Z22" s="3170"/>
      <c r="AA22" s="3182">
        <v>2</v>
      </c>
      <c r="AB22" s="3170" t="s">
        <v>3860</v>
      </c>
      <c r="AC22" s="3170"/>
    </row>
    <row r="23" spans="1:29" s="3189" customFormat="1" ht="27" customHeight="1">
      <c r="B23" s="3170">
        <v>21</v>
      </c>
      <c r="C23" s="3171" t="s">
        <v>3863</v>
      </c>
      <c r="D23" s="3170" t="s">
        <v>3778</v>
      </c>
      <c r="E23" s="3191" t="s">
        <v>3779</v>
      </c>
      <c r="F23" s="3171" t="s">
        <v>3864</v>
      </c>
      <c r="G23" s="3192">
        <v>133</v>
      </c>
      <c r="H23" s="3192" t="s">
        <v>3865</v>
      </c>
      <c r="I23" s="3191" t="s">
        <v>3866</v>
      </c>
      <c r="J23" s="3170" t="s">
        <v>3783</v>
      </c>
      <c r="K23" s="3177"/>
      <c r="L23" s="3178">
        <v>3.38</v>
      </c>
      <c r="M23" s="3178"/>
      <c r="N23" s="3178"/>
      <c r="O23" s="3178">
        <f t="shared" si="8"/>
        <v>3.38</v>
      </c>
      <c r="P23" s="3174">
        <v>8000</v>
      </c>
      <c r="Q23" s="3174"/>
      <c r="R23" s="3174"/>
      <c r="S23" s="3174">
        <f t="shared" si="9"/>
        <v>8000</v>
      </c>
      <c r="T23" s="3174">
        <v>24000</v>
      </c>
      <c r="U23" s="3174">
        <v>0</v>
      </c>
      <c r="V23" s="3174">
        <v>0</v>
      </c>
      <c r="W23" s="3174">
        <f t="shared" si="10"/>
        <v>24000</v>
      </c>
      <c r="X23" s="3181">
        <v>45189</v>
      </c>
      <c r="Y23" s="3181">
        <v>45382</v>
      </c>
      <c r="Z23" s="3170"/>
      <c r="AA23" s="3182">
        <v>3</v>
      </c>
      <c r="AB23" s="3170" t="s">
        <v>3867</v>
      </c>
      <c r="AC23" s="3170"/>
    </row>
    <row r="24" spans="1:29" s="3189" customFormat="1" ht="27" customHeight="1">
      <c r="B24" s="3170">
        <v>22</v>
      </c>
      <c r="C24" s="3171" t="s">
        <v>3868</v>
      </c>
      <c r="D24" s="3170" t="s">
        <v>3778</v>
      </c>
      <c r="E24" s="3191" t="s">
        <v>3779</v>
      </c>
      <c r="F24" s="3171" t="s">
        <v>3869</v>
      </c>
      <c r="G24" s="3192">
        <v>121</v>
      </c>
      <c r="H24" s="3192" t="s">
        <v>3865</v>
      </c>
      <c r="I24" s="3191" t="s">
        <v>3870</v>
      </c>
      <c r="J24" s="3170" t="s">
        <v>3783</v>
      </c>
      <c r="K24" s="3177"/>
      <c r="L24" s="3178">
        <v>2.17</v>
      </c>
      <c r="M24" s="3178"/>
      <c r="N24" s="3178"/>
      <c r="O24" s="3178">
        <f t="shared" si="8"/>
        <v>2.17</v>
      </c>
      <c r="P24" s="3174">
        <v>8000</v>
      </c>
      <c r="Q24" s="3174"/>
      <c r="R24" s="3174"/>
      <c r="S24" s="3174">
        <f t="shared" si="9"/>
        <v>8000</v>
      </c>
      <c r="T24" s="3178">
        <v>8000</v>
      </c>
      <c r="U24" s="3174">
        <v>0</v>
      </c>
      <c r="V24" s="3174">
        <v>0</v>
      </c>
      <c r="W24" s="3174">
        <f t="shared" si="10"/>
        <v>8000</v>
      </c>
      <c r="X24" s="3181">
        <v>45189</v>
      </c>
      <c r="Y24" s="3181">
        <v>45382</v>
      </c>
      <c r="Z24" s="3170"/>
      <c r="AA24" s="3182">
        <v>1</v>
      </c>
      <c r="AB24" s="3170" t="s">
        <v>3855</v>
      </c>
      <c r="AC24" s="3170"/>
    </row>
    <row r="25" spans="1:29" s="3189" customFormat="1" ht="27" customHeight="1">
      <c r="B25" s="3170">
        <v>23</v>
      </c>
      <c r="C25" s="3171" t="s">
        <v>3871</v>
      </c>
      <c r="D25" s="3170" t="s">
        <v>3778</v>
      </c>
      <c r="E25" s="3191" t="s">
        <v>3779</v>
      </c>
      <c r="F25" s="3171" t="s">
        <v>3872</v>
      </c>
      <c r="G25" s="3192">
        <v>100</v>
      </c>
      <c r="H25" s="3192" t="s">
        <v>3873</v>
      </c>
      <c r="I25" s="3191" t="s">
        <v>3874</v>
      </c>
      <c r="J25" s="3170" t="s">
        <v>3783</v>
      </c>
      <c r="K25" s="3177"/>
      <c r="L25" s="3178">
        <v>6</v>
      </c>
      <c r="M25" s="3178">
        <v>3</v>
      </c>
      <c r="N25" s="3178"/>
      <c r="O25" s="3178">
        <f t="shared" si="8"/>
        <v>9</v>
      </c>
      <c r="P25" s="3174">
        <v>18250</v>
      </c>
      <c r="Q25" s="3174">
        <v>9125</v>
      </c>
      <c r="R25" s="3174"/>
      <c r="S25" s="3174">
        <f t="shared" si="9"/>
        <v>27375</v>
      </c>
      <c r="T25" s="3178">
        <v>73000</v>
      </c>
      <c r="U25" s="3174">
        <v>36500</v>
      </c>
      <c r="V25" s="3174">
        <v>0</v>
      </c>
      <c r="W25" s="3174">
        <f t="shared" si="10"/>
        <v>109500</v>
      </c>
      <c r="X25" s="3181">
        <v>45170</v>
      </c>
      <c r="Y25" s="3181">
        <v>46630</v>
      </c>
      <c r="Z25" s="3170"/>
      <c r="AA25" s="3182">
        <v>1</v>
      </c>
      <c r="AB25" s="3170" t="s">
        <v>3875</v>
      </c>
      <c r="AC25" s="3170"/>
    </row>
    <row r="26" spans="1:29" s="3189" customFormat="1" ht="27" customHeight="1">
      <c r="B26" s="3170">
        <v>24</v>
      </c>
      <c r="C26" s="3171" t="s">
        <v>3876</v>
      </c>
      <c r="D26" s="3170" t="s">
        <v>3778</v>
      </c>
      <c r="E26" s="3191" t="s">
        <v>3779</v>
      </c>
      <c r="F26" s="3171" t="s">
        <v>3847</v>
      </c>
      <c r="G26" s="3192">
        <v>114</v>
      </c>
      <c r="H26" s="3192" t="s">
        <v>3877</v>
      </c>
      <c r="I26" s="3191" t="s">
        <v>3878</v>
      </c>
      <c r="J26" s="3170" t="s">
        <v>3783</v>
      </c>
      <c r="K26" s="3177"/>
      <c r="L26" s="3178">
        <v>2.0187454938716698</v>
      </c>
      <c r="M26" s="3178">
        <v>0.86517664023071394</v>
      </c>
      <c r="N26" s="3178"/>
      <c r="O26" s="3178">
        <f t="shared" si="8"/>
        <v>2.8839221341023835</v>
      </c>
      <c r="P26" s="3174">
        <v>7000</v>
      </c>
      <c r="Q26" s="3174">
        <v>3000</v>
      </c>
      <c r="R26" s="3174"/>
      <c r="S26" s="3174">
        <f t="shared" si="9"/>
        <v>10000</v>
      </c>
      <c r="T26" s="3174">
        <v>17300</v>
      </c>
      <c r="U26" s="3174">
        <v>6000</v>
      </c>
      <c r="V26" s="3174">
        <v>0</v>
      </c>
      <c r="W26" s="3174">
        <f t="shared" si="10"/>
        <v>23300</v>
      </c>
      <c r="X26" s="3181">
        <v>45197</v>
      </c>
      <c r="Y26" s="3181">
        <v>45361</v>
      </c>
      <c r="Z26" s="3170"/>
      <c r="AA26" s="3182">
        <v>2</v>
      </c>
      <c r="AB26" s="3170" t="s">
        <v>3879</v>
      </c>
      <c r="AC26" s="3170"/>
    </row>
    <row r="27" spans="1:29" s="3189" customFormat="1" ht="27" customHeight="1">
      <c r="B27" s="3170">
        <v>25</v>
      </c>
      <c r="C27" s="3171" t="s">
        <v>3880</v>
      </c>
      <c r="D27" s="3170" t="s">
        <v>3778</v>
      </c>
      <c r="E27" s="3191" t="s">
        <v>3857</v>
      </c>
      <c r="F27" s="3171" t="s">
        <v>3881</v>
      </c>
      <c r="G27" s="3192">
        <v>290</v>
      </c>
      <c r="H27" s="3192" t="s">
        <v>3882</v>
      </c>
      <c r="I27" s="3191" t="s">
        <v>3883</v>
      </c>
      <c r="J27" s="3170" t="s">
        <v>3884</v>
      </c>
      <c r="K27" s="3177">
        <v>0.06</v>
      </c>
      <c r="L27" s="3178"/>
      <c r="M27" s="3178"/>
      <c r="N27" s="3178">
        <v>0.06</v>
      </c>
      <c r="O27" s="3178"/>
      <c r="P27" s="3174"/>
      <c r="Q27" s="3193"/>
      <c r="R27" s="3178">
        <v>2340.33</v>
      </c>
      <c r="S27" s="3174"/>
      <c r="T27" s="3178">
        <v>0</v>
      </c>
      <c r="U27" s="3174">
        <v>0</v>
      </c>
      <c r="V27" s="3178">
        <f>R27*AA27</f>
        <v>7020.99</v>
      </c>
      <c r="W27" s="3174"/>
      <c r="X27" s="3181">
        <v>45158</v>
      </c>
      <c r="Y27" s="3181">
        <v>45382</v>
      </c>
      <c r="Z27" s="3170"/>
      <c r="AA27" s="3182">
        <v>3</v>
      </c>
      <c r="AB27" s="3170" t="s">
        <v>3885</v>
      </c>
      <c r="AC27" s="3170"/>
    </row>
    <row r="28" spans="1:29" s="3189" customFormat="1" ht="27" customHeight="1">
      <c r="B28" s="3170">
        <v>26</v>
      </c>
      <c r="C28" s="3171" t="s">
        <v>3886</v>
      </c>
      <c r="D28" s="3170" t="s">
        <v>3778</v>
      </c>
      <c r="E28" s="3191" t="s">
        <v>3779</v>
      </c>
      <c r="F28" s="3171" t="s">
        <v>3887</v>
      </c>
      <c r="G28" s="3192">
        <v>244</v>
      </c>
      <c r="H28" s="3192" t="s">
        <v>3865</v>
      </c>
      <c r="I28" s="3191" t="s">
        <v>3888</v>
      </c>
      <c r="J28" s="3170" t="s">
        <v>3884</v>
      </c>
      <c r="K28" s="3177">
        <v>0.1</v>
      </c>
      <c r="L28" s="3178"/>
      <c r="M28" s="3178"/>
      <c r="N28" s="3178"/>
      <c r="O28" s="3178"/>
      <c r="P28" s="3178">
        <v>25027.3</v>
      </c>
      <c r="Q28" s="3174"/>
      <c r="R28" s="3174"/>
      <c r="S28" s="3174"/>
      <c r="T28" s="3174">
        <f>P28*AA28</f>
        <v>75081.899999999994</v>
      </c>
      <c r="U28" s="3174">
        <v>0</v>
      </c>
      <c r="V28" s="3174">
        <v>0</v>
      </c>
      <c r="W28" s="3174"/>
      <c r="X28" s="3181">
        <v>45158</v>
      </c>
      <c r="Y28" s="3181">
        <v>45382</v>
      </c>
      <c r="Z28" s="3170"/>
      <c r="AA28" s="3182">
        <v>3</v>
      </c>
      <c r="AB28" s="3170" t="s">
        <v>3885</v>
      </c>
      <c r="AC28" s="3170"/>
    </row>
    <row r="29" spans="1:29" s="3189" customFormat="1" ht="27" customHeight="1">
      <c r="B29" s="3170">
        <v>27</v>
      </c>
      <c r="C29" s="3171" t="s">
        <v>3889</v>
      </c>
      <c r="D29" s="3170" t="s">
        <v>3778</v>
      </c>
      <c r="E29" s="3191" t="s">
        <v>3779</v>
      </c>
      <c r="F29" s="3171" t="s">
        <v>3890</v>
      </c>
      <c r="G29" s="3192">
        <v>89</v>
      </c>
      <c r="H29" s="3192" t="s">
        <v>3891</v>
      </c>
      <c r="I29" s="3191" t="s">
        <v>3892</v>
      </c>
      <c r="J29" s="3170" t="s">
        <v>3884</v>
      </c>
      <c r="K29" s="3177">
        <v>0.08</v>
      </c>
      <c r="L29" s="3178">
        <v>0.08</v>
      </c>
      <c r="M29" s="3178"/>
      <c r="N29" s="3178"/>
      <c r="O29" s="3178"/>
      <c r="P29" s="3174">
        <v>1471.68</v>
      </c>
      <c r="Q29" s="3174"/>
      <c r="R29" s="3174"/>
      <c r="S29" s="3174"/>
      <c r="T29" s="3174">
        <v>2943.36</v>
      </c>
      <c r="U29" s="3174">
        <v>0</v>
      </c>
      <c r="V29" s="3174">
        <v>0</v>
      </c>
      <c r="W29" s="3174"/>
      <c r="X29" s="3181">
        <v>45275</v>
      </c>
      <c r="Y29" s="3181">
        <v>45359</v>
      </c>
      <c r="Z29" s="3170"/>
      <c r="AA29" s="3182">
        <v>2</v>
      </c>
      <c r="AB29" s="3170" t="s">
        <v>3885</v>
      </c>
      <c r="AC29" s="3170"/>
    </row>
    <row r="30" spans="1:29" s="3183" customFormat="1" ht="34.5" customHeight="1">
      <c r="A30" s="3170">
        <v>219</v>
      </c>
      <c r="B30" s="3170">
        <v>28</v>
      </c>
      <c r="C30" s="3171" t="s">
        <v>3893</v>
      </c>
      <c r="D30" s="3172" t="s">
        <v>3778</v>
      </c>
      <c r="E30" s="3173" t="s">
        <v>3779</v>
      </c>
      <c r="F30" s="3171" t="s">
        <v>3894</v>
      </c>
      <c r="G30" s="3174">
        <v>139</v>
      </c>
      <c r="H30" s="3175" t="s">
        <v>3865</v>
      </c>
      <c r="I30" s="3173" t="s">
        <v>3895</v>
      </c>
      <c r="J30" s="3176" t="s">
        <v>3896</v>
      </c>
      <c r="K30" s="3177">
        <v>0.1</v>
      </c>
      <c r="L30" s="3194"/>
      <c r="M30" s="3179">
        <v>1.5</v>
      </c>
      <c r="N30" s="3180"/>
      <c r="O30" s="3180">
        <f t="shared" ref="O30:O38" si="11">SUM(L30:N30)</f>
        <v>1.5</v>
      </c>
      <c r="P30" s="3195">
        <v>2488.6999999999998</v>
      </c>
      <c r="Q30" s="3180">
        <v>6341.88</v>
      </c>
      <c r="R30" s="3180"/>
      <c r="S30" s="3180"/>
      <c r="T30" s="3180"/>
      <c r="U30" s="3180">
        <f t="shared" ref="U30:U37" si="12">M30*G30*365</f>
        <v>76102.5</v>
      </c>
      <c r="V30" s="3180">
        <f t="shared" ref="V30:V39" si="13">N30*G30*365</f>
        <v>0</v>
      </c>
      <c r="W30" s="3180">
        <f t="shared" ref="W30:W39" si="14">SUM(T30:V30)</f>
        <v>76102.5</v>
      </c>
      <c r="X30" s="3181">
        <v>45153</v>
      </c>
      <c r="Y30" s="3181">
        <v>45869</v>
      </c>
      <c r="Z30" s="3181"/>
      <c r="AA30" s="3182">
        <v>12</v>
      </c>
      <c r="AB30" s="3171" t="s">
        <v>3897</v>
      </c>
    </row>
    <row r="31" spans="1:29" s="3183" customFormat="1" ht="34.5" customHeight="1">
      <c r="A31" s="3170">
        <v>205</v>
      </c>
      <c r="B31" s="3170">
        <v>29</v>
      </c>
      <c r="C31" s="3171" t="s">
        <v>3898</v>
      </c>
      <c r="D31" s="3172" t="s">
        <v>3778</v>
      </c>
      <c r="E31" s="3173" t="s">
        <v>3779</v>
      </c>
      <c r="F31" s="3171" t="s">
        <v>3899</v>
      </c>
      <c r="G31" s="3174">
        <v>216</v>
      </c>
      <c r="H31" s="3175" t="s">
        <v>3781</v>
      </c>
      <c r="I31" s="3173" t="s">
        <v>3900</v>
      </c>
      <c r="J31" s="3176" t="s">
        <v>3896</v>
      </c>
      <c r="K31" s="3177">
        <v>0.08</v>
      </c>
      <c r="L31" s="3178"/>
      <c r="M31" s="3179">
        <v>1</v>
      </c>
      <c r="N31" s="3180"/>
      <c r="O31" s="3180">
        <f t="shared" si="11"/>
        <v>1</v>
      </c>
      <c r="P31" s="3195">
        <v>9351.93</v>
      </c>
      <c r="Q31" s="3180">
        <f>M31*G31*365/12</f>
        <v>6570</v>
      </c>
      <c r="R31" s="3180"/>
      <c r="S31" s="3180"/>
      <c r="T31" s="3180"/>
      <c r="U31" s="3180">
        <f t="shared" si="12"/>
        <v>78840</v>
      </c>
      <c r="V31" s="3180">
        <f t="shared" si="13"/>
        <v>0</v>
      </c>
      <c r="W31" s="3180">
        <f t="shared" si="14"/>
        <v>78840</v>
      </c>
      <c r="X31" s="3181">
        <v>45122</v>
      </c>
      <c r="Y31" s="3181">
        <v>46582</v>
      </c>
      <c r="Z31" s="3181"/>
      <c r="AA31" s="3182">
        <v>12</v>
      </c>
      <c r="AB31" s="3171" t="s">
        <v>3901</v>
      </c>
    </row>
    <row r="32" spans="1:29" s="3183" customFormat="1" ht="34.5" customHeight="1">
      <c r="A32" s="3170">
        <v>228</v>
      </c>
      <c r="B32" s="3170">
        <v>30</v>
      </c>
      <c r="C32" s="3171" t="s">
        <v>3902</v>
      </c>
      <c r="D32" s="3172" t="s">
        <v>3778</v>
      </c>
      <c r="E32" s="3173" t="s">
        <v>3779</v>
      </c>
      <c r="F32" s="3171" t="s">
        <v>3894</v>
      </c>
      <c r="G32" s="3174">
        <v>145</v>
      </c>
      <c r="H32" s="3175" t="s">
        <v>3903</v>
      </c>
      <c r="I32" s="3173" t="s">
        <v>3904</v>
      </c>
      <c r="J32" s="3176" t="s">
        <v>3844</v>
      </c>
      <c r="K32" s="3177">
        <v>0.1</v>
      </c>
      <c r="L32" s="3179"/>
      <c r="M32" s="3179">
        <v>3</v>
      </c>
      <c r="N32" s="3180"/>
      <c r="O32" s="3180">
        <f t="shared" ref="O32" si="15">SUM(L32:N32)</f>
        <v>3</v>
      </c>
      <c r="P32" s="3195">
        <v>8295.81</v>
      </c>
      <c r="Q32" s="3180">
        <f>M32*G32*365/12</f>
        <v>13231.25</v>
      </c>
      <c r="R32" s="3180"/>
      <c r="S32" s="3179"/>
      <c r="T32" s="3180"/>
      <c r="U32" s="3180">
        <f t="shared" si="12"/>
        <v>158775</v>
      </c>
      <c r="V32" s="3180">
        <f t="shared" si="13"/>
        <v>0</v>
      </c>
      <c r="W32" s="3180">
        <f t="shared" si="14"/>
        <v>158775</v>
      </c>
      <c r="X32" s="3181">
        <v>45122</v>
      </c>
      <c r="Y32" s="3181">
        <v>47313</v>
      </c>
      <c r="Z32" s="3181"/>
      <c r="AA32" s="3182">
        <v>12</v>
      </c>
      <c r="AB32" s="3171" t="s">
        <v>3905</v>
      </c>
    </row>
    <row r="33" spans="1:16348" s="3183" customFormat="1" ht="34.5" customHeight="1">
      <c r="A33" s="3170">
        <v>47</v>
      </c>
      <c r="B33" s="3170">
        <v>31</v>
      </c>
      <c r="C33" s="3171" t="s">
        <v>3906</v>
      </c>
      <c r="D33" s="3172" t="s">
        <v>3778</v>
      </c>
      <c r="E33" s="3173" t="s">
        <v>3779</v>
      </c>
      <c r="F33" s="3171" t="s">
        <v>3907</v>
      </c>
      <c r="G33" s="3174">
        <v>178</v>
      </c>
      <c r="H33" s="3176" t="s">
        <v>3908</v>
      </c>
      <c r="I33" s="3171" t="s">
        <v>3909</v>
      </c>
      <c r="J33" s="3176" t="s">
        <v>3896</v>
      </c>
      <c r="K33" s="3177">
        <v>0.08</v>
      </c>
      <c r="L33" s="3196"/>
      <c r="M33" s="3179">
        <v>2.95890410958904</v>
      </c>
      <c r="N33" s="3180"/>
      <c r="O33" s="3180">
        <f t="shared" si="11"/>
        <v>2.95890410958904</v>
      </c>
      <c r="P33" s="3196">
        <v>7614.68</v>
      </c>
      <c r="Q33" s="3180">
        <v>16020</v>
      </c>
      <c r="R33" s="3180"/>
      <c r="S33" s="3180"/>
      <c r="T33" s="3197"/>
      <c r="U33" s="3180">
        <f t="shared" si="12"/>
        <v>192239.99999999994</v>
      </c>
      <c r="V33" s="3180">
        <f t="shared" si="13"/>
        <v>0</v>
      </c>
      <c r="W33" s="3180">
        <f t="shared" si="14"/>
        <v>192239.99999999994</v>
      </c>
      <c r="X33" s="3181">
        <v>44805</v>
      </c>
      <c r="Y33" s="3181">
        <v>49187</v>
      </c>
      <c r="Z33" s="3181"/>
      <c r="AA33" s="3182">
        <v>12</v>
      </c>
      <c r="AB33" s="3171" t="s">
        <v>3910</v>
      </c>
    </row>
    <row r="34" spans="1:16348" s="3183" customFormat="1" ht="34.5" customHeight="1">
      <c r="A34" s="3170">
        <v>239</v>
      </c>
      <c r="B34" s="3170">
        <v>32</v>
      </c>
      <c r="C34" s="3171" t="s">
        <v>3911</v>
      </c>
      <c r="D34" s="3172" t="s">
        <v>3778</v>
      </c>
      <c r="E34" s="3173" t="s">
        <v>3779</v>
      </c>
      <c r="F34" s="3171" t="s">
        <v>3912</v>
      </c>
      <c r="G34" s="3174">
        <v>340</v>
      </c>
      <c r="H34" s="3175" t="s">
        <v>3913</v>
      </c>
      <c r="I34" s="3173" t="s">
        <v>3914</v>
      </c>
      <c r="J34" s="3176" t="s">
        <v>3884</v>
      </c>
      <c r="K34" s="3177">
        <v>0.08</v>
      </c>
      <c r="L34" s="3178"/>
      <c r="M34" s="3179"/>
      <c r="N34" s="3180"/>
      <c r="O34" s="3180">
        <f t="shared" si="11"/>
        <v>0</v>
      </c>
      <c r="P34" s="3196"/>
      <c r="Q34" s="3180">
        <f>M34*G34*365/12</f>
        <v>0</v>
      </c>
      <c r="R34" s="3180"/>
      <c r="S34" s="3180"/>
      <c r="T34" s="3180"/>
      <c r="U34" s="3180">
        <f t="shared" si="12"/>
        <v>0</v>
      </c>
      <c r="V34" s="3180">
        <f t="shared" si="13"/>
        <v>0</v>
      </c>
      <c r="W34" s="3180">
        <f t="shared" si="14"/>
        <v>0</v>
      </c>
      <c r="X34" s="3181">
        <v>45163</v>
      </c>
      <c r="Y34" s="3181">
        <v>46265</v>
      </c>
      <c r="Z34" s="3181"/>
      <c r="AA34" s="3182">
        <v>12</v>
      </c>
      <c r="AB34" s="3171" t="s">
        <v>3915</v>
      </c>
    </row>
    <row r="35" spans="1:16348" s="3183" customFormat="1" ht="34.5" customHeight="1">
      <c r="A35" s="3170">
        <v>189</v>
      </c>
      <c r="B35" s="3170">
        <v>33</v>
      </c>
      <c r="C35" s="3171" t="s">
        <v>3916</v>
      </c>
      <c r="D35" s="3172" t="s">
        <v>3778</v>
      </c>
      <c r="E35" s="3173" t="s">
        <v>3779</v>
      </c>
      <c r="F35" s="3171" t="s">
        <v>3917</v>
      </c>
      <c r="G35" s="3174">
        <v>180</v>
      </c>
      <c r="H35" s="3175" t="s">
        <v>3865</v>
      </c>
      <c r="I35" s="3173" t="s">
        <v>3918</v>
      </c>
      <c r="J35" s="3176" t="s">
        <v>3884</v>
      </c>
      <c r="K35" s="3177">
        <v>0.12</v>
      </c>
      <c r="L35" s="3196"/>
      <c r="M35" s="3179"/>
      <c r="N35" s="3180"/>
      <c r="O35" s="3180">
        <f t="shared" si="11"/>
        <v>0</v>
      </c>
      <c r="P35" s="3195">
        <v>5918.4</v>
      </c>
      <c r="Q35" s="3180"/>
      <c r="R35" s="3180"/>
      <c r="S35" s="3180"/>
      <c r="T35" s="3180"/>
      <c r="U35" s="3180">
        <f t="shared" si="12"/>
        <v>0</v>
      </c>
      <c r="V35" s="3180">
        <f t="shared" si="13"/>
        <v>0</v>
      </c>
      <c r="W35" s="3180">
        <f t="shared" si="14"/>
        <v>0</v>
      </c>
      <c r="X35" s="3181">
        <v>45139</v>
      </c>
      <c r="Y35" s="3181">
        <v>46234</v>
      </c>
      <c r="Z35" s="3181"/>
      <c r="AA35" s="3182">
        <v>12</v>
      </c>
      <c r="AB35" s="3171" t="s">
        <v>3919</v>
      </c>
    </row>
    <row r="36" spans="1:16348" s="3183" customFormat="1" ht="34.5" customHeight="1">
      <c r="A36" s="3170">
        <v>259</v>
      </c>
      <c r="B36" s="3170">
        <v>34</v>
      </c>
      <c r="C36" s="3171" t="s">
        <v>3920</v>
      </c>
      <c r="D36" s="3172" t="s">
        <v>3778</v>
      </c>
      <c r="E36" s="3173" t="s">
        <v>3779</v>
      </c>
      <c r="F36" s="3171" t="s">
        <v>3921</v>
      </c>
      <c r="G36" s="3174">
        <v>175</v>
      </c>
      <c r="H36" s="3175" t="s">
        <v>3877</v>
      </c>
      <c r="I36" s="3173" t="s">
        <v>3922</v>
      </c>
      <c r="J36" s="3176" t="s">
        <v>3896</v>
      </c>
      <c r="K36" s="3177">
        <v>0.1</v>
      </c>
      <c r="L36" s="3196"/>
      <c r="M36" s="3179">
        <v>2</v>
      </c>
      <c r="N36" s="3180"/>
      <c r="O36" s="3180">
        <f t="shared" si="11"/>
        <v>2</v>
      </c>
      <c r="P36" s="3180">
        <v>3669.4</v>
      </c>
      <c r="Q36" s="3180">
        <f>M36*G36*365/12</f>
        <v>10645.833333333334</v>
      </c>
      <c r="R36" s="3180"/>
      <c r="S36" s="3179"/>
      <c r="T36" s="3180"/>
      <c r="U36" s="3180">
        <f t="shared" si="12"/>
        <v>127750</v>
      </c>
      <c r="V36" s="3180">
        <f t="shared" si="13"/>
        <v>0</v>
      </c>
      <c r="W36" s="3180">
        <f t="shared" si="14"/>
        <v>127750</v>
      </c>
      <c r="X36" s="3181">
        <v>45166</v>
      </c>
      <c r="Y36" s="3181">
        <v>45869</v>
      </c>
      <c r="Z36" s="3181"/>
      <c r="AA36" s="3182">
        <v>12</v>
      </c>
      <c r="AB36" s="3171" t="s">
        <v>3923</v>
      </c>
    </row>
    <row r="37" spans="1:16348" s="3183" customFormat="1" ht="34.5" customHeight="1">
      <c r="A37" s="3170">
        <v>262</v>
      </c>
      <c r="B37" s="3170">
        <v>35</v>
      </c>
      <c r="C37" s="3171" t="s">
        <v>3924</v>
      </c>
      <c r="D37" s="3172" t="s">
        <v>3778</v>
      </c>
      <c r="E37" s="3173" t="s">
        <v>3857</v>
      </c>
      <c r="F37" s="3171" t="s">
        <v>3925</v>
      </c>
      <c r="G37" s="3174">
        <v>517</v>
      </c>
      <c r="H37" s="3175" t="s">
        <v>3877</v>
      </c>
      <c r="I37" s="3173" t="s">
        <v>3926</v>
      </c>
      <c r="J37" s="3176" t="s">
        <v>3884</v>
      </c>
      <c r="K37" s="3177">
        <v>7.0000000000000007E-2</v>
      </c>
      <c r="L37" s="3179"/>
      <c r="M37" s="3198"/>
      <c r="N37" s="3195"/>
      <c r="O37" s="3180">
        <f t="shared" si="11"/>
        <v>0</v>
      </c>
      <c r="P37" s="3180"/>
      <c r="Q37" s="3180"/>
      <c r="R37" s="3195">
        <v>14667.12</v>
      </c>
      <c r="S37" s="3179"/>
      <c r="T37" s="3180"/>
      <c r="U37" s="3180">
        <f t="shared" si="12"/>
        <v>0</v>
      </c>
      <c r="V37" s="3180">
        <f>R37*AA37</f>
        <v>132004.08000000002</v>
      </c>
      <c r="W37" s="3180">
        <f t="shared" si="14"/>
        <v>132004.08000000002</v>
      </c>
      <c r="X37" s="3181">
        <v>45189</v>
      </c>
      <c r="Y37" s="3181">
        <v>45565</v>
      </c>
      <c r="Z37" s="3181"/>
      <c r="AA37" s="3182">
        <v>9</v>
      </c>
      <c r="AB37" s="3171" t="s">
        <v>3919</v>
      </c>
    </row>
    <row r="38" spans="1:16348" s="3183" customFormat="1" ht="34.5" customHeight="1">
      <c r="A38" s="3170">
        <v>275</v>
      </c>
      <c r="B38" s="3170">
        <v>36</v>
      </c>
      <c r="C38" s="3171" t="s">
        <v>3927</v>
      </c>
      <c r="D38" s="3172" t="s">
        <v>3778</v>
      </c>
      <c r="E38" s="3173" t="s">
        <v>3779</v>
      </c>
      <c r="F38" s="3171" t="s">
        <v>3928</v>
      </c>
      <c r="G38" s="3174">
        <v>157</v>
      </c>
      <c r="H38" s="3175" t="s">
        <v>3929</v>
      </c>
      <c r="I38" s="3173" t="s">
        <v>3930</v>
      </c>
      <c r="J38" s="3176" t="s">
        <v>3896</v>
      </c>
      <c r="K38" s="3177">
        <v>0.13</v>
      </c>
      <c r="L38" s="3196"/>
      <c r="M38" s="3179">
        <v>1.5</v>
      </c>
      <c r="N38" s="3180"/>
      <c r="O38" s="3180">
        <f t="shared" si="11"/>
        <v>1.5</v>
      </c>
      <c r="P38" s="3180">
        <v>4837.6899999999996</v>
      </c>
      <c r="Q38" s="3180">
        <v>7163.13</v>
      </c>
      <c r="R38" s="3180"/>
      <c r="S38" s="3179"/>
      <c r="T38" s="3180"/>
      <c r="U38" s="3180">
        <f>Q38*AA38</f>
        <v>85957.56</v>
      </c>
      <c r="V38" s="3180">
        <f t="shared" si="13"/>
        <v>0</v>
      </c>
      <c r="W38" s="3180">
        <f t="shared" si="14"/>
        <v>85957.56</v>
      </c>
      <c r="X38" s="3181">
        <v>45170</v>
      </c>
      <c r="Y38" s="3181">
        <v>46265</v>
      </c>
      <c r="Z38" s="3181"/>
      <c r="AA38" s="3182">
        <v>12</v>
      </c>
      <c r="AB38" s="3171" t="s">
        <v>3897</v>
      </c>
    </row>
    <row r="39" spans="1:16348" s="3183" customFormat="1" ht="34.5" customHeight="1">
      <c r="A39" s="3170">
        <v>280</v>
      </c>
      <c r="B39" s="3170">
        <v>37</v>
      </c>
      <c r="C39" s="3171" t="s">
        <v>3931</v>
      </c>
      <c r="D39" s="3172" t="s">
        <v>3778</v>
      </c>
      <c r="E39" s="3173" t="s">
        <v>3779</v>
      </c>
      <c r="F39" s="3171" t="s">
        <v>3921</v>
      </c>
      <c r="G39" s="3174">
        <v>141</v>
      </c>
      <c r="H39" s="3175" t="s">
        <v>3877</v>
      </c>
      <c r="I39" s="3173" t="s">
        <v>3932</v>
      </c>
      <c r="J39" s="3176" t="s">
        <v>3896</v>
      </c>
      <c r="K39" s="3177">
        <v>0.12</v>
      </c>
      <c r="L39" s="3196"/>
      <c r="M39" s="3179">
        <v>1</v>
      </c>
      <c r="N39" s="3180"/>
      <c r="O39" s="3180">
        <f t="shared" ref="O39" si="16">SUM(L39:N39)</f>
        <v>1</v>
      </c>
      <c r="P39" s="3180">
        <v>4800.54</v>
      </c>
      <c r="Q39" s="3180">
        <f>M39*G39*365/12</f>
        <v>4288.75</v>
      </c>
      <c r="R39" s="3180"/>
      <c r="S39" s="3179"/>
      <c r="T39" s="3180"/>
      <c r="U39" s="3180">
        <f t="shared" ref="U39" si="17">M39*G39*365</f>
        <v>51465</v>
      </c>
      <c r="V39" s="3180">
        <f t="shared" si="13"/>
        <v>0</v>
      </c>
      <c r="W39" s="3180">
        <f t="shared" si="14"/>
        <v>51465</v>
      </c>
      <c r="X39" s="3181">
        <v>45184</v>
      </c>
      <c r="Y39" s="3181">
        <v>45930</v>
      </c>
      <c r="Z39" s="3181"/>
      <c r="AA39" s="3182">
        <v>12</v>
      </c>
      <c r="AB39" s="3171" t="s">
        <v>3901</v>
      </c>
    </row>
    <row r="40" spans="1:16348" s="3189" customFormat="1" ht="27" customHeight="1">
      <c r="A40" s="3199"/>
      <c r="B40" s="3170">
        <v>38</v>
      </c>
      <c r="C40" s="3171" t="s">
        <v>3933</v>
      </c>
      <c r="D40" s="3170" t="s">
        <v>3778</v>
      </c>
      <c r="E40" s="3191" t="s">
        <v>3857</v>
      </c>
      <c r="F40" s="3171" t="s">
        <v>3934</v>
      </c>
      <c r="G40" s="3192">
        <v>121</v>
      </c>
      <c r="H40" s="3192" t="s">
        <v>3781</v>
      </c>
      <c r="I40" s="3191" t="s">
        <v>3935</v>
      </c>
      <c r="J40" s="3170" t="s">
        <v>3884</v>
      </c>
      <c r="K40" s="3177">
        <v>7.0000000000000007E-2</v>
      </c>
      <c r="L40" s="3178"/>
      <c r="M40" s="3178"/>
      <c r="N40" s="3178"/>
      <c r="O40" s="3178">
        <f t="shared" ref="O40:O42" si="18">SUM(L40:N40)</f>
        <v>0</v>
      </c>
      <c r="P40" s="3174"/>
      <c r="Q40" s="3174"/>
      <c r="R40" s="3174"/>
      <c r="S40" s="3174"/>
      <c r="T40" s="3174"/>
      <c r="U40" s="3174">
        <v>0</v>
      </c>
      <c r="V40" s="3174">
        <v>0</v>
      </c>
      <c r="W40" s="3174">
        <f t="shared" ref="W40:W42" si="19">SUM(T40:V40)</f>
        <v>0</v>
      </c>
      <c r="X40" s="3181">
        <v>45323</v>
      </c>
      <c r="Y40" s="3181">
        <v>45412</v>
      </c>
      <c r="Z40" s="3170"/>
      <c r="AA40" s="3182">
        <v>3</v>
      </c>
      <c r="AB40" s="3170"/>
      <c r="AC40" s="3170"/>
    </row>
    <row r="41" spans="1:16348" s="3189" customFormat="1" ht="27" customHeight="1">
      <c r="A41" s="3199"/>
      <c r="B41" s="3170">
        <v>39</v>
      </c>
      <c r="C41" s="3171" t="s">
        <v>3936</v>
      </c>
      <c r="D41" s="3170" t="s">
        <v>3778</v>
      </c>
      <c r="E41" s="3191" t="s">
        <v>3779</v>
      </c>
      <c r="F41" s="3171" t="s">
        <v>3937</v>
      </c>
      <c r="G41" s="3192">
        <v>240</v>
      </c>
      <c r="H41" s="3192" t="s">
        <v>3938</v>
      </c>
      <c r="I41" s="3191" t="s">
        <v>3939</v>
      </c>
      <c r="J41" s="3170" t="s">
        <v>3884</v>
      </c>
      <c r="K41" s="3177">
        <v>0.12</v>
      </c>
      <c r="L41" s="3178"/>
      <c r="M41" s="3178"/>
      <c r="N41" s="3178"/>
      <c r="O41" s="3178">
        <f t="shared" si="18"/>
        <v>0</v>
      </c>
      <c r="P41" s="3200">
        <v>272.88</v>
      </c>
      <c r="Q41" s="3194"/>
      <c r="R41" s="3194"/>
      <c r="S41" s="3174"/>
      <c r="T41" s="3174"/>
      <c r="U41" s="3174">
        <v>0</v>
      </c>
      <c r="V41" s="3174">
        <v>0</v>
      </c>
      <c r="W41" s="3174">
        <f t="shared" si="19"/>
        <v>0</v>
      </c>
      <c r="X41" s="3181">
        <v>45261</v>
      </c>
      <c r="Y41" s="3191">
        <v>45351</v>
      </c>
      <c r="Z41" s="3170"/>
      <c r="AA41" s="3182">
        <v>2</v>
      </c>
      <c r="AB41" s="3170" t="s">
        <v>3860</v>
      </c>
      <c r="AC41" s="3170"/>
    </row>
    <row r="42" spans="1:16348" s="3189" customFormat="1" ht="27" customHeight="1">
      <c r="A42" s="3199"/>
      <c r="B42" s="3170">
        <v>40</v>
      </c>
      <c r="C42" s="3171" t="s">
        <v>3940</v>
      </c>
      <c r="D42" s="3170" t="s">
        <v>3778</v>
      </c>
      <c r="E42" s="3191" t="s">
        <v>3857</v>
      </c>
      <c r="F42" s="3171" t="s">
        <v>3941</v>
      </c>
      <c r="G42" s="3192">
        <v>154</v>
      </c>
      <c r="H42" s="3192" t="s">
        <v>3781</v>
      </c>
      <c r="I42" s="3191" t="s">
        <v>3942</v>
      </c>
      <c r="J42" s="3170" t="s">
        <v>3884</v>
      </c>
      <c r="K42" s="3177">
        <v>0.15</v>
      </c>
      <c r="L42" s="3178"/>
      <c r="M42" s="3178"/>
      <c r="N42" s="3178"/>
      <c r="O42" s="3178">
        <f t="shared" si="18"/>
        <v>0</v>
      </c>
      <c r="P42" s="3174"/>
      <c r="Q42" s="3174"/>
      <c r="R42" s="3174"/>
      <c r="S42" s="3174"/>
      <c r="T42" s="3174"/>
      <c r="U42" s="3174">
        <v>0</v>
      </c>
      <c r="V42" s="3174">
        <v>0</v>
      </c>
      <c r="W42" s="3174">
        <f t="shared" si="19"/>
        <v>0</v>
      </c>
      <c r="X42" s="3181">
        <v>45352</v>
      </c>
      <c r="Y42" s="3181">
        <v>45443</v>
      </c>
      <c r="Z42" s="3170"/>
      <c r="AA42" s="3182">
        <v>3</v>
      </c>
      <c r="AB42" s="3170"/>
      <c r="AC42" s="3170"/>
    </row>
    <row r="43" spans="1:16348" s="3183" customFormat="1" ht="34.5" customHeight="1">
      <c r="A43" s="3201"/>
      <c r="B43" s="3170"/>
      <c r="C43" s="3202" t="s">
        <v>3943</v>
      </c>
      <c r="D43" s="3203"/>
      <c r="E43" s="3204"/>
      <c r="F43" s="3202"/>
      <c r="G43" s="3205">
        <f>SUM(G3:G42)</f>
        <v>6981</v>
      </c>
      <c r="H43" s="3206"/>
      <c r="I43" s="3204"/>
      <c r="J43" s="3207"/>
      <c r="K43" s="3201"/>
      <c r="L43" s="3208"/>
      <c r="M43" s="3208"/>
      <c r="N43" s="3209"/>
      <c r="O43" s="3209">
        <f>W43/G43/365</f>
        <v>4.085212317320531</v>
      </c>
      <c r="P43" s="3209"/>
      <c r="Q43" s="3209"/>
      <c r="R43" s="3209"/>
      <c r="S43" s="3208"/>
      <c r="T43" s="3209">
        <f>SUM(T3:T42)</f>
        <v>6478338.9333333382</v>
      </c>
      <c r="U43" s="3209">
        <f t="shared" ref="U43:V43" si="20">SUM(U3:U42)</f>
        <v>3872068.77</v>
      </c>
      <c r="V43" s="3209">
        <f t="shared" si="20"/>
        <v>144025.07</v>
      </c>
      <c r="W43" s="3209">
        <f>SUM(W3:W42)</f>
        <v>10409386.523333339</v>
      </c>
      <c r="X43" s="3210"/>
      <c r="Y43" s="3210"/>
      <c r="Z43" s="3210"/>
      <c r="AA43" s="3211"/>
      <c r="AB43" s="3202"/>
    </row>
    <row r="44" spans="1:16348" s="3183" customFormat="1" ht="34.5" customHeight="1">
      <c r="A44" s="3170">
        <v>317</v>
      </c>
      <c r="B44" s="3170">
        <v>41</v>
      </c>
      <c r="C44" s="3212" t="s">
        <v>3944</v>
      </c>
      <c r="D44" s="3172" t="s">
        <v>3945</v>
      </c>
      <c r="E44" s="3173" t="s">
        <v>3779</v>
      </c>
      <c r="F44" s="3171" t="s">
        <v>3946</v>
      </c>
      <c r="G44" s="3174">
        <v>202</v>
      </c>
      <c r="H44" s="3176" t="s">
        <v>3947</v>
      </c>
      <c r="I44" s="3171" t="s">
        <v>3948</v>
      </c>
      <c r="J44" s="3176" t="s">
        <v>3783</v>
      </c>
      <c r="K44" s="3177"/>
      <c r="L44" s="3178"/>
      <c r="M44" s="3179">
        <v>3</v>
      </c>
      <c r="N44" s="3180"/>
      <c r="O44" s="3180">
        <f t="shared" ref="O44:O73" si="21">SUM(L44:N44)</f>
        <v>3</v>
      </c>
      <c r="P44" s="3180"/>
      <c r="Q44" s="3180">
        <f>G44*M44*365/12</f>
        <v>18432.5</v>
      </c>
      <c r="R44" s="3180"/>
      <c r="S44" s="3180">
        <f t="shared" ref="S44:S74" si="22">SUM(P44:R44)</f>
        <v>18432.5</v>
      </c>
      <c r="T44" s="3180">
        <f t="shared" ref="T44:T62" si="23">L44*G44*365</f>
        <v>0</v>
      </c>
      <c r="U44" s="3180">
        <v>157156</v>
      </c>
      <c r="V44" s="3180">
        <f t="shared" ref="V44:V75" si="24">N44*G44*365</f>
        <v>0</v>
      </c>
      <c r="W44" s="3180">
        <f t="shared" ref="W44:W74" si="25">SUM(T44:V44)</f>
        <v>157156</v>
      </c>
      <c r="X44" s="3181">
        <v>45352</v>
      </c>
      <c r="Y44" s="3181">
        <v>46446</v>
      </c>
      <c r="Z44" s="3181" t="s">
        <v>3784</v>
      </c>
      <c r="AA44" s="3182">
        <v>8</v>
      </c>
      <c r="AB44" s="3171"/>
      <c r="AC44" s="3161"/>
      <c r="AD44" s="3161"/>
      <c r="AE44" s="3161"/>
      <c r="AF44" s="3161"/>
      <c r="AG44" s="3161"/>
      <c r="AH44" s="3161"/>
      <c r="AI44" s="3161"/>
      <c r="AJ44" s="3161"/>
      <c r="AK44" s="3161"/>
      <c r="AL44" s="3161"/>
      <c r="AM44" s="3161"/>
      <c r="AN44" s="3161"/>
      <c r="AO44" s="3161"/>
      <c r="AP44" s="3161"/>
      <c r="AQ44" s="3161"/>
      <c r="AR44" s="3161"/>
      <c r="AS44" s="3161"/>
      <c r="AT44" s="3161"/>
      <c r="AU44" s="3161"/>
      <c r="AV44" s="3161"/>
      <c r="AW44" s="3161"/>
      <c r="AX44" s="3161"/>
      <c r="AY44" s="3161"/>
      <c r="AZ44" s="3161"/>
      <c r="BA44" s="3161"/>
      <c r="BB44" s="3161"/>
      <c r="BC44" s="3161"/>
      <c r="BD44" s="3161"/>
      <c r="BE44" s="3161"/>
      <c r="BF44" s="3161"/>
      <c r="BG44" s="3161"/>
      <c r="BH44" s="3161"/>
      <c r="BI44" s="3161"/>
      <c r="BJ44" s="3161"/>
      <c r="BK44" s="3161"/>
      <c r="BL44" s="3161"/>
      <c r="BM44" s="3161"/>
      <c r="BN44" s="3161"/>
      <c r="BO44" s="3161"/>
      <c r="BP44" s="3161"/>
      <c r="BQ44" s="3161"/>
      <c r="BR44" s="3161"/>
      <c r="BS44" s="3161"/>
      <c r="BT44" s="3161"/>
      <c r="BU44" s="3161"/>
      <c r="BV44" s="3161"/>
      <c r="BW44" s="3161"/>
      <c r="BX44" s="3161"/>
      <c r="BY44" s="3161"/>
      <c r="BZ44" s="3161"/>
      <c r="CA44" s="3161"/>
      <c r="CB44" s="3161"/>
      <c r="CC44" s="3161"/>
      <c r="CD44" s="3161"/>
      <c r="CE44" s="3161"/>
      <c r="CF44" s="3161"/>
      <c r="CG44" s="3161"/>
      <c r="CH44" s="3161"/>
      <c r="CI44" s="3161"/>
      <c r="CJ44" s="3161"/>
      <c r="CK44" s="3161"/>
      <c r="CL44" s="3161"/>
      <c r="CM44" s="3161"/>
      <c r="CN44" s="3161"/>
      <c r="CO44" s="3161"/>
      <c r="CP44" s="3161"/>
      <c r="CQ44" s="3161"/>
      <c r="CR44" s="3161"/>
      <c r="CS44" s="3161"/>
      <c r="CT44" s="3161"/>
      <c r="CU44" s="3161"/>
      <c r="CV44" s="3161"/>
      <c r="CW44" s="3161"/>
      <c r="CX44" s="3161"/>
      <c r="CY44" s="3161"/>
      <c r="CZ44" s="3161"/>
      <c r="DA44" s="3161"/>
      <c r="DB44" s="3161"/>
      <c r="DC44" s="3161"/>
      <c r="DD44" s="3161"/>
      <c r="DE44" s="3161"/>
      <c r="DF44" s="3161"/>
      <c r="DG44" s="3161"/>
      <c r="DH44" s="3161"/>
      <c r="DI44" s="3161"/>
      <c r="DJ44" s="3161"/>
      <c r="DK44" s="3161"/>
      <c r="DL44" s="3161"/>
      <c r="DM44" s="3161"/>
      <c r="DN44" s="3161"/>
      <c r="DO44" s="3161"/>
      <c r="DP44" s="3161"/>
      <c r="DQ44" s="3161"/>
      <c r="DR44" s="3161"/>
      <c r="DS44" s="3161"/>
      <c r="DT44" s="3161"/>
      <c r="DU44" s="3161"/>
      <c r="DV44" s="3161"/>
      <c r="DW44" s="3161"/>
      <c r="DX44" s="3161"/>
      <c r="DY44" s="3161"/>
      <c r="DZ44" s="3161"/>
      <c r="EA44" s="3161"/>
      <c r="EB44" s="3161"/>
      <c r="EC44" s="3161"/>
      <c r="ED44" s="3161"/>
      <c r="EE44" s="3161"/>
      <c r="EF44" s="3161"/>
      <c r="EG44" s="3161"/>
      <c r="EH44" s="3161"/>
      <c r="EI44" s="3161"/>
      <c r="EJ44" s="3161"/>
      <c r="EK44" s="3161"/>
      <c r="EL44" s="3161"/>
      <c r="EM44" s="3161"/>
      <c r="EN44" s="3161"/>
      <c r="EO44" s="3161"/>
      <c r="EP44" s="3161"/>
      <c r="EQ44" s="3161"/>
      <c r="ER44" s="3161"/>
      <c r="ES44" s="3161"/>
      <c r="ET44" s="3161"/>
      <c r="EU44" s="3161"/>
      <c r="EV44" s="3161"/>
      <c r="EW44" s="3161"/>
      <c r="EX44" s="3161"/>
      <c r="EY44" s="3161"/>
      <c r="EZ44" s="3161"/>
      <c r="FA44" s="3161"/>
      <c r="FB44" s="3161"/>
      <c r="FC44" s="3161"/>
      <c r="FD44" s="3161"/>
      <c r="FE44" s="3161"/>
      <c r="FF44" s="3161"/>
      <c r="FG44" s="3161"/>
      <c r="FH44" s="3161"/>
      <c r="FI44" s="3161"/>
      <c r="FJ44" s="3161"/>
      <c r="FK44" s="3161"/>
      <c r="FL44" s="3161"/>
      <c r="FM44" s="3161"/>
      <c r="FN44" s="3161"/>
      <c r="FO44" s="3161"/>
      <c r="FP44" s="3161"/>
      <c r="FQ44" s="3161"/>
      <c r="FR44" s="3161"/>
      <c r="FS44" s="3161"/>
      <c r="FT44" s="3161"/>
      <c r="FU44" s="3161"/>
      <c r="FV44" s="3161"/>
      <c r="FW44" s="3161"/>
      <c r="FX44" s="3161"/>
      <c r="FY44" s="3161"/>
      <c r="FZ44" s="3161"/>
      <c r="GA44" s="3161"/>
      <c r="GB44" s="3161"/>
      <c r="GC44" s="3161"/>
      <c r="GD44" s="3161"/>
      <c r="GE44" s="3161"/>
      <c r="GF44" s="3161"/>
      <c r="GG44" s="3161"/>
      <c r="GH44" s="3161"/>
      <c r="GI44" s="3161"/>
      <c r="GJ44" s="3161"/>
      <c r="GK44" s="3161"/>
      <c r="GL44" s="3161"/>
      <c r="GM44" s="3161"/>
      <c r="GN44" s="3161"/>
      <c r="GO44" s="3161"/>
      <c r="GP44" s="3161"/>
      <c r="GQ44" s="3161"/>
      <c r="GR44" s="3161"/>
      <c r="GS44" s="3161"/>
      <c r="GT44" s="3161"/>
      <c r="GU44" s="3161"/>
      <c r="GV44" s="3161"/>
      <c r="GW44" s="3161"/>
      <c r="GX44" s="3161"/>
      <c r="GY44" s="3161"/>
      <c r="GZ44" s="3161"/>
      <c r="HA44" s="3161"/>
      <c r="HB44" s="3161"/>
      <c r="HC44" s="3161"/>
      <c r="HD44" s="3161"/>
      <c r="HE44" s="3161"/>
      <c r="HF44" s="3161"/>
      <c r="HG44" s="3161"/>
      <c r="HH44" s="3161"/>
      <c r="HI44" s="3161"/>
      <c r="HJ44" s="3161"/>
      <c r="HK44" s="3161"/>
      <c r="HL44" s="3161"/>
      <c r="HM44" s="3161"/>
      <c r="HN44" s="3161"/>
      <c r="HO44" s="3161"/>
      <c r="HP44" s="3161"/>
      <c r="HQ44" s="3161"/>
      <c r="HR44" s="3161"/>
      <c r="HS44" s="3161"/>
      <c r="HT44" s="3161"/>
      <c r="HU44" s="3161"/>
      <c r="HV44" s="3161"/>
      <c r="HW44" s="3161"/>
      <c r="HX44" s="3161"/>
      <c r="HY44" s="3161"/>
      <c r="HZ44" s="3161"/>
      <c r="IA44" s="3161"/>
      <c r="IB44" s="3161"/>
      <c r="IC44" s="3161"/>
      <c r="ID44" s="3161"/>
      <c r="IE44" s="3161"/>
      <c r="IF44" s="3161"/>
      <c r="IG44" s="3161"/>
      <c r="IH44" s="3161"/>
      <c r="II44" s="3161"/>
      <c r="IJ44" s="3161"/>
      <c r="IK44" s="3161"/>
      <c r="IL44" s="3161"/>
      <c r="IM44" s="3161"/>
      <c r="IN44" s="3161"/>
      <c r="IO44" s="3161"/>
      <c r="IP44" s="3161"/>
      <c r="IQ44" s="3161"/>
      <c r="IR44" s="3161"/>
      <c r="IS44" s="3161"/>
      <c r="IT44" s="3161"/>
      <c r="IU44" s="3161"/>
      <c r="IV44" s="3161"/>
      <c r="IW44" s="3161"/>
      <c r="IX44" s="3161"/>
      <c r="IY44" s="3161"/>
      <c r="IZ44" s="3161"/>
      <c r="JA44" s="3161"/>
      <c r="JB44" s="3161"/>
      <c r="JC44" s="3161"/>
      <c r="JD44" s="3161"/>
      <c r="JE44" s="3161"/>
      <c r="JF44" s="3161"/>
      <c r="JG44" s="3161"/>
      <c r="JH44" s="3161"/>
      <c r="JI44" s="3161"/>
      <c r="JJ44" s="3161"/>
      <c r="JK44" s="3161"/>
      <c r="JL44" s="3161"/>
      <c r="JM44" s="3161"/>
      <c r="JN44" s="3161"/>
      <c r="JO44" s="3161"/>
      <c r="JP44" s="3161"/>
      <c r="JQ44" s="3161"/>
      <c r="JR44" s="3161"/>
      <c r="JS44" s="3161"/>
      <c r="JT44" s="3161"/>
      <c r="JU44" s="3161"/>
      <c r="JV44" s="3161"/>
      <c r="JW44" s="3161"/>
      <c r="JX44" s="3161"/>
      <c r="JY44" s="3161"/>
      <c r="JZ44" s="3161"/>
      <c r="KA44" s="3161"/>
      <c r="KB44" s="3161"/>
      <c r="KC44" s="3161"/>
      <c r="KD44" s="3161"/>
      <c r="KE44" s="3161"/>
      <c r="KF44" s="3161"/>
      <c r="KG44" s="3161"/>
      <c r="KH44" s="3161"/>
      <c r="KI44" s="3161"/>
      <c r="KJ44" s="3161"/>
      <c r="KK44" s="3161"/>
      <c r="KL44" s="3161"/>
      <c r="KM44" s="3161"/>
      <c r="KN44" s="3161"/>
      <c r="KO44" s="3161"/>
      <c r="KP44" s="3161"/>
      <c r="KQ44" s="3161"/>
      <c r="KR44" s="3161"/>
      <c r="KS44" s="3161"/>
      <c r="KT44" s="3161"/>
      <c r="KU44" s="3161"/>
      <c r="KV44" s="3161"/>
      <c r="KW44" s="3161"/>
      <c r="KX44" s="3161"/>
      <c r="KY44" s="3161"/>
      <c r="KZ44" s="3161"/>
      <c r="LA44" s="3161"/>
      <c r="LB44" s="3161"/>
      <c r="LC44" s="3161"/>
      <c r="LD44" s="3161"/>
      <c r="LE44" s="3161"/>
      <c r="LF44" s="3161"/>
      <c r="LG44" s="3161"/>
      <c r="LH44" s="3161"/>
      <c r="LI44" s="3161"/>
      <c r="LJ44" s="3161"/>
      <c r="LK44" s="3161"/>
      <c r="LL44" s="3161"/>
      <c r="LM44" s="3161"/>
      <c r="LN44" s="3161"/>
      <c r="LO44" s="3161"/>
      <c r="LP44" s="3161"/>
      <c r="LQ44" s="3161"/>
      <c r="LR44" s="3161"/>
      <c r="LS44" s="3161"/>
      <c r="LT44" s="3161"/>
      <c r="LU44" s="3161"/>
      <c r="LV44" s="3161"/>
      <c r="LW44" s="3161"/>
      <c r="LX44" s="3161"/>
      <c r="LY44" s="3161"/>
      <c r="LZ44" s="3161"/>
      <c r="MA44" s="3161"/>
      <c r="MB44" s="3161"/>
      <c r="MC44" s="3161"/>
      <c r="MD44" s="3161"/>
      <c r="ME44" s="3161"/>
      <c r="MF44" s="3161"/>
      <c r="MG44" s="3161"/>
      <c r="MH44" s="3161"/>
      <c r="MI44" s="3161"/>
      <c r="MJ44" s="3161"/>
      <c r="MK44" s="3161"/>
      <c r="ML44" s="3161"/>
      <c r="MM44" s="3161"/>
      <c r="MN44" s="3161"/>
      <c r="MO44" s="3161"/>
      <c r="MP44" s="3161"/>
      <c r="MQ44" s="3161"/>
      <c r="MR44" s="3161"/>
      <c r="MS44" s="3161"/>
      <c r="MT44" s="3161"/>
      <c r="MU44" s="3161"/>
      <c r="MV44" s="3161"/>
      <c r="MW44" s="3161"/>
      <c r="MX44" s="3161"/>
      <c r="MY44" s="3161"/>
      <c r="MZ44" s="3161"/>
      <c r="NA44" s="3161"/>
      <c r="NB44" s="3161"/>
      <c r="NC44" s="3161"/>
      <c r="ND44" s="3161"/>
      <c r="NE44" s="3161"/>
      <c r="NF44" s="3161"/>
      <c r="NG44" s="3161"/>
      <c r="NH44" s="3161"/>
      <c r="NI44" s="3161"/>
      <c r="NJ44" s="3161"/>
      <c r="NK44" s="3161"/>
      <c r="NL44" s="3161"/>
      <c r="NM44" s="3161"/>
      <c r="NN44" s="3161"/>
      <c r="NO44" s="3161"/>
      <c r="NP44" s="3161"/>
      <c r="NQ44" s="3161"/>
      <c r="NR44" s="3161"/>
      <c r="NS44" s="3161"/>
      <c r="NT44" s="3161"/>
      <c r="NU44" s="3161"/>
      <c r="NV44" s="3161"/>
      <c r="NW44" s="3161"/>
      <c r="NX44" s="3161"/>
      <c r="NY44" s="3161"/>
      <c r="NZ44" s="3161"/>
      <c r="OA44" s="3161"/>
      <c r="OB44" s="3161"/>
      <c r="OC44" s="3161"/>
      <c r="OD44" s="3161"/>
      <c r="OE44" s="3161"/>
      <c r="OF44" s="3161"/>
      <c r="OG44" s="3161"/>
      <c r="OH44" s="3161"/>
      <c r="OI44" s="3161"/>
      <c r="OJ44" s="3161"/>
      <c r="OK44" s="3161"/>
      <c r="OL44" s="3161"/>
      <c r="OM44" s="3161"/>
      <c r="ON44" s="3161"/>
      <c r="OO44" s="3161"/>
      <c r="OP44" s="3161"/>
      <c r="OQ44" s="3161"/>
      <c r="OR44" s="3161"/>
      <c r="OS44" s="3161"/>
      <c r="OT44" s="3161"/>
      <c r="OU44" s="3161"/>
      <c r="OV44" s="3161"/>
      <c r="OW44" s="3161"/>
      <c r="OX44" s="3161"/>
      <c r="OY44" s="3161"/>
      <c r="OZ44" s="3161"/>
      <c r="PA44" s="3161"/>
      <c r="PB44" s="3161"/>
      <c r="PC44" s="3161"/>
      <c r="PD44" s="3161"/>
      <c r="PE44" s="3161"/>
      <c r="PF44" s="3161"/>
      <c r="PG44" s="3161"/>
      <c r="PH44" s="3161"/>
      <c r="PI44" s="3161"/>
      <c r="PJ44" s="3161"/>
      <c r="PK44" s="3161"/>
      <c r="PL44" s="3161"/>
      <c r="PM44" s="3161"/>
      <c r="PN44" s="3161"/>
      <c r="PO44" s="3161"/>
      <c r="PP44" s="3161"/>
      <c r="PQ44" s="3161"/>
      <c r="PR44" s="3161"/>
      <c r="PS44" s="3161"/>
      <c r="PT44" s="3161"/>
      <c r="PU44" s="3161"/>
      <c r="PV44" s="3161"/>
      <c r="PW44" s="3161"/>
      <c r="PX44" s="3161"/>
      <c r="PY44" s="3161"/>
      <c r="PZ44" s="3161"/>
      <c r="QA44" s="3161"/>
      <c r="QB44" s="3161"/>
      <c r="QC44" s="3161"/>
      <c r="QD44" s="3161"/>
      <c r="QE44" s="3161"/>
      <c r="QF44" s="3161"/>
      <c r="QG44" s="3161"/>
      <c r="QH44" s="3161"/>
      <c r="QI44" s="3161"/>
      <c r="QJ44" s="3161"/>
      <c r="QK44" s="3161"/>
      <c r="QL44" s="3161"/>
      <c r="QM44" s="3161"/>
      <c r="QN44" s="3161"/>
      <c r="QO44" s="3161"/>
      <c r="QP44" s="3161"/>
      <c r="QQ44" s="3161"/>
      <c r="QR44" s="3161"/>
      <c r="QS44" s="3161"/>
      <c r="QT44" s="3161"/>
      <c r="QU44" s="3161"/>
      <c r="QV44" s="3161"/>
      <c r="QW44" s="3161"/>
      <c r="QX44" s="3161"/>
      <c r="QY44" s="3161"/>
      <c r="QZ44" s="3161"/>
      <c r="RA44" s="3161"/>
      <c r="RB44" s="3161"/>
      <c r="RC44" s="3161"/>
      <c r="RD44" s="3161"/>
      <c r="RE44" s="3161"/>
      <c r="RF44" s="3161"/>
      <c r="RG44" s="3161"/>
      <c r="RH44" s="3161"/>
      <c r="RI44" s="3161"/>
      <c r="RJ44" s="3161"/>
      <c r="RK44" s="3161"/>
      <c r="RL44" s="3161"/>
      <c r="RM44" s="3161"/>
      <c r="RN44" s="3161"/>
      <c r="RO44" s="3161"/>
      <c r="RP44" s="3161"/>
      <c r="RQ44" s="3161"/>
      <c r="RR44" s="3161"/>
      <c r="RS44" s="3161"/>
      <c r="RT44" s="3161"/>
      <c r="RU44" s="3161"/>
      <c r="RV44" s="3161"/>
      <c r="RW44" s="3161"/>
      <c r="RX44" s="3161"/>
      <c r="RY44" s="3161"/>
      <c r="RZ44" s="3161"/>
      <c r="SA44" s="3161"/>
      <c r="SB44" s="3161"/>
      <c r="SC44" s="3161"/>
      <c r="SD44" s="3161"/>
      <c r="SE44" s="3161"/>
      <c r="SF44" s="3161"/>
      <c r="SG44" s="3161"/>
      <c r="SH44" s="3161"/>
      <c r="SI44" s="3161"/>
      <c r="SJ44" s="3161"/>
      <c r="SK44" s="3161"/>
      <c r="SL44" s="3161"/>
      <c r="SM44" s="3161"/>
      <c r="SN44" s="3161"/>
      <c r="SO44" s="3161"/>
      <c r="SP44" s="3161"/>
      <c r="SQ44" s="3161"/>
      <c r="SR44" s="3161"/>
      <c r="SS44" s="3161"/>
      <c r="ST44" s="3161"/>
      <c r="SU44" s="3161"/>
      <c r="SV44" s="3161"/>
      <c r="SW44" s="3161"/>
      <c r="SX44" s="3161"/>
      <c r="SY44" s="3161"/>
      <c r="SZ44" s="3161"/>
      <c r="TA44" s="3161"/>
      <c r="TB44" s="3161"/>
      <c r="TC44" s="3161"/>
      <c r="TD44" s="3161"/>
      <c r="TE44" s="3161"/>
      <c r="TF44" s="3161"/>
      <c r="TG44" s="3161"/>
      <c r="TH44" s="3161"/>
      <c r="TI44" s="3161"/>
      <c r="TJ44" s="3161"/>
      <c r="TK44" s="3161"/>
      <c r="TL44" s="3161"/>
      <c r="TM44" s="3161"/>
      <c r="TN44" s="3161"/>
      <c r="TO44" s="3161"/>
      <c r="TP44" s="3161"/>
      <c r="TQ44" s="3161"/>
      <c r="TR44" s="3161"/>
      <c r="TS44" s="3161"/>
      <c r="TT44" s="3161"/>
      <c r="TU44" s="3161"/>
      <c r="TV44" s="3161"/>
      <c r="TW44" s="3161"/>
      <c r="TX44" s="3161"/>
      <c r="TY44" s="3161"/>
      <c r="TZ44" s="3161"/>
      <c r="UA44" s="3161"/>
      <c r="UB44" s="3161"/>
      <c r="UC44" s="3161"/>
      <c r="UD44" s="3161"/>
      <c r="UE44" s="3161"/>
      <c r="UF44" s="3161"/>
      <c r="UG44" s="3161"/>
      <c r="UH44" s="3161"/>
      <c r="UI44" s="3161"/>
      <c r="UJ44" s="3161"/>
      <c r="UK44" s="3161"/>
      <c r="UL44" s="3161"/>
      <c r="UM44" s="3161"/>
      <c r="UN44" s="3161"/>
      <c r="UO44" s="3161"/>
      <c r="UP44" s="3161"/>
      <c r="UQ44" s="3161"/>
      <c r="UR44" s="3161"/>
      <c r="US44" s="3161"/>
      <c r="UT44" s="3161"/>
      <c r="UU44" s="3161"/>
      <c r="UV44" s="3161"/>
      <c r="UW44" s="3161"/>
      <c r="UX44" s="3161"/>
      <c r="UY44" s="3161"/>
      <c r="UZ44" s="3161"/>
      <c r="VA44" s="3161"/>
      <c r="VB44" s="3161"/>
      <c r="VC44" s="3161"/>
      <c r="VD44" s="3161"/>
      <c r="VE44" s="3161"/>
      <c r="VF44" s="3161"/>
      <c r="VG44" s="3161"/>
      <c r="VH44" s="3161"/>
      <c r="VI44" s="3161"/>
      <c r="VJ44" s="3161"/>
      <c r="VK44" s="3161"/>
      <c r="VL44" s="3161"/>
      <c r="VM44" s="3161"/>
      <c r="VN44" s="3161"/>
      <c r="VO44" s="3161"/>
      <c r="VP44" s="3161"/>
      <c r="VQ44" s="3161"/>
      <c r="VR44" s="3161"/>
      <c r="VS44" s="3161"/>
      <c r="VT44" s="3161"/>
      <c r="VU44" s="3161"/>
      <c r="VV44" s="3161"/>
      <c r="VW44" s="3161"/>
      <c r="VX44" s="3161"/>
      <c r="VY44" s="3161"/>
      <c r="VZ44" s="3161"/>
      <c r="WA44" s="3161"/>
      <c r="WB44" s="3161"/>
      <c r="WC44" s="3161"/>
      <c r="WD44" s="3161"/>
      <c r="WE44" s="3161"/>
      <c r="WF44" s="3161"/>
      <c r="WG44" s="3161"/>
      <c r="WH44" s="3161"/>
      <c r="WI44" s="3161"/>
      <c r="WJ44" s="3161"/>
      <c r="WK44" s="3161"/>
      <c r="WL44" s="3161"/>
      <c r="WM44" s="3161"/>
      <c r="WN44" s="3161"/>
      <c r="WO44" s="3161"/>
      <c r="WP44" s="3161"/>
      <c r="WQ44" s="3161"/>
      <c r="WR44" s="3161"/>
      <c r="WS44" s="3161"/>
      <c r="WT44" s="3161"/>
      <c r="WU44" s="3161"/>
      <c r="WV44" s="3161"/>
      <c r="WW44" s="3161"/>
      <c r="WX44" s="3161"/>
      <c r="WY44" s="3161"/>
      <c r="WZ44" s="3161"/>
      <c r="XA44" s="3161"/>
      <c r="XB44" s="3161"/>
      <c r="XC44" s="3161"/>
      <c r="XD44" s="3161"/>
      <c r="XE44" s="3161"/>
      <c r="XF44" s="3161"/>
      <c r="XG44" s="3161"/>
      <c r="XH44" s="3161"/>
      <c r="XI44" s="3161"/>
      <c r="XJ44" s="3161"/>
      <c r="XK44" s="3161"/>
      <c r="XL44" s="3161"/>
      <c r="XM44" s="3161"/>
      <c r="XN44" s="3161"/>
      <c r="XO44" s="3161"/>
      <c r="XP44" s="3161"/>
      <c r="XQ44" s="3161"/>
      <c r="XR44" s="3161"/>
      <c r="XS44" s="3161"/>
      <c r="XT44" s="3161"/>
      <c r="XU44" s="3161"/>
      <c r="XV44" s="3161"/>
      <c r="XW44" s="3161"/>
      <c r="XX44" s="3161"/>
      <c r="XY44" s="3161"/>
      <c r="XZ44" s="3161"/>
      <c r="YA44" s="3161"/>
      <c r="YB44" s="3161"/>
      <c r="YC44" s="3161"/>
      <c r="YD44" s="3161"/>
      <c r="YE44" s="3161"/>
      <c r="YF44" s="3161"/>
      <c r="YG44" s="3161"/>
      <c r="YH44" s="3161"/>
      <c r="YI44" s="3161"/>
      <c r="YJ44" s="3161"/>
      <c r="YK44" s="3161"/>
      <c r="YL44" s="3161"/>
      <c r="YM44" s="3161"/>
      <c r="YN44" s="3161"/>
      <c r="YO44" s="3161"/>
      <c r="YP44" s="3161"/>
      <c r="YQ44" s="3161"/>
      <c r="YR44" s="3161"/>
      <c r="YS44" s="3161"/>
      <c r="YT44" s="3161"/>
      <c r="YU44" s="3161"/>
      <c r="YV44" s="3161"/>
      <c r="YW44" s="3161"/>
      <c r="YX44" s="3161"/>
      <c r="YY44" s="3161"/>
      <c r="YZ44" s="3161"/>
      <c r="ZA44" s="3161"/>
      <c r="ZB44" s="3161"/>
      <c r="ZC44" s="3161"/>
      <c r="ZD44" s="3161"/>
      <c r="ZE44" s="3161"/>
      <c r="ZF44" s="3161"/>
      <c r="ZG44" s="3161"/>
      <c r="ZH44" s="3161"/>
      <c r="ZI44" s="3161"/>
      <c r="ZJ44" s="3161"/>
      <c r="ZK44" s="3161"/>
      <c r="ZL44" s="3161"/>
      <c r="ZM44" s="3161"/>
      <c r="ZN44" s="3161"/>
      <c r="ZO44" s="3161"/>
      <c r="ZP44" s="3161"/>
      <c r="ZQ44" s="3161"/>
      <c r="ZR44" s="3161"/>
      <c r="ZS44" s="3161"/>
      <c r="ZT44" s="3161"/>
      <c r="ZU44" s="3161"/>
      <c r="ZV44" s="3161"/>
      <c r="ZW44" s="3161"/>
      <c r="ZX44" s="3161"/>
      <c r="ZY44" s="3161"/>
      <c r="ZZ44" s="3161"/>
      <c r="AAA44" s="3161"/>
      <c r="AAB44" s="3161"/>
      <c r="AAC44" s="3161"/>
      <c r="AAD44" s="3161"/>
      <c r="AAE44" s="3161"/>
      <c r="AAF44" s="3161"/>
      <c r="AAG44" s="3161"/>
      <c r="AAH44" s="3161"/>
      <c r="AAI44" s="3161"/>
      <c r="AAJ44" s="3161"/>
      <c r="AAK44" s="3161"/>
      <c r="AAL44" s="3161"/>
      <c r="AAM44" s="3161"/>
      <c r="AAN44" s="3161"/>
      <c r="AAO44" s="3161"/>
      <c r="AAP44" s="3161"/>
      <c r="AAQ44" s="3161"/>
      <c r="AAR44" s="3161"/>
      <c r="AAS44" s="3161"/>
      <c r="AAT44" s="3161"/>
      <c r="AAU44" s="3161"/>
      <c r="AAV44" s="3161"/>
      <c r="AAW44" s="3161"/>
      <c r="AAX44" s="3161"/>
      <c r="AAY44" s="3161"/>
      <c r="AAZ44" s="3161"/>
      <c r="ABA44" s="3161"/>
      <c r="ABB44" s="3161"/>
      <c r="ABC44" s="3161"/>
      <c r="ABD44" s="3161"/>
      <c r="ABE44" s="3161"/>
      <c r="ABF44" s="3161"/>
      <c r="ABG44" s="3161"/>
      <c r="ABH44" s="3161"/>
      <c r="ABI44" s="3161"/>
      <c r="ABJ44" s="3161"/>
      <c r="ABK44" s="3161"/>
      <c r="ABL44" s="3161"/>
      <c r="ABM44" s="3161"/>
      <c r="ABN44" s="3161"/>
      <c r="ABO44" s="3161"/>
      <c r="ABP44" s="3161"/>
      <c r="ABQ44" s="3161"/>
      <c r="ABR44" s="3161"/>
      <c r="ABS44" s="3161"/>
      <c r="ABT44" s="3161"/>
      <c r="ABU44" s="3161"/>
      <c r="ABV44" s="3161"/>
      <c r="ABW44" s="3161"/>
      <c r="ABX44" s="3161"/>
      <c r="ABY44" s="3161"/>
      <c r="ABZ44" s="3161"/>
      <c r="ACA44" s="3161"/>
      <c r="ACB44" s="3161"/>
      <c r="ACC44" s="3161"/>
      <c r="ACD44" s="3161"/>
      <c r="ACE44" s="3161"/>
      <c r="ACF44" s="3161"/>
      <c r="ACG44" s="3161"/>
      <c r="ACH44" s="3161"/>
      <c r="ACI44" s="3161"/>
      <c r="ACJ44" s="3161"/>
      <c r="ACK44" s="3161"/>
      <c r="ACL44" s="3161"/>
      <c r="ACM44" s="3161"/>
      <c r="ACN44" s="3161"/>
      <c r="ACO44" s="3161"/>
      <c r="ACP44" s="3161"/>
      <c r="ACQ44" s="3161"/>
      <c r="ACR44" s="3161"/>
      <c r="ACS44" s="3161"/>
      <c r="ACT44" s="3161"/>
      <c r="ACU44" s="3161"/>
      <c r="ACV44" s="3161"/>
      <c r="ACW44" s="3161"/>
      <c r="ACX44" s="3161"/>
      <c r="ACY44" s="3161"/>
      <c r="ACZ44" s="3161"/>
      <c r="ADA44" s="3161"/>
      <c r="ADB44" s="3161"/>
      <c r="ADC44" s="3161"/>
      <c r="ADD44" s="3161"/>
      <c r="ADE44" s="3161"/>
      <c r="ADF44" s="3161"/>
      <c r="ADG44" s="3161"/>
      <c r="ADH44" s="3161"/>
      <c r="ADI44" s="3161"/>
      <c r="ADJ44" s="3161"/>
      <c r="ADK44" s="3161"/>
      <c r="ADL44" s="3161"/>
      <c r="ADM44" s="3161"/>
      <c r="ADN44" s="3161"/>
      <c r="ADO44" s="3161"/>
      <c r="ADP44" s="3161"/>
      <c r="ADQ44" s="3161"/>
      <c r="ADR44" s="3161"/>
      <c r="ADS44" s="3161"/>
      <c r="ADT44" s="3161"/>
      <c r="ADU44" s="3161"/>
      <c r="ADV44" s="3161"/>
      <c r="ADW44" s="3161"/>
      <c r="ADX44" s="3161"/>
      <c r="ADY44" s="3161"/>
      <c r="ADZ44" s="3161"/>
      <c r="AEA44" s="3161"/>
      <c r="AEB44" s="3161"/>
      <c r="AEC44" s="3161"/>
      <c r="AED44" s="3161"/>
      <c r="AEE44" s="3161"/>
      <c r="AEF44" s="3161"/>
      <c r="AEG44" s="3161"/>
      <c r="AEH44" s="3161"/>
      <c r="AEI44" s="3161"/>
      <c r="AEJ44" s="3161"/>
      <c r="AEK44" s="3161"/>
      <c r="AEL44" s="3161"/>
      <c r="AEM44" s="3161"/>
      <c r="AEN44" s="3161"/>
      <c r="AEO44" s="3161"/>
      <c r="AEP44" s="3161"/>
      <c r="AEQ44" s="3161"/>
      <c r="AER44" s="3161"/>
      <c r="AES44" s="3161"/>
      <c r="AET44" s="3161"/>
      <c r="AEU44" s="3161"/>
      <c r="AEV44" s="3161"/>
      <c r="AEW44" s="3161"/>
      <c r="AEX44" s="3161"/>
      <c r="AEY44" s="3161"/>
      <c r="AEZ44" s="3161"/>
      <c r="AFA44" s="3161"/>
      <c r="AFB44" s="3161"/>
      <c r="AFC44" s="3161"/>
      <c r="AFD44" s="3161"/>
      <c r="AFE44" s="3161"/>
      <c r="AFF44" s="3161"/>
      <c r="AFG44" s="3161"/>
      <c r="AFH44" s="3161"/>
      <c r="AFI44" s="3161"/>
      <c r="AFJ44" s="3161"/>
      <c r="AFK44" s="3161"/>
      <c r="AFL44" s="3161"/>
      <c r="AFM44" s="3161"/>
      <c r="AFN44" s="3161"/>
      <c r="AFO44" s="3161"/>
      <c r="AFP44" s="3161"/>
      <c r="AFQ44" s="3161"/>
      <c r="AFR44" s="3161"/>
      <c r="AFS44" s="3161"/>
      <c r="AFT44" s="3161"/>
      <c r="AFU44" s="3161"/>
      <c r="AFV44" s="3161"/>
      <c r="AFW44" s="3161"/>
      <c r="AFX44" s="3161"/>
      <c r="AFY44" s="3161"/>
      <c r="AFZ44" s="3161"/>
      <c r="AGA44" s="3161"/>
      <c r="AGB44" s="3161"/>
      <c r="AGC44" s="3161"/>
      <c r="AGD44" s="3161"/>
      <c r="AGE44" s="3161"/>
      <c r="AGF44" s="3161"/>
      <c r="AGG44" s="3161"/>
      <c r="AGH44" s="3161"/>
      <c r="AGI44" s="3161"/>
      <c r="AGJ44" s="3161"/>
      <c r="AGK44" s="3161"/>
      <c r="AGL44" s="3161"/>
      <c r="AGM44" s="3161"/>
      <c r="AGN44" s="3161"/>
      <c r="AGO44" s="3161"/>
      <c r="AGP44" s="3161"/>
      <c r="AGQ44" s="3161"/>
      <c r="AGR44" s="3161"/>
      <c r="AGS44" s="3161"/>
      <c r="AGT44" s="3161"/>
      <c r="AGU44" s="3161"/>
      <c r="AGV44" s="3161"/>
      <c r="AGW44" s="3161"/>
      <c r="AGX44" s="3161"/>
      <c r="AGY44" s="3161"/>
      <c r="AGZ44" s="3161"/>
      <c r="AHA44" s="3161"/>
      <c r="AHB44" s="3161"/>
      <c r="AHC44" s="3161"/>
      <c r="AHD44" s="3161"/>
      <c r="AHE44" s="3161"/>
      <c r="AHF44" s="3161"/>
      <c r="AHG44" s="3161"/>
      <c r="AHH44" s="3161"/>
      <c r="AHI44" s="3161"/>
      <c r="AHJ44" s="3161"/>
      <c r="AHK44" s="3161"/>
      <c r="AHL44" s="3161"/>
      <c r="AHM44" s="3161"/>
      <c r="AHN44" s="3161"/>
      <c r="AHO44" s="3161"/>
      <c r="AHP44" s="3161"/>
      <c r="AHQ44" s="3161"/>
      <c r="AHR44" s="3161"/>
      <c r="AHS44" s="3161"/>
      <c r="AHT44" s="3161"/>
      <c r="AHU44" s="3161"/>
      <c r="AHV44" s="3161"/>
      <c r="AHW44" s="3161"/>
      <c r="AHX44" s="3161"/>
      <c r="AHY44" s="3161"/>
      <c r="AHZ44" s="3161"/>
      <c r="AIA44" s="3161"/>
      <c r="AIB44" s="3161"/>
      <c r="AIC44" s="3161"/>
      <c r="AID44" s="3161"/>
      <c r="AIE44" s="3161"/>
      <c r="AIF44" s="3161"/>
      <c r="AIG44" s="3161"/>
      <c r="AIH44" s="3161"/>
      <c r="AII44" s="3161"/>
      <c r="AIJ44" s="3161"/>
      <c r="AIK44" s="3161"/>
      <c r="AIL44" s="3161"/>
      <c r="AIM44" s="3161"/>
      <c r="AIN44" s="3161"/>
      <c r="AIO44" s="3161"/>
      <c r="AIP44" s="3161"/>
      <c r="AIQ44" s="3161"/>
      <c r="AIR44" s="3161"/>
      <c r="AIS44" s="3161"/>
      <c r="AIT44" s="3161"/>
      <c r="AIU44" s="3161"/>
      <c r="AIV44" s="3161"/>
      <c r="AIW44" s="3161"/>
      <c r="AIX44" s="3161"/>
      <c r="AIY44" s="3161"/>
      <c r="AIZ44" s="3161"/>
      <c r="AJA44" s="3161"/>
      <c r="AJB44" s="3161"/>
      <c r="AJC44" s="3161"/>
      <c r="AJD44" s="3161"/>
      <c r="AJE44" s="3161"/>
      <c r="AJF44" s="3161"/>
      <c r="AJG44" s="3161"/>
      <c r="AJH44" s="3161"/>
      <c r="AJI44" s="3161"/>
      <c r="AJJ44" s="3161"/>
      <c r="AJK44" s="3161"/>
      <c r="AJL44" s="3161"/>
      <c r="AJM44" s="3161"/>
      <c r="AJN44" s="3161"/>
      <c r="AJO44" s="3161"/>
      <c r="AJP44" s="3161"/>
      <c r="AJQ44" s="3161"/>
      <c r="AJR44" s="3161"/>
      <c r="AJS44" s="3161"/>
      <c r="AJT44" s="3161"/>
      <c r="AJU44" s="3161"/>
      <c r="AJV44" s="3161"/>
      <c r="AJW44" s="3161"/>
      <c r="AJX44" s="3161"/>
      <c r="AJY44" s="3161"/>
      <c r="AJZ44" s="3161"/>
      <c r="AKA44" s="3161"/>
      <c r="AKB44" s="3161"/>
      <c r="AKC44" s="3161"/>
      <c r="AKD44" s="3161"/>
      <c r="AKE44" s="3161"/>
      <c r="AKF44" s="3161"/>
      <c r="AKG44" s="3161"/>
      <c r="AKH44" s="3161"/>
      <c r="AKI44" s="3161"/>
      <c r="AKJ44" s="3161"/>
      <c r="AKK44" s="3161"/>
      <c r="AKL44" s="3161"/>
      <c r="AKM44" s="3161"/>
      <c r="AKN44" s="3161"/>
      <c r="AKO44" s="3161"/>
      <c r="AKP44" s="3161"/>
      <c r="AKQ44" s="3161"/>
      <c r="AKR44" s="3161"/>
      <c r="AKS44" s="3161"/>
      <c r="AKT44" s="3161"/>
      <c r="AKU44" s="3161"/>
      <c r="AKV44" s="3161"/>
      <c r="AKW44" s="3161"/>
      <c r="AKX44" s="3161"/>
      <c r="AKY44" s="3161"/>
      <c r="AKZ44" s="3161"/>
      <c r="ALA44" s="3161"/>
      <c r="ALB44" s="3161"/>
      <c r="ALC44" s="3161"/>
      <c r="ALD44" s="3161"/>
      <c r="ALE44" s="3161"/>
      <c r="ALF44" s="3161"/>
      <c r="ALG44" s="3161"/>
      <c r="ALH44" s="3161"/>
      <c r="ALI44" s="3161"/>
      <c r="ALJ44" s="3161"/>
      <c r="ALK44" s="3161"/>
      <c r="ALL44" s="3161"/>
      <c r="ALM44" s="3161"/>
      <c r="ALN44" s="3161"/>
      <c r="ALO44" s="3161"/>
      <c r="ALP44" s="3161"/>
      <c r="ALQ44" s="3161"/>
      <c r="ALR44" s="3161"/>
      <c r="ALS44" s="3161"/>
      <c r="ALT44" s="3161"/>
      <c r="ALU44" s="3161"/>
      <c r="ALV44" s="3161"/>
      <c r="ALW44" s="3161"/>
      <c r="ALX44" s="3161"/>
      <c r="ALY44" s="3161"/>
      <c r="ALZ44" s="3161"/>
      <c r="AMA44" s="3161"/>
      <c r="AMB44" s="3161"/>
      <c r="AMC44" s="3161"/>
      <c r="AMD44" s="3161"/>
      <c r="AME44" s="3161"/>
      <c r="AMF44" s="3161"/>
      <c r="AMG44" s="3161"/>
      <c r="AMH44" s="3161"/>
      <c r="AMI44" s="3161"/>
      <c r="AMJ44" s="3161"/>
      <c r="AMK44" s="3161"/>
      <c r="AML44" s="3161"/>
      <c r="AMM44" s="3161"/>
      <c r="AMN44" s="3161"/>
      <c r="AMO44" s="3161"/>
      <c r="AMP44" s="3161"/>
      <c r="AMQ44" s="3161"/>
      <c r="AMR44" s="3161"/>
      <c r="AMS44" s="3161"/>
      <c r="AMT44" s="3161"/>
      <c r="AMU44" s="3161"/>
      <c r="AMV44" s="3161"/>
      <c r="AMW44" s="3161"/>
      <c r="AMX44" s="3161"/>
      <c r="AMY44" s="3161"/>
      <c r="AMZ44" s="3161"/>
      <c r="ANA44" s="3161"/>
      <c r="ANB44" s="3161"/>
      <c r="ANC44" s="3161"/>
      <c r="AND44" s="3161"/>
      <c r="ANE44" s="3161"/>
      <c r="ANF44" s="3161"/>
      <c r="ANG44" s="3161"/>
      <c r="ANH44" s="3161"/>
      <c r="ANI44" s="3161"/>
      <c r="ANJ44" s="3161"/>
      <c r="ANK44" s="3161"/>
      <c r="ANL44" s="3161"/>
      <c r="ANM44" s="3161"/>
      <c r="ANN44" s="3161"/>
      <c r="ANO44" s="3161"/>
      <c r="ANP44" s="3161"/>
      <c r="ANQ44" s="3161"/>
      <c r="ANR44" s="3161"/>
      <c r="ANS44" s="3161"/>
      <c r="ANT44" s="3161"/>
      <c r="ANU44" s="3161"/>
      <c r="ANV44" s="3161"/>
      <c r="ANW44" s="3161"/>
      <c r="ANX44" s="3161"/>
      <c r="ANY44" s="3161"/>
      <c r="ANZ44" s="3161"/>
      <c r="AOA44" s="3161"/>
      <c r="AOB44" s="3161"/>
      <c r="AOC44" s="3161"/>
      <c r="AOD44" s="3161"/>
      <c r="AOE44" s="3161"/>
      <c r="AOF44" s="3161"/>
      <c r="AOG44" s="3161"/>
      <c r="AOH44" s="3161"/>
      <c r="AOI44" s="3161"/>
      <c r="AOJ44" s="3161"/>
      <c r="AOK44" s="3161"/>
      <c r="AOL44" s="3161"/>
      <c r="AOM44" s="3161"/>
      <c r="AON44" s="3161"/>
      <c r="AOO44" s="3161"/>
      <c r="AOP44" s="3161"/>
      <c r="AOQ44" s="3161"/>
      <c r="AOR44" s="3161"/>
      <c r="AOS44" s="3161"/>
      <c r="AOT44" s="3161"/>
      <c r="AOU44" s="3161"/>
      <c r="AOV44" s="3161"/>
      <c r="AOW44" s="3161"/>
      <c r="AOX44" s="3161"/>
      <c r="AOY44" s="3161"/>
      <c r="AOZ44" s="3161"/>
      <c r="APA44" s="3161"/>
      <c r="APB44" s="3161"/>
      <c r="APC44" s="3161"/>
      <c r="APD44" s="3161"/>
      <c r="APE44" s="3161"/>
      <c r="APF44" s="3161"/>
      <c r="APG44" s="3161"/>
      <c r="APH44" s="3161"/>
      <c r="API44" s="3161"/>
      <c r="APJ44" s="3161"/>
      <c r="APK44" s="3161"/>
      <c r="APL44" s="3161"/>
      <c r="APM44" s="3161"/>
      <c r="APN44" s="3161"/>
      <c r="APO44" s="3161"/>
      <c r="APP44" s="3161"/>
      <c r="APQ44" s="3161"/>
      <c r="APR44" s="3161"/>
      <c r="APS44" s="3161"/>
      <c r="APT44" s="3161"/>
      <c r="APU44" s="3161"/>
      <c r="APV44" s="3161"/>
      <c r="APW44" s="3161"/>
      <c r="APX44" s="3161"/>
      <c r="APY44" s="3161"/>
      <c r="APZ44" s="3161"/>
      <c r="AQA44" s="3161"/>
      <c r="AQB44" s="3161"/>
      <c r="AQC44" s="3161"/>
      <c r="AQD44" s="3161"/>
      <c r="AQE44" s="3161"/>
      <c r="AQF44" s="3161"/>
      <c r="AQG44" s="3161"/>
      <c r="AQH44" s="3161"/>
      <c r="AQI44" s="3161"/>
      <c r="AQJ44" s="3161"/>
      <c r="AQK44" s="3161"/>
      <c r="AQL44" s="3161"/>
      <c r="AQM44" s="3161"/>
      <c r="AQN44" s="3161"/>
      <c r="AQO44" s="3161"/>
      <c r="AQP44" s="3161"/>
      <c r="AQQ44" s="3161"/>
      <c r="AQR44" s="3161"/>
      <c r="AQS44" s="3161"/>
      <c r="AQT44" s="3161"/>
      <c r="AQU44" s="3161"/>
      <c r="AQV44" s="3161"/>
      <c r="AQW44" s="3161"/>
      <c r="AQX44" s="3161"/>
      <c r="AQY44" s="3161"/>
      <c r="AQZ44" s="3161"/>
      <c r="ARA44" s="3161"/>
      <c r="ARB44" s="3161"/>
      <c r="ARC44" s="3161"/>
      <c r="ARD44" s="3161"/>
      <c r="ARE44" s="3161"/>
      <c r="ARF44" s="3161"/>
      <c r="ARG44" s="3161"/>
      <c r="ARH44" s="3161"/>
      <c r="ARI44" s="3161"/>
      <c r="ARJ44" s="3161"/>
      <c r="ARK44" s="3161"/>
      <c r="ARL44" s="3161"/>
      <c r="ARM44" s="3161"/>
      <c r="ARN44" s="3161"/>
      <c r="ARO44" s="3161"/>
      <c r="ARP44" s="3161"/>
      <c r="ARQ44" s="3161"/>
      <c r="ARR44" s="3161"/>
      <c r="ARS44" s="3161"/>
      <c r="ART44" s="3161"/>
      <c r="ARU44" s="3161"/>
      <c r="ARV44" s="3161"/>
      <c r="ARW44" s="3161"/>
      <c r="ARX44" s="3161"/>
      <c r="ARY44" s="3161"/>
      <c r="ARZ44" s="3161"/>
      <c r="ASA44" s="3161"/>
      <c r="ASB44" s="3161"/>
      <c r="ASC44" s="3161"/>
      <c r="ASD44" s="3161"/>
      <c r="ASE44" s="3161"/>
      <c r="ASF44" s="3161"/>
      <c r="ASG44" s="3161"/>
      <c r="ASH44" s="3161"/>
      <c r="ASI44" s="3161"/>
      <c r="ASJ44" s="3161"/>
      <c r="ASK44" s="3161"/>
      <c r="ASL44" s="3161"/>
      <c r="ASM44" s="3161"/>
      <c r="ASN44" s="3161"/>
      <c r="ASO44" s="3161"/>
      <c r="ASP44" s="3161"/>
      <c r="ASQ44" s="3161"/>
      <c r="ASR44" s="3161"/>
      <c r="ASS44" s="3161"/>
      <c r="AST44" s="3161"/>
      <c r="ASU44" s="3161"/>
      <c r="ASV44" s="3161"/>
      <c r="ASW44" s="3161"/>
      <c r="ASX44" s="3161"/>
      <c r="ASY44" s="3161"/>
      <c r="ASZ44" s="3161"/>
      <c r="ATA44" s="3161"/>
      <c r="ATB44" s="3161"/>
      <c r="ATC44" s="3161"/>
      <c r="ATD44" s="3161"/>
      <c r="ATE44" s="3161"/>
      <c r="ATF44" s="3161"/>
      <c r="ATG44" s="3161"/>
      <c r="ATH44" s="3161"/>
      <c r="ATI44" s="3161"/>
      <c r="ATJ44" s="3161"/>
      <c r="ATK44" s="3161"/>
      <c r="ATL44" s="3161"/>
      <c r="ATM44" s="3161"/>
      <c r="ATN44" s="3161"/>
      <c r="ATO44" s="3161"/>
      <c r="ATP44" s="3161"/>
      <c r="ATQ44" s="3161"/>
      <c r="ATR44" s="3161"/>
      <c r="ATS44" s="3161"/>
      <c r="ATT44" s="3161"/>
      <c r="ATU44" s="3161"/>
      <c r="ATV44" s="3161"/>
      <c r="ATW44" s="3161"/>
      <c r="ATX44" s="3161"/>
      <c r="ATY44" s="3161"/>
      <c r="ATZ44" s="3161"/>
      <c r="AUA44" s="3161"/>
      <c r="AUB44" s="3161"/>
      <c r="AUC44" s="3161"/>
      <c r="AUD44" s="3161"/>
      <c r="AUE44" s="3161"/>
      <c r="AUF44" s="3161"/>
      <c r="AUG44" s="3161"/>
      <c r="AUH44" s="3161"/>
      <c r="AUI44" s="3161"/>
      <c r="AUJ44" s="3161"/>
      <c r="AUK44" s="3161"/>
      <c r="AUL44" s="3161"/>
      <c r="AUM44" s="3161"/>
      <c r="AUN44" s="3161"/>
      <c r="AUO44" s="3161"/>
      <c r="AUP44" s="3161"/>
      <c r="AUQ44" s="3161"/>
      <c r="AUR44" s="3161"/>
      <c r="AUS44" s="3161"/>
      <c r="AUT44" s="3161"/>
      <c r="AUU44" s="3161"/>
      <c r="AUV44" s="3161"/>
      <c r="AUW44" s="3161"/>
      <c r="AUX44" s="3161"/>
      <c r="AUY44" s="3161"/>
      <c r="AUZ44" s="3161"/>
      <c r="AVA44" s="3161"/>
      <c r="AVB44" s="3161"/>
      <c r="AVC44" s="3161"/>
      <c r="AVD44" s="3161"/>
      <c r="AVE44" s="3161"/>
      <c r="AVF44" s="3161"/>
      <c r="AVG44" s="3161"/>
      <c r="AVH44" s="3161"/>
      <c r="AVI44" s="3161"/>
      <c r="AVJ44" s="3161"/>
      <c r="AVK44" s="3161"/>
      <c r="AVL44" s="3161"/>
      <c r="AVM44" s="3161"/>
      <c r="AVN44" s="3161"/>
      <c r="AVO44" s="3161"/>
      <c r="AVP44" s="3161"/>
      <c r="AVQ44" s="3161"/>
      <c r="AVR44" s="3161"/>
      <c r="AVS44" s="3161"/>
      <c r="AVT44" s="3161"/>
      <c r="AVU44" s="3161"/>
      <c r="AVV44" s="3161"/>
      <c r="AVW44" s="3161"/>
      <c r="AVX44" s="3161"/>
      <c r="AVY44" s="3161"/>
      <c r="AVZ44" s="3161"/>
      <c r="AWA44" s="3161"/>
      <c r="AWB44" s="3161"/>
      <c r="AWC44" s="3161"/>
      <c r="AWD44" s="3161"/>
      <c r="AWE44" s="3161"/>
      <c r="AWF44" s="3161"/>
      <c r="AWG44" s="3161"/>
      <c r="AWH44" s="3161"/>
      <c r="AWI44" s="3161"/>
      <c r="AWJ44" s="3161"/>
      <c r="AWK44" s="3161"/>
      <c r="AWL44" s="3161"/>
      <c r="AWM44" s="3161"/>
      <c r="AWN44" s="3161"/>
      <c r="AWO44" s="3161"/>
      <c r="AWP44" s="3161"/>
      <c r="AWQ44" s="3161"/>
      <c r="AWR44" s="3161"/>
      <c r="AWS44" s="3161"/>
      <c r="AWT44" s="3161"/>
      <c r="AWU44" s="3161"/>
      <c r="AWV44" s="3161"/>
      <c r="AWW44" s="3161"/>
      <c r="AWX44" s="3161"/>
      <c r="AWY44" s="3161"/>
      <c r="AWZ44" s="3161"/>
      <c r="AXA44" s="3161"/>
      <c r="AXB44" s="3161"/>
      <c r="AXC44" s="3161"/>
      <c r="AXD44" s="3161"/>
      <c r="AXE44" s="3161"/>
      <c r="AXF44" s="3161"/>
      <c r="AXG44" s="3161"/>
      <c r="AXH44" s="3161"/>
      <c r="AXI44" s="3161"/>
      <c r="AXJ44" s="3161"/>
      <c r="AXK44" s="3161"/>
      <c r="AXL44" s="3161"/>
      <c r="AXM44" s="3161"/>
      <c r="AXN44" s="3161"/>
      <c r="AXO44" s="3161"/>
      <c r="AXP44" s="3161"/>
      <c r="AXQ44" s="3161"/>
      <c r="AXR44" s="3161"/>
      <c r="AXS44" s="3161"/>
      <c r="AXT44" s="3161"/>
      <c r="AXU44" s="3161"/>
      <c r="AXV44" s="3161"/>
      <c r="AXW44" s="3161"/>
      <c r="AXX44" s="3161"/>
      <c r="AXY44" s="3161"/>
      <c r="AXZ44" s="3161"/>
      <c r="AYA44" s="3161"/>
      <c r="AYB44" s="3161"/>
      <c r="AYC44" s="3161"/>
      <c r="AYD44" s="3161"/>
      <c r="AYE44" s="3161"/>
      <c r="AYF44" s="3161"/>
      <c r="AYG44" s="3161"/>
      <c r="AYH44" s="3161"/>
      <c r="AYI44" s="3161"/>
      <c r="AYJ44" s="3161"/>
      <c r="AYK44" s="3161"/>
      <c r="AYL44" s="3161"/>
      <c r="AYM44" s="3161"/>
      <c r="AYN44" s="3161"/>
      <c r="AYO44" s="3161"/>
      <c r="AYP44" s="3161"/>
      <c r="AYQ44" s="3161"/>
      <c r="AYR44" s="3161"/>
      <c r="AYS44" s="3161"/>
      <c r="AYT44" s="3161"/>
      <c r="AYU44" s="3161"/>
      <c r="AYV44" s="3161"/>
      <c r="AYW44" s="3161"/>
      <c r="AYX44" s="3161"/>
      <c r="AYY44" s="3161"/>
      <c r="AYZ44" s="3161"/>
      <c r="AZA44" s="3161"/>
      <c r="AZB44" s="3161"/>
      <c r="AZC44" s="3161"/>
      <c r="AZD44" s="3161"/>
      <c r="AZE44" s="3161"/>
      <c r="AZF44" s="3161"/>
      <c r="AZG44" s="3161"/>
      <c r="AZH44" s="3161"/>
      <c r="AZI44" s="3161"/>
      <c r="AZJ44" s="3161"/>
      <c r="AZK44" s="3161"/>
      <c r="AZL44" s="3161"/>
      <c r="AZM44" s="3161"/>
      <c r="AZN44" s="3161"/>
      <c r="AZO44" s="3161"/>
      <c r="AZP44" s="3161"/>
      <c r="AZQ44" s="3161"/>
      <c r="AZR44" s="3161"/>
      <c r="AZS44" s="3161"/>
      <c r="AZT44" s="3161"/>
      <c r="AZU44" s="3161"/>
      <c r="AZV44" s="3161"/>
      <c r="AZW44" s="3161"/>
      <c r="AZX44" s="3161"/>
      <c r="AZY44" s="3161"/>
      <c r="AZZ44" s="3161"/>
      <c r="BAA44" s="3161"/>
      <c r="BAB44" s="3161"/>
      <c r="BAC44" s="3161"/>
      <c r="BAD44" s="3161"/>
      <c r="BAE44" s="3161"/>
      <c r="BAF44" s="3161"/>
      <c r="BAG44" s="3161"/>
      <c r="BAH44" s="3161"/>
      <c r="BAI44" s="3161"/>
      <c r="BAJ44" s="3161"/>
      <c r="BAK44" s="3161"/>
      <c r="BAL44" s="3161"/>
      <c r="BAM44" s="3161"/>
      <c r="BAN44" s="3161"/>
      <c r="BAO44" s="3161"/>
      <c r="BAP44" s="3161"/>
      <c r="BAQ44" s="3161"/>
      <c r="BAR44" s="3161"/>
      <c r="BAS44" s="3161"/>
      <c r="BAT44" s="3161"/>
      <c r="BAU44" s="3161"/>
      <c r="BAV44" s="3161"/>
      <c r="BAW44" s="3161"/>
      <c r="BAX44" s="3161"/>
      <c r="BAY44" s="3161"/>
      <c r="BAZ44" s="3161"/>
      <c r="BBA44" s="3161"/>
      <c r="BBB44" s="3161"/>
      <c r="BBC44" s="3161"/>
      <c r="BBD44" s="3161"/>
      <c r="BBE44" s="3161"/>
      <c r="BBF44" s="3161"/>
      <c r="BBG44" s="3161"/>
      <c r="BBH44" s="3161"/>
      <c r="BBI44" s="3161"/>
      <c r="BBJ44" s="3161"/>
      <c r="BBK44" s="3161"/>
      <c r="BBL44" s="3161"/>
      <c r="BBM44" s="3161"/>
      <c r="BBN44" s="3161"/>
      <c r="BBO44" s="3161"/>
      <c r="BBP44" s="3161"/>
      <c r="BBQ44" s="3161"/>
      <c r="BBR44" s="3161"/>
      <c r="BBS44" s="3161"/>
      <c r="BBT44" s="3161"/>
      <c r="BBU44" s="3161"/>
      <c r="BBV44" s="3161"/>
      <c r="BBW44" s="3161"/>
      <c r="BBX44" s="3161"/>
      <c r="BBY44" s="3161"/>
      <c r="BBZ44" s="3161"/>
      <c r="BCA44" s="3161"/>
      <c r="BCB44" s="3161"/>
      <c r="BCC44" s="3161"/>
      <c r="BCD44" s="3161"/>
      <c r="BCE44" s="3161"/>
      <c r="BCF44" s="3161"/>
      <c r="BCG44" s="3161"/>
      <c r="BCH44" s="3161"/>
      <c r="BCI44" s="3161"/>
      <c r="BCJ44" s="3161"/>
      <c r="BCK44" s="3161"/>
      <c r="BCL44" s="3161"/>
      <c r="BCM44" s="3161"/>
      <c r="BCN44" s="3161"/>
      <c r="BCO44" s="3161"/>
      <c r="BCP44" s="3161"/>
      <c r="BCQ44" s="3161"/>
      <c r="BCR44" s="3161"/>
      <c r="BCS44" s="3161"/>
      <c r="BCT44" s="3161"/>
      <c r="BCU44" s="3161"/>
      <c r="BCV44" s="3161"/>
      <c r="BCW44" s="3161"/>
      <c r="BCX44" s="3161"/>
      <c r="BCY44" s="3161"/>
      <c r="BCZ44" s="3161"/>
      <c r="BDA44" s="3161"/>
      <c r="BDB44" s="3161"/>
      <c r="BDC44" s="3161"/>
      <c r="BDD44" s="3161"/>
      <c r="BDE44" s="3161"/>
      <c r="BDF44" s="3161"/>
      <c r="BDG44" s="3161"/>
      <c r="BDH44" s="3161"/>
      <c r="BDI44" s="3161"/>
      <c r="BDJ44" s="3161"/>
      <c r="BDK44" s="3161"/>
      <c r="BDL44" s="3161"/>
      <c r="BDM44" s="3161"/>
      <c r="BDN44" s="3161"/>
      <c r="BDO44" s="3161"/>
      <c r="BDP44" s="3161"/>
      <c r="BDQ44" s="3161"/>
      <c r="BDR44" s="3161"/>
      <c r="BDS44" s="3161"/>
      <c r="BDT44" s="3161"/>
      <c r="BDU44" s="3161"/>
      <c r="BDV44" s="3161"/>
      <c r="BDW44" s="3161"/>
      <c r="BDX44" s="3161"/>
      <c r="BDY44" s="3161"/>
      <c r="BDZ44" s="3161"/>
      <c r="BEA44" s="3161"/>
      <c r="BEB44" s="3161"/>
      <c r="BEC44" s="3161"/>
      <c r="BED44" s="3161"/>
      <c r="BEE44" s="3161"/>
      <c r="BEF44" s="3161"/>
      <c r="BEG44" s="3161"/>
      <c r="BEH44" s="3161"/>
      <c r="BEI44" s="3161"/>
      <c r="BEJ44" s="3161"/>
      <c r="BEK44" s="3161"/>
      <c r="BEL44" s="3161"/>
      <c r="BEM44" s="3161"/>
      <c r="BEN44" s="3161"/>
      <c r="BEO44" s="3161"/>
      <c r="BEP44" s="3161"/>
      <c r="BEQ44" s="3161"/>
      <c r="BER44" s="3161"/>
      <c r="BES44" s="3161"/>
      <c r="BET44" s="3161"/>
      <c r="BEU44" s="3161"/>
      <c r="BEV44" s="3161"/>
      <c r="BEW44" s="3161"/>
      <c r="BEX44" s="3161"/>
      <c r="BEY44" s="3161"/>
      <c r="BEZ44" s="3161"/>
      <c r="BFA44" s="3161"/>
      <c r="BFB44" s="3161"/>
      <c r="BFC44" s="3161"/>
      <c r="BFD44" s="3161"/>
      <c r="BFE44" s="3161"/>
      <c r="BFF44" s="3161"/>
      <c r="BFG44" s="3161"/>
      <c r="BFH44" s="3161"/>
      <c r="BFI44" s="3161"/>
      <c r="BFJ44" s="3161"/>
      <c r="BFK44" s="3161"/>
      <c r="BFL44" s="3161"/>
      <c r="BFM44" s="3161"/>
      <c r="BFN44" s="3161"/>
      <c r="BFO44" s="3161"/>
      <c r="BFP44" s="3161"/>
      <c r="BFQ44" s="3161"/>
      <c r="BFR44" s="3161"/>
      <c r="BFS44" s="3161"/>
      <c r="BFT44" s="3161"/>
      <c r="BFU44" s="3161"/>
      <c r="BFV44" s="3161"/>
      <c r="BFW44" s="3161"/>
      <c r="BFX44" s="3161"/>
      <c r="BFY44" s="3161"/>
      <c r="BFZ44" s="3161"/>
      <c r="BGA44" s="3161"/>
      <c r="BGB44" s="3161"/>
      <c r="BGC44" s="3161"/>
      <c r="BGD44" s="3161"/>
      <c r="BGE44" s="3161"/>
      <c r="BGF44" s="3161"/>
      <c r="BGG44" s="3161"/>
      <c r="BGH44" s="3161"/>
      <c r="BGI44" s="3161"/>
      <c r="BGJ44" s="3161"/>
      <c r="BGK44" s="3161"/>
      <c r="BGL44" s="3161"/>
      <c r="BGM44" s="3161"/>
      <c r="BGN44" s="3161"/>
      <c r="BGO44" s="3161"/>
      <c r="BGP44" s="3161"/>
      <c r="BGQ44" s="3161"/>
      <c r="BGR44" s="3161"/>
      <c r="BGS44" s="3161"/>
      <c r="BGT44" s="3161"/>
      <c r="BGU44" s="3161"/>
      <c r="BGV44" s="3161"/>
      <c r="BGW44" s="3161"/>
      <c r="BGX44" s="3161"/>
      <c r="BGY44" s="3161"/>
      <c r="BGZ44" s="3161"/>
      <c r="BHA44" s="3161"/>
      <c r="BHB44" s="3161"/>
      <c r="BHC44" s="3161"/>
      <c r="BHD44" s="3161"/>
      <c r="BHE44" s="3161"/>
      <c r="BHF44" s="3161"/>
      <c r="BHG44" s="3161"/>
      <c r="BHH44" s="3161"/>
      <c r="BHI44" s="3161"/>
      <c r="BHJ44" s="3161"/>
      <c r="BHK44" s="3161"/>
      <c r="BHL44" s="3161"/>
      <c r="BHM44" s="3161"/>
      <c r="BHN44" s="3161"/>
      <c r="BHO44" s="3161"/>
      <c r="BHP44" s="3161"/>
      <c r="BHQ44" s="3161"/>
      <c r="BHR44" s="3161"/>
      <c r="BHS44" s="3161"/>
      <c r="BHT44" s="3161"/>
      <c r="BHU44" s="3161"/>
      <c r="BHV44" s="3161"/>
      <c r="BHW44" s="3161"/>
      <c r="BHX44" s="3161"/>
      <c r="BHY44" s="3161"/>
      <c r="BHZ44" s="3161"/>
      <c r="BIA44" s="3161"/>
      <c r="BIB44" s="3161"/>
      <c r="BIC44" s="3161"/>
      <c r="BID44" s="3161"/>
      <c r="BIE44" s="3161"/>
      <c r="BIF44" s="3161"/>
      <c r="BIG44" s="3161"/>
      <c r="BIH44" s="3161"/>
      <c r="BII44" s="3161"/>
      <c r="BIJ44" s="3161"/>
      <c r="BIK44" s="3161"/>
      <c r="BIL44" s="3161"/>
      <c r="BIM44" s="3161"/>
      <c r="BIN44" s="3161"/>
      <c r="BIO44" s="3161"/>
      <c r="BIP44" s="3161"/>
      <c r="BIQ44" s="3161"/>
      <c r="BIR44" s="3161"/>
      <c r="BIS44" s="3161"/>
      <c r="BIT44" s="3161"/>
      <c r="BIU44" s="3161"/>
      <c r="BIV44" s="3161"/>
      <c r="BIW44" s="3161"/>
      <c r="BIX44" s="3161"/>
      <c r="BIY44" s="3161"/>
      <c r="BIZ44" s="3161"/>
      <c r="BJA44" s="3161"/>
      <c r="BJB44" s="3161"/>
      <c r="BJC44" s="3161"/>
      <c r="BJD44" s="3161"/>
      <c r="BJE44" s="3161"/>
      <c r="BJF44" s="3161"/>
      <c r="BJG44" s="3161"/>
      <c r="BJH44" s="3161"/>
      <c r="BJI44" s="3161"/>
      <c r="BJJ44" s="3161"/>
      <c r="BJK44" s="3161"/>
      <c r="BJL44" s="3161"/>
      <c r="BJM44" s="3161"/>
      <c r="BJN44" s="3161"/>
      <c r="BJO44" s="3161"/>
      <c r="BJP44" s="3161"/>
      <c r="BJQ44" s="3161"/>
      <c r="BJR44" s="3161"/>
      <c r="BJS44" s="3161"/>
      <c r="BJT44" s="3161"/>
      <c r="BJU44" s="3161"/>
      <c r="BJV44" s="3161"/>
      <c r="BJW44" s="3161"/>
      <c r="BJX44" s="3161"/>
      <c r="BJY44" s="3161"/>
      <c r="BJZ44" s="3161"/>
      <c r="BKA44" s="3161"/>
      <c r="BKB44" s="3161"/>
      <c r="BKC44" s="3161"/>
      <c r="BKD44" s="3161"/>
      <c r="BKE44" s="3161"/>
      <c r="BKF44" s="3161"/>
      <c r="BKG44" s="3161"/>
      <c r="BKH44" s="3161"/>
      <c r="BKI44" s="3161"/>
      <c r="BKJ44" s="3161"/>
      <c r="BKK44" s="3161"/>
      <c r="BKL44" s="3161"/>
      <c r="BKM44" s="3161"/>
      <c r="BKN44" s="3161"/>
      <c r="BKO44" s="3161"/>
      <c r="BKP44" s="3161"/>
      <c r="BKQ44" s="3161"/>
      <c r="BKR44" s="3161"/>
      <c r="BKS44" s="3161"/>
      <c r="BKT44" s="3161"/>
      <c r="BKU44" s="3161"/>
      <c r="BKV44" s="3161"/>
      <c r="BKW44" s="3161"/>
      <c r="BKX44" s="3161"/>
      <c r="BKY44" s="3161"/>
      <c r="BKZ44" s="3161"/>
      <c r="BLA44" s="3161"/>
      <c r="BLB44" s="3161"/>
      <c r="BLC44" s="3161"/>
      <c r="BLD44" s="3161"/>
      <c r="BLE44" s="3161"/>
      <c r="BLF44" s="3161"/>
      <c r="BLG44" s="3161"/>
      <c r="BLH44" s="3161"/>
      <c r="BLI44" s="3161"/>
      <c r="BLJ44" s="3161"/>
      <c r="BLK44" s="3161"/>
      <c r="BLL44" s="3161"/>
      <c r="BLM44" s="3161"/>
      <c r="BLN44" s="3161"/>
      <c r="BLO44" s="3161"/>
      <c r="BLP44" s="3161"/>
      <c r="BLQ44" s="3161"/>
      <c r="BLR44" s="3161"/>
      <c r="BLS44" s="3161"/>
      <c r="BLT44" s="3161"/>
      <c r="BLU44" s="3161"/>
      <c r="BLV44" s="3161"/>
      <c r="BLW44" s="3161"/>
      <c r="BLX44" s="3161"/>
      <c r="BLY44" s="3161"/>
      <c r="BLZ44" s="3161"/>
      <c r="BMA44" s="3161"/>
      <c r="BMB44" s="3161"/>
      <c r="BMC44" s="3161"/>
      <c r="BMD44" s="3161"/>
      <c r="BME44" s="3161"/>
      <c r="BMF44" s="3161"/>
      <c r="BMG44" s="3161"/>
      <c r="BMH44" s="3161"/>
      <c r="BMI44" s="3161"/>
      <c r="BMJ44" s="3161"/>
      <c r="BMK44" s="3161"/>
      <c r="BML44" s="3161"/>
      <c r="BMM44" s="3161"/>
      <c r="BMN44" s="3161"/>
      <c r="BMO44" s="3161"/>
      <c r="BMP44" s="3161"/>
      <c r="BMQ44" s="3161"/>
      <c r="BMR44" s="3161"/>
      <c r="BMS44" s="3161"/>
      <c r="BMT44" s="3161"/>
      <c r="BMU44" s="3161"/>
      <c r="BMV44" s="3161"/>
      <c r="BMW44" s="3161"/>
      <c r="BMX44" s="3161"/>
      <c r="BMY44" s="3161"/>
      <c r="BMZ44" s="3161"/>
      <c r="BNA44" s="3161"/>
      <c r="BNB44" s="3161"/>
      <c r="BNC44" s="3161"/>
      <c r="BND44" s="3161"/>
      <c r="BNE44" s="3161"/>
      <c r="BNF44" s="3161"/>
      <c r="BNG44" s="3161"/>
      <c r="BNH44" s="3161"/>
      <c r="BNI44" s="3161"/>
      <c r="BNJ44" s="3161"/>
      <c r="BNK44" s="3161"/>
      <c r="BNL44" s="3161"/>
      <c r="BNM44" s="3161"/>
      <c r="BNN44" s="3161"/>
      <c r="BNO44" s="3161"/>
      <c r="BNP44" s="3161"/>
      <c r="BNQ44" s="3161"/>
      <c r="BNR44" s="3161"/>
      <c r="BNS44" s="3161"/>
      <c r="BNT44" s="3161"/>
      <c r="BNU44" s="3161"/>
      <c r="BNV44" s="3161"/>
      <c r="BNW44" s="3161"/>
      <c r="BNX44" s="3161"/>
      <c r="BNY44" s="3161"/>
      <c r="BNZ44" s="3161"/>
      <c r="BOA44" s="3161"/>
      <c r="BOB44" s="3161"/>
      <c r="BOC44" s="3161"/>
      <c r="BOD44" s="3161"/>
      <c r="BOE44" s="3161"/>
      <c r="BOF44" s="3161"/>
      <c r="BOG44" s="3161"/>
      <c r="BOH44" s="3161"/>
      <c r="BOI44" s="3161"/>
      <c r="BOJ44" s="3161"/>
      <c r="BOK44" s="3161"/>
      <c r="BOL44" s="3161"/>
      <c r="BOM44" s="3161"/>
      <c r="BON44" s="3161"/>
      <c r="BOO44" s="3161"/>
      <c r="BOP44" s="3161"/>
      <c r="BOQ44" s="3161"/>
      <c r="BOR44" s="3161"/>
      <c r="BOS44" s="3161"/>
      <c r="BOT44" s="3161"/>
      <c r="BOU44" s="3161"/>
      <c r="BOV44" s="3161"/>
      <c r="BOW44" s="3161"/>
      <c r="BOX44" s="3161"/>
      <c r="BOY44" s="3161"/>
      <c r="BOZ44" s="3161"/>
      <c r="BPA44" s="3161"/>
      <c r="BPB44" s="3161"/>
      <c r="BPC44" s="3161"/>
      <c r="BPD44" s="3161"/>
      <c r="BPE44" s="3161"/>
      <c r="BPF44" s="3161"/>
      <c r="BPG44" s="3161"/>
      <c r="BPH44" s="3161"/>
      <c r="BPI44" s="3161"/>
      <c r="BPJ44" s="3161"/>
      <c r="BPK44" s="3161"/>
      <c r="BPL44" s="3161"/>
      <c r="BPM44" s="3161"/>
      <c r="BPN44" s="3161"/>
      <c r="BPO44" s="3161"/>
      <c r="BPP44" s="3161"/>
      <c r="BPQ44" s="3161"/>
      <c r="BPR44" s="3161"/>
      <c r="BPS44" s="3161"/>
      <c r="BPT44" s="3161"/>
      <c r="BPU44" s="3161"/>
      <c r="BPV44" s="3161"/>
      <c r="BPW44" s="3161"/>
      <c r="BPX44" s="3161"/>
      <c r="BPY44" s="3161"/>
      <c r="BPZ44" s="3161"/>
      <c r="BQA44" s="3161"/>
      <c r="BQB44" s="3161"/>
      <c r="BQC44" s="3161"/>
      <c r="BQD44" s="3161"/>
      <c r="BQE44" s="3161"/>
      <c r="BQF44" s="3161"/>
      <c r="BQG44" s="3161"/>
      <c r="BQH44" s="3161"/>
      <c r="BQI44" s="3161"/>
      <c r="BQJ44" s="3161"/>
      <c r="BQK44" s="3161"/>
      <c r="BQL44" s="3161"/>
      <c r="BQM44" s="3161"/>
      <c r="BQN44" s="3161"/>
      <c r="BQO44" s="3161"/>
      <c r="BQP44" s="3161"/>
      <c r="BQQ44" s="3161"/>
      <c r="BQR44" s="3161"/>
      <c r="BQS44" s="3161"/>
      <c r="BQT44" s="3161"/>
      <c r="BQU44" s="3161"/>
      <c r="BQV44" s="3161"/>
      <c r="BQW44" s="3161"/>
      <c r="BQX44" s="3161"/>
      <c r="BQY44" s="3161"/>
      <c r="BQZ44" s="3161"/>
      <c r="BRA44" s="3161"/>
      <c r="BRB44" s="3161"/>
      <c r="BRC44" s="3161"/>
      <c r="BRD44" s="3161"/>
      <c r="BRE44" s="3161"/>
      <c r="BRF44" s="3161"/>
      <c r="BRG44" s="3161"/>
      <c r="BRH44" s="3161"/>
      <c r="BRI44" s="3161"/>
      <c r="BRJ44" s="3161"/>
      <c r="BRK44" s="3161"/>
      <c r="BRL44" s="3161"/>
      <c r="BRM44" s="3161"/>
      <c r="BRN44" s="3161"/>
      <c r="BRO44" s="3161"/>
      <c r="BRP44" s="3161"/>
      <c r="BRQ44" s="3161"/>
      <c r="BRR44" s="3161"/>
      <c r="BRS44" s="3161"/>
      <c r="BRT44" s="3161"/>
      <c r="BRU44" s="3161"/>
      <c r="BRV44" s="3161"/>
      <c r="BRW44" s="3161"/>
      <c r="BRX44" s="3161"/>
      <c r="BRY44" s="3161"/>
      <c r="BRZ44" s="3161"/>
      <c r="BSA44" s="3161"/>
      <c r="BSB44" s="3161"/>
      <c r="BSC44" s="3161"/>
      <c r="BSD44" s="3161"/>
      <c r="BSE44" s="3161"/>
      <c r="BSF44" s="3161"/>
      <c r="BSG44" s="3161"/>
      <c r="BSH44" s="3161"/>
      <c r="BSI44" s="3161"/>
      <c r="BSJ44" s="3161"/>
      <c r="BSK44" s="3161"/>
      <c r="BSL44" s="3161"/>
      <c r="BSM44" s="3161"/>
      <c r="BSN44" s="3161"/>
      <c r="BSO44" s="3161"/>
      <c r="BSP44" s="3161"/>
      <c r="BSQ44" s="3161"/>
      <c r="BSR44" s="3161"/>
      <c r="BSS44" s="3161"/>
      <c r="BST44" s="3161"/>
      <c r="BSU44" s="3161"/>
      <c r="BSV44" s="3161"/>
      <c r="BSW44" s="3161"/>
      <c r="BSX44" s="3161"/>
      <c r="BSY44" s="3161"/>
      <c r="BSZ44" s="3161"/>
      <c r="BTA44" s="3161"/>
      <c r="BTB44" s="3161"/>
      <c r="BTC44" s="3161"/>
      <c r="BTD44" s="3161"/>
      <c r="BTE44" s="3161"/>
      <c r="BTF44" s="3161"/>
      <c r="BTG44" s="3161"/>
      <c r="BTH44" s="3161"/>
      <c r="BTI44" s="3161"/>
      <c r="BTJ44" s="3161"/>
      <c r="BTK44" s="3161"/>
      <c r="BTL44" s="3161"/>
      <c r="BTM44" s="3161"/>
      <c r="BTN44" s="3161"/>
      <c r="BTO44" s="3161"/>
      <c r="BTP44" s="3161"/>
      <c r="BTQ44" s="3161"/>
      <c r="BTR44" s="3161"/>
      <c r="BTS44" s="3161"/>
      <c r="BTT44" s="3161"/>
      <c r="BTU44" s="3161"/>
      <c r="BTV44" s="3161"/>
      <c r="BTW44" s="3161"/>
      <c r="BTX44" s="3161"/>
      <c r="BTY44" s="3161"/>
      <c r="BTZ44" s="3161"/>
      <c r="BUA44" s="3161"/>
      <c r="BUB44" s="3161"/>
      <c r="BUC44" s="3161"/>
      <c r="BUD44" s="3161"/>
      <c r="BUE44" s="3161"/>
      <c r="BUF44" s="3161"/>
      <c r="BUG44" s="3161"/>
      <c r="BUH44" s="3161"/>
      <c r="BUI44" s="3161"/>
      <c r="BUJ44" s="3161"/>
      <c r="BUK44" s="3161"/>
      <c r="BUL44" s="3161"/>
      <c r="BUM44" s="3161"/>
      <c r="BUN44" s="3161"/>
      <c r="BUO44" s="3161"/>
      <c r="BUP44" s="3161"/>
      <c r="BUQ44" s="3161"/>
      <c r="BUR44" s="3161"/>
      <c r="BUS44" s="3161"/>
      <c r="BUT44" s="3161"/>
      <c r="BUU44" s="3161"/>
      <c r="BUV44" s="3161"/>
      <c r="BUW44" s="3161"/>
      <c r="BUX44" s="3161"/>
      <c r="BUY44" s="3161"/>
      <c r="BUZ44" s="3161"/>
      <c r="BVA44" s="3161"/>
      <c r="BVB44" s="3161"/>
      <c r="BVC44" s="3161"/>
      <c r="BVD44" s="3161"/>
      <c r="BVE44" s="3161"/>
      <c r="BVF44" s="3161"/>
      <c r="BVG44" s="3161"/>
      <c r="BVH44" s="3161"/>
      <c r="BVI44" s="3161"/>
      <c r="BVJ44" s="3161"/>
      <c r="BVK44" s="3161"/>
      <c r="BVL44" s="3161"/>
      <c r="BVM44" s="3161"/>
      <c r="BVN44" s="3161"/>
      <c r="BVO44" s="3161"/>
      <c r="BVP44" s="3161"/>
      <c r="BVQ44" s="3161"/>
      <c r="BVR44" s="3161"/>
      <c r="BVS44" s="3161"/>
      <c r="BVT44" s="3161"/>
      <c r="BVU44" s="3161"/>
      <c r="BVV44" s="3161"/>
      <c r="BVW44" s="3161"/>
      <c r="BVX44" s="3161"/>
      <c r="BVY44" s="3161"/>
      <c r="BVZ44" s="3161"/>
      <c r="BWA44" s="3161"/>
      <c r="BWB44" s="3161"/>
      <c r="BWC44" s="3161"/>
      <c r="BWD44" s="3161"/>
      <c r="BWE44" s="3161"/>
      <c r="BWF44" s="3161"/>
      <c r="BWG44" s="3161"/>
      <c r="BWH44" s="3161"/>
      <c r="BWI44" s="3161"/>
      <c r="BWJ44" s="3161"/>
      <c r="BWK44" s="3161"/>
      <c r="BWL44" s="3161"/>
      <c r="BWM44" s="3161"/>
      <c r="BWN44" s="3161"/>
      <c r="BWO44" s="3161"/>
      <c r="BWP44" s="3161"/>
      <c r="BWQ44" s="3161"/>
      <c r="BWR44" s="3161"/>
      <c r="BWS44" s="3161"/>
      <c r="BWT44" s="3161"/>
      <c r="BWU44" s="3161"/>
      <c r="BWV44" s="3161"/>
      <c r="BWW44" s="3161"/>
      <c r="BWX44" s="3161"/>
      <c r="BWY44" s="3161"/>
      <c r="BWZ44" s="3161"/>
      <c r="BXA44" s="3161"/>
      <c r="BXB44" s="3161"/>
      <c r="BXC44" s="3161"/>
      <c r="BXD44" s="3161"/>
      <c r="BXE44" s="3161"/>
      <c r="BXF44" s="3161"/>
      <c r="BXG44" s="3161"/>
      <c r="BXH44" s="3161"/>
      <c r="BXI44" s="3161"/>
      <c r="BXJ44" s="3161"/>
      <c r="BXK44" s="3161"/>
      <c r="BXL44" s="3161"/>
      <c r="BXM44" s="3161"/>
      <c r="BXN44" s="3161"/>
      <c r="BXO44" s="3161"/>
      <c r="BXP44" s="3161"/>
      <c r="BXQ44" s="3161"/>
      <c r="BXR44" s="3161"/>
      <c r="BXS44" s="3161"/>
      <c r="BXT44" s="3161"/>
      <c r="BXU44" s="3161"/>
      <c r="BXV44" s="3161"/>
      <c r="BXW44" s="3161"/>
      <c r="BXX44" s="3161"/>
      <c r="BXY44" s="3161"/>
      <c r="BXZ44" s="3161"/>
      <c r="BYA44" s="3161"/>
      <c r="BYB44" s="3161"/>
      <c r="BYC44" s="3161"/>
      <c r="BYD44" s="3161"/>
      <c r="BYE44" s="3161"/>
      <c r="BYF44" s="3161"/>
      <c r="BYG44" s="3161"/>
      <c r="BYH44" s="3161"/>
      <c r="BYI44" s="3161"/>
      <c r="BYJ44" s="3161"/>
      <c r="BYK44" s="3161"/>
      <c r="BYL44" s="3161"/>
      <c r="BYM44" s="3161"/>
      <c r="BYN44" s="3161"/>
      <c r="BYO44" s="3161"/>
      <c r="BYP44" s="3161"/>
      <c r="BYQ44" s="3161"/>
      <c r="BYR44" s="3161"/>
      <c r="BYS44" s="3161"/>
      <c r="BYT44" s="3161"/>
      <c r="BYU44" s="3161"/>
      <c r="BYV44" s="3161"/>
      <c r="BYW44" s="3161"/>
      <c r="BYX44" s="3161"/>
      <c r="BYY44" s="3161"/>
      <c r="BYZ44" s="3161"/>
      <c r="BZA44" s="3161"/>
      <c r="BZB44" s="3161"/>
      <c r="BZC44" s="3161"/>
      <c r="BZD44" s="3161"/>
      <c r="BZE44" s="3161"/>
      <c r="BZF44" s="3161"/>
      <c r="BZG44" s="3161"/>
      <c r="BZH44" s="3161"/>
      <c r="BZI44" s="3161"/>
      <c r="BZJ44" s="3161"/>
      <c r="BZK44" s="3161"/>
      <c r="BZL44" s="3161"/>
      <c r="BZM44" s="3161"/>
      <c r="BZN44" s="3161"/>
      <c r="BZO44" s="3161"/>
      <c r="BZP44" s="3161"/>
      <c r="BZQ44" s="3161"/>
      <c r="BZR44" s="3161"/>
      <c r="BZS44" s="3161"/>
      <c r="BZT44" s="3161"/>
      <c r="BZU44" s="3161"/>
      <c r="BZV44" s="3161"/>
      <c r="BZW44" s="3161"/>
      <c r="BZX44" s="3161"/>
      <c r="BZY44" s="3161"/>
      <c r="BZZ44" s="3161"/>
      <c r="CAA44" s="3161"/>
      <c r="CAB44" s="3161"/>
      <c r="CAC44" s="3161"/>
      <c r="CAD44" s="3161"/>
      <c r="CAE44" s="3161"/>
      <c r="CAF44" s="3161"/>
      <c r="CAG44" s="3161"/>
      <c r="CAH44" s="3161"/>
      <c r="CAI44" s="3161"/>
      <c r="CAJ44" s="3161"/>
      <c r="CAK44" s="3161"/>
      <c r="CAL44" s="3161"/>
      <c r="CAM44" s="3161"/>
      <c r="CAN44" s="3161"/>
      <c r="CAO44" s="3161"/>
      <c r="CAP44" s="3161"/>
      <c r="CAQ44" s="3161"/>
      <c r="CAR44" s="3161"/>
      <c r="CAS44" s="3161"/>
      <c r="CAT44" s="3161"/>
      <c r="CAU44" s="3161"/>
      <c r="CAV44" s="3161"/>
      <c r="CAW44" s="3161"/>
      <c r="CAX44" s="3161"/>
      <c r="CAY44" s="3161"/>
      <c r="CAZ44" s="3161"/>
      <c r="CBA44" s="3161"/>
      <c r="CBB44" s="3161"/>
      <c r="CBC44" s="3161"/>
      <c r="CBD44" s="3161"/>
      <c r="CBE44" s="3161"/>
      <c r="CBF44" s="3161"/>
      <c r="CBG44" s="3161"/>
      <c r="CBH44" s="3161"/>
      <c r="CBI44" s="3161"/>
      <c r="CBJ44" s="3161"/>
      <c r="CBK44" s="3161"/>
      <c r="CBL44" s="3161"/>
      <c r="CBM44" s="3161"/>
      <c r="CBN44" s="3161"/>
      <c r="CBO44" s="3161"/>
      <c r="CBP44" s="3161"/>
      <c r="CBQ44" s="3161"/>
      <c r="CBR44" s="3161"/>
      <c r="CBS44" s="3161"/>
      <c r="CBT44" s="3161"/>
      <c r="CBU44" s="3161"/>
      <c r="CBV44" s="3161"/>
      <c r="CBW44" s="3161"/>
      <c r="CBX44" s="3161"/>
      <c r="CBY44" s="3161"/>
      <c r="CBZ44" s="3161"/>
      <c r="CCA44" s="3161"/>
      <c r="CCB44" s="3161"/>
      <c r="CCC44" s="3161"/>
      <c r="CCD44" s="3161"/>
      <c r="CCE44" s="3161"/>
      <c r="CCF44" s="3161"/>
      <c r="CCG44" s="3161"/>
      <c r="CCH44" s="3161"/>
      <c r="CCI44" s="3161"/>
      <c r="CCJ44" s="3161"/>
      <c r="CCK44" s="3161"/>
      <c r="CCL44" s="3161"/>
      <c r="CCM44" s="3161"/>
      <c r="CCN44" s="3161"/>
      <c r="CCO44" s="3161"/>
      <c r="CCP44" s="3161"/>
      <c r="CCQ44" s="3161"/>
      <c r="CCR44" s="3161"/>
      <c r="CCS44" s="3161"/>
      <c r="CCT44" s="3161"/>
      <c r="CCU44" s="3161"/>
      <c r="CCV44" s="3161"/>
      <c r="CCW44" s="3161"/>
      <c r="CCX44" s="3161"/>
      <c r="CCY44" s="3161"/>
      <c r="CCZ44" s="3161"/>
      <c r="CDA44" s="3161"/>
      <c r="CDB44" s="3161"/>
      <c r="CDC44" s="3161"/>
      <c r="CDD44" s="3161"/>
      <c r="CDE44" s="3161"/>
      <c r="CDF44" s="3161"/>
      <c r="CDG44" s="3161"/>
      <c r="CDH44" s="3161"/>
      <c r="CDI44" s="3161"/>
      <c r="CDJ44" s="3161"/>
      <c r="CDK44" s="3161"/>
      <c r="CDL44" s="3161"/>
      <c r="CDM44" s="3161"/>
      <c r="CDN44" s="3161"/>
      <c r="CDO44" s="3161"/>
      <c r="CDP44" s="3161"/>
      <c r="CDQ44" s="3161"/>
      <c r="CDR44" s="3161"/>
      <c r="CDS44" s="3161"/>
      <c r="CDT44" s="3161"/>
      <c r="CDU44" s="3161"/>
      <c r="CDV44" s="3161"/>
      <c r="CDW44" s="3161"/>
      <c r="CDX44" s="3161"/>
      <c r="CDY44" s="3161"/>
      <c r="CDZ44" s="3161"/>
      <c r="CEA44" s="3161"/>
      <c r="CEB44" s="3161"/>
      <c r="CEC44" s="3161"/>
      <c r="CED44" s="3161"/>
      <c r="CEE44" s="3161"/>
      <c r="CEF44" s="3161"/>
      <c r="CEG44" s="3161"/>
      <c r="CEH44" s="3161"/>
      <c r="CEI44" s="3161"/>
      <c r="CEJ44" s="3161"/>
      <c r="CEK44" s="3161"/>
      <c r="CEL44" s="3161"/>
      <c r="CEM44" s="3161"/>
      <c r="CEN44" s="3161"/>
      <c r="CEO44" s="3161"/>
      <c r="CEP44" s="3161"/>
      <c r="CEQ44" s="3161"/>
      <c r="CER44" s="3161"/>
      <c r="CES44" s="3161"/>
      <c r="CET44" s="3161"/>
      <c r="CEU44" s="3161"/>
      <c r="CEV44" s="3161"/>
      <c r="CEW44" s="3161"/>
      <c r="CEX44" s="3161"/>
      <c r="CEY44" s="3161"/>
      <c r="CEZ44" s="3161"/>
      <c r="CFA44" s="3161"/>
      <c r="CFB44" s="3161"/>
      <c r="CFC44" s="3161"/>
      <c r="CFD44" s="3161"/>
      <c r="CFE44" s="3161"/>
      <c r="CFF44" s="3161"/>
      <c r="CFG44" s="3161"/>
      <c r="CFH44" s="3161"/>
      <c r="CFI44" s="3161"/>
      <c r="CFJ44" s="3161"/>
      <c r="CFK44" s="3161"/>
      <c r="CFL44" s="3161"/>
      <c r="CFM44" s="3161"/>
      <c r="CFN44" s="3161"/>
      <c r="CFO44" s="3161"/>
      <c r="CFP44" s="3161"/>
      <c r="CFQ44" s="3161"/>
      <c r="CFR44" s="3161"/>
      <c r="CFS44" s="3161"/>
      <c r="CFT44" s="3161"/>
      <c r="CFU44" s="3161"/>
      <c r="CFV44" s="3161"/>
      <c r="CFW44" s="3161"/>
      <c r="CFX44" s="3161"/>
      <c r="CFY44" s="3161"/>
      <c r="CFZ44" s="3161"/>
      <c r="CGA44" s="3161"/>
      <c r="CGB44" s="3161"/>
      <c r="CGC44" s="3161"/>
      <c r="CGD44" s="3161"/>
      <c r="CGE44" s="3161"/>
      <c r="CGF44" s="3161"/>
      <c r="CGG44" s="3161"/>
      <c r="CGH44" s="3161"/>
      <c r="CGI44" s="3161"/>
      <c r="CGJ44" s="3161"/>
      <c r="CGK44" s="3161"/>
      <c r="CGL44" s="3161"/>
      <c r="CGM44" s="3161"/>
      <c r="CGN44" s="3161"/>
      <c r="CGO44" s="3161"/>
      <c r="CGP44" s="3161"/>
      <c r="CGQ44" s="3161"/>
      <c r="CGR44" s="3161"/>
      <c r="CGS44" s="3161"/>
      <c r="CGT44" s="3161"/>
      <c r="CGU44" s="3161"/>
      <c r="CGV44" s="3161"/>
      <c r="CGW44" s="3161"/>
      <c r="CGX44" s="3161"/>
      <c r="CGY44" s="3161"/>
      <c r="CGZ44" s="3161"/>
      <c r="CHA44" s="3161"/>
      <c r="CHB44" s="3161"/>
      <c r="CHC44" s="3161"/>
      <c r="CHD44" s="3161"/>
      <c r="CHE44" s="3161"/>
      <c r="CHF44" s="3161"/>
      <c r="CHG44" s="3161"/>
      <c r="CHH44" s="3161"/>
      <c r="CHI44" s="3161"/>
      <c r="CHJ44" s="3161"/>
      <c r="CHK44" s="3161"/>
      <c r="CHL44" s="3161"/>
      <c r="CHM44" s="3161"/>
      <c r="CHN44" s="3161"/>
      <c r="CHO44" s="3161"/>
      <c r="CHP44" s="3161"/>
      <c r="CHQ44" s="3161"/>
      <c r="CHR44" s="3161"/>
      <c r="CHS44" s="3161"/>
      <c r="CHT44" s="3161"/>
      <c r="CHU44" s="3161"/>
      <c r="CHV44" s="3161"/>
      <c r="CHW44" s="3161"/>
      <c r="CHX44" s="3161"/>
      <c r="CHY44" s="3161"/>
      <c r="CHZ44" s="3161"/>
      <c r="CIA44" s="3161"/>
      <c r="CIB44" s="3161"/>
      <c r="CIC44" s="3161"/>
      <c r="CID44" s="3161"/>
      <c r="CIE44" s="3161"/>
      <c r="CIF44" s="3161"/>
      <c r="CIG44" s="3161"/>
      <c r="CIH44" s="3161"/>
      <c r="CII44" s="3161"/>
      <c r="CIJ44" s="3161"/>
      <c r="CIK44" s="3161"/>
      <c r="CIL44" s="3161"/>
      <c r="CIM44" s="3161"/>
      <c r="CIN44" s="3161"/>
      <c r="CIO44" s="3161"/>
      <c r="CIP44" s="3161"/>
      <c r="CIQ44" s="3161"/>
      <c r="CIR44" s="3161"/>
      <c r="CIS44" s="3161"/>
      <c r="CIT44" s="3161"/>
      <c r="CIU44" s="3161"/>
      <c r="CIV44" s="3161"/>
      <c r="CIW44" s="3161"/>
      <c r="CIX44" s="3161"/>
      <c r="CIY44" s="3161"/>
      <c r="CIZ44" s="3161"/>
      <c r="CJA44" s="3161"/>
      <c r="CJB44" s="3161"/>
      <c r="CJC44" s="3161"/>
      <c r="CJD44" s="3161"/>
      <c r="CJE44" s="3161"/>
      <c r="CJF44" s="3161"/>
      <c r="CJG44" s="3161"/>
      <c r="CJH44" s="3161"/>
      <c r="CJI44" s="3161"/>
      <c r="CJJ44" s="3161"/>
      <c r="CJK44" s="3161"/>
      <c r="CJL44" s="3161"/>
      <c r="CJM44" s="3161"/>
      <c r="CJN44" s="3161"/>
      <c r="CJO44" s="3161"/>
      <c r="CJP44" s="3161"/>
      <c r="CJQ44" s="3161"/>
      <c r="CJR44" s="3161"/>
      <c r="CJS44" s="3161"/>
      <c r="CJT44" s="3161"/>
      <c r="CJU44" s="3161"/>
      <c r="CJV44" s="3161"/>
      <c r="CJW44" s="3161"/>
      <c r="CJX44" s="3161"/>
      <c r="CJY44" s="3161"/>
      <c r="CJZ44" s="3161"/>
      <c r="CKA44" s="3161"/>
      <c r="CKB44" s="3161"/>
      <c r="CKC44" s="3161"/>
      <c r="CKD44" s="3161"/>
      <c r="CKE44" s="3161"/>
      <c r="CKF44" s="3161"/>
      <c r="CKG44" s="3161"/>
      <c r="CKH44" s="3161"/>
      <c r="CKI44" s="3161"/>
      <c r="CKJ44" s="3161"/>
      <c r="CKK44" s="3161"/>
      <c r="CKL44" s="3161"/>
      <c r="CKM44" s="3161"/>
      <c r="CKN44" s="3161"/>
      <c r="CKO44" s="3161"/>
      <c r="CKP44" s="3161"/>
      <c r="CKQ44" s="3161"/>
      <c r="CKR44" s="3161"/>
      <c r="CKS44" s="3161"/>
      <c r="CKT44" s="3161"/>
      <c r="CKU44" s="3161"/>
      <c r="CKV44" s="3161"/>
      <c r="CKW44" s="3161"/>
      <c r="CKX44" s="3161"/>
      <c r="CKY44" s="3161"/>
      <c r="CKZ44" s="3161"/>
      <c r="CLA44" s="3161"/>
      <c r="CLB44" s="3161"/>
      <c r="CLC44" s="3161"/>
      <c r="CLD44" s="3161"/>
      <c r="CLE44" s="3161"/>
      <c r="CLF44" s="3161"/>
      <c r="CLG44" s="3161"/>
      <c r="CLH44" s="3161"/>
      <c r="CLI44" s="3161"/>
      <c r="CLJ44" s="3161"/>
      <c r="CLK44" s="3161"/>
      <c r="CLL44" s="3161"/>
      <c r="CLM44" s="3161"/>
      <c r="CLN44" s="3161"/>
      <c r="CLO44" s="3161"/>
      <c r="CLP44" s="3161"/>
      <c r="CLQ44" s="3161"/>
      <c r="CLR44" s="3161"/>
      <c r="CLS44" s="3161"/>
      <c r="CLT44" s="3161"/>
      <c r="CLU44" s="3161"/>
      <c r="CLV44" s="3161"/>
      <c r="CLW44" s="3161"/>
      <c r="CLX44" s="3161"/>
      <c r="CLY44" s="3161"/>
      <c r="CLZ44" s="3161"/>
      <c r="CMA44" s="3161"/>
      <c r="CMB44" s="3161"/>
      <c r="CMC44" s="3161"/>
      <c r="CMD44" s="3161"/>
      <c r="CME44" s="3161"/>
      <c r="CMF44" s="3161"/>
      <c r="CMG44" s="3161"/>
      <c r="CMH44" s="3161"/>
      <c r="CMI44" s="3161"/>
      <c r="CMJ44" s="3161"/>
      <c r="CMK44" s="3161"/>
      <c r="CML44" s="3161"/>
      <c r="CMM44" s="3161"/>
      <c r="CMN44" s="3161"/>
      <c r="CMO44" s="3161"/>
      <c r="CMP44" s="3161"/>
      <c r="CMQ44" s="3161"/>
      <c r="CMR44" s="3161"/>
      <c r="CMS44" s="3161"/>
      <c r="CMT44" s="3161"/>
      <c r="CMU44" s="3161"/>
      <c r="CMV44" s="3161"/>
      <c r="CMW44" s="3161"/>
      <c r="CMX44" s="3161"/>
      <c r="CMY44" s="3161"/>
      <c r="CMZ44" s="3161"/>
      <c r="CNA44" s="3161"/>
      <c r="CNB44" s="3161"/>
      <c r="CNC44" s="3161"/>
      <c r="CND44" s="3161"/>
      <c r="CNE44" s="3161"/>
      <c r="CNF44" s="3161"/>
      <c r="CNG44" s="3161"/>
      <c r="CNH44" s="3161"/>
      <c r="CNI44" s="3161"/>
      <c r="CNJ44" s="3161"/>
      <c r="CNK44" s="3161"/>
      <c r="CNL44" s="3161"/>
      <c r="CNM44" s="3161"/>
      <c r="CNN44" s="3161"/>
      <c r="CNO44" s="3161"/>
      <c r="CNP44" s="3161"/>
      <c r="CNQ44" s="3161"/>
      <c r="CNR44" s="3161"/>
      <c r="CNS44" s="3161"/>
      <c r="CNT44" s="3161"/>
      <c r="CNU44" s="3161"/>
      <c r="CNV44" s="3161"/>
      <c r="CNW44" s="3161"/>
      <c r="CNX44" s="3161"/>
      <c r="CNY44" s="3161"/>
      <c r="CNZ44" s="3161"/>
      <c r="COA44" s="3161"/>
      <c r="COB44" s="3161"/>
      <c r="COC44" s="3161"/>
      <c r="COD44" s="3161"/>
      <c r="COE44" s="3161"/>
      <c r="COF44" s="3161"/>
      <c r="COG44" s="3161"/>
      <c r="COH44" s="3161"/>
      <c r="COI44" s="3161"/>
      <c r="COJ44" s="3161"/>
      <c r="COK44" s="3161"/>
      <c r="COL44" s="3161"/>
      <c r="COM44" s="3161"/>
      <c r="CON44" s="3161"/>
      <c r="COO44" s="3161"/>
      <c r="COP44" s="3161"/>
      <c r="COQ44" s="3161"/>
      <c r="COR44" s="3161"/>
      <c r="COS44" s="3161"/>
      <c r="COT44" s="3161"/>
      <c r="COU44" s="3161"/>
      <c r="COV44" s="3161"/>
      <c r="COW44" s="3161"/>
      <c r="COX44" s="3161"/>
      <c r="COY44" s="3161"/>
      <c r="COZ44" s="3161"/>
      <c r="CPA44" s="3161"/>
      <c r="CPB44" s="3161"/>
      <c r="CPC44" s="3161"/>
      <c r="CPD44" s="3161"/>
      <c r="CPE44" s="3161"/>
      <c r="CPF44" s="3161"/>
      <c r="CPG44" s="3161"/>
      <c r="CPH44" s="3161"/>
      <c r="CPI44" s="3161"/>
      <c r="CPJ44" s="3161"/>
      <c r="CPK44" s="3161"/>
      <c r="CPL44" s="3161"/>
      <c r="CPM44" s="3161"/>
      <c r="CPN44" s="3161"/>
      <c r="CPO44" s="3161"/>
      <c r="CPP44" s="3161"/>
      <c r="CPQ44" s="3161"/>
      <c r="CPR44" s="3161"/>
      <c r="CPS44" s="3161"/>
      <c r="CPT44" s="3161"/>
      <c r="CPU44" s="3161"/>
      <c r="CPV44" s="3161"/>
      <c r="CPW44" s="3161"/>
      <c r="CPX44" s="3161"/>
      <c r="CPY44" s="3161"/>
      <c r="CPZ44" s="3161"/>
      <c r="CQA44" s="3161"/>
      <c r="CQB44" s="3161"/>
      <c r="CQC44" s="3161"/>
      <c r="CQD44" s="3161"/>
      <c r="CQE44" s="3161"/>
      <c r="CQF44" s="3161"/>
      <c r="CQG44" s="3161"/>
      <c r="CQH44" s="3161"/>
      <c r="CQI44" s="3161"/>
      <c r="CQJ44" s="3161"/>
      <c r="CQK44" s="3161"/>
      <c r="CQL44" s="3161"/>
      <c r="CQM44" s="3161"/>
      <c r="CQN44" s="3161"/>
      <c r="CQO44" s="3161"/>
      <c r="CQP44" s="3161"/>
      <c r="CQQ44" s="3161"/>
      <c r="CQR44" s="3161"/>
      <c r="CQS44" s="3161"/>
      <c r="CQT44" s="3161"/>
      <c r="CQU44" s="3161"/>
      <c r="CQV44" s="3161"/>
      <c r="CQW44" s="3161"/>
      <c r="CQX44" s="3161"/>
      <c r="CQY44" s="3161"/>
      <c r="CQZ44" s="3161"/>
      <c r="CRA44" s="3161"/>
      <c r="CRB44" s="3161"/>
      <c r="CRC44" s="3161"/>
      <c r="CRD44" s="3161"/>
      <c r="CRE44" s="3161"/>
      <c r="CRF44" s="3161"/>
      <c r="CRG44" s="3161"/>
      <c r="CRH44" s="3161"/>
      <c r="CRI44" s="3161"/>
      <c r="CRJ44" s="3161"/>
      <c r="CRK44" s="3161"/>
      <c r="CRL44" s="3161"/>
      <c r="CRM44" s="3161"/>
      <c r="CRN44" s="3161"/>
      <c r="CRO44" s="3161"/>
      <c r="CRP44" s="3161"/>
      <c r="CRQ44" s="3161"/>
      <c r="CRR44" s="3161"/>
      <c r="CRS44" s="3161"/>
      <c r="CRT44" s="3161"/>
      <c r="CRU44" s="3161"/>
      <c r="CRV44" s="3161"/>
      <c r="CRW44" s="3161"/>
      <c r="CRX44" s="3161"/>
      <c r="CRY44" s="3161"/>
      <c r="CRZ44" s="3161"/>
      <c r="CSA44" s="3161"/>
      <c r="CSB44" s="3161"/>
      <c r="CSC44" s="3161"/>
      <c r="CSD44" s="3161"/>
      <c r="CSE44" s="3161"/>
      <c r="CSF44" s="3161"/>
      <c r="CSG44" s="3161"/>
      <c r="CSH44" s="3161"/>
      <c r="CSI44" s="3161"/>
      <c r="CSJ44" s="3161"/>
      <c r="CSK44" s="3161"/>
      <c r="CSL44" s="3161"/>
      <c r="CSM44" s="3161"/>
      <c r="CSN44" s="3161"/>
      <c r="CSO44" s="3161"/>
      <c r="CSP44" s="3161"/>
      <c r="CSQ44" s="3161"/>
      <c r="CSR44" s="3161"/>
      <c r="CSS44" s="3161"/>
      <c r="CST44" s="3161"/>
      <c r="CSU44" s="3161"/>
      <c r="CSV44" s="3161"/>
      <c r="CSW44" s="3161"/>
      <c r="CSX44" s="3161"/>
      <c r="CSY44" s="3161"/>
      <c r="CSZ44" s="3161"/>
      <c r="CTA44" s="3161"/>
      <c r="CTB44" s="3161"/>
      <c r="CTC44" s="3161"/>
      <c r="CTD44" s="3161"/>
      <c r="CTE44" s="3161"/>
      <c r="CTF44" s="3161"/>
      <c r="CTG44" s="3161"/>
      <c r="CTH44" s="3161"/>
      <c r="CTI44" s="3161"/>
      <c r="CTJ44" s="3161"/>
      <c r="CTK44" s="3161"/>
      <c r="CTL44" s="3161"/>
      <c r="CTM44" s="3161"/>
      <c r="CTN44" s="3161"/>
      <c r="CTO44" s="3161"/>
      <c r="CTP44" s="3161"/>
      <c r="CTQ44" s="3161"/>
      <c r="CTR44" s="3161"/>
      <c r="CTS44" s="3161"/>
      <c r="CTT44" s="3161"/>
      <c r="CTU44" s="3161"/>
      <c r="CTV44" s="3161"/>
      <c r="CTW44" s="3161"/>
      <c r="CTX44" s="3161"/>
      <c r="CTY44" s="3161"/>
      <c r="CTZ44" s="3161"/>
      <c r="CUA44" s="3161"/>
      <c r="CUB44" s="3161"/>
      <c r="CUC44" s="3161"/>
      <c r="CUD44" s="3161"/>
      <c r="CUE44" s="3161"/>
      <c r="CUF44" s="3161"/>
      <c r="CUG44" s="3161"/>
      <c r="CUH44" s="3161"/>
      <c r="CUI44" s="3161"/>
      <c r="CUJ44" s="3161"/>
      <c r="CUK44" s="3161"/>
      <c r="CUL44" s="3161"/>
      <c r="CUM44" s="3161"/>
      <c r="CUN44" s="3161"/>
      <c r="CUO44" s="3161"/>
      <c r="CUP44" s="3161"/>
      <c r="CUQ44" s="3161"/>
      <c r="CUR44" s="3161"/>
      <c r="CUS44" s="3161"/>
      <c r="CUT44" s="3161"/>
      <c r="CUU44" s="3161"/>
      <c r="CUV44" s="3161"/>
      <c r="CUW44" s="3161"/>
      <c r="CUX44" s="3161"/>
      <c r="CUY44" s="3161"/>
      <c r="CUZ44" s="3161"/>
      <c r="CVA44" s="3161"/>
      <c r="CVB44" s="3161"/>
      <c r="CVC44" s="3161"/>
      <c r="CVD44" s="3161"/>
      <c r="CVE44" s="3161"/>
      <c r="CVF44" s="3161"/>
      <c r="CVG44" s="3161"/>
      <c r="CVH44" s="3161"/>
      <c r="CVI44" s="3161"/>
      <c r="CVJ44" s="3161"/>
      <c r="CVK44" s="3161"/>
      <c r="CVL44" s="3161"/>
      <c r="CVM44" s="3161"/>
      <c r="CVN44" s="3161"/>
      <c r="CVO44" s="3161"/>
      <c r="CVP44" s="3161"/>
      <c r="CVQ44" s="3161"/>
      <c r="CVR44" s="3161"/>
      <c r="CVS44" s="3161"/>
      <c r="CVT44" s="3161"/>
      <c r="CVU44" s="3161"/>
      <c r="CVV44" s="3161"/>
      <c r="CVW44" s="3161"/>
      <c r="CVX44" s="3161"/>
      <c r="CVY44" s="3161"/>
      <c r="CVZ44" s="3161"/>
      <c r="CWA44" s="3161"/>
      <c r="CWB44" s="3161"/>
      <c r="CWC44" s="3161"/>
      <c r="CWD44" s="3161"/>
      <c r="CWE44" s="3161"/>
      <c r="CWF44" s="3161"/>
      <c r="CWG44" s="3161"/>
      <c r="CWH44" s="3161"/>
      <c r="CWI44" s="3161"/>
      <c r="CWJ44" s="3161"/>
      <c r="CWK44" s="3161"/>
      <c r="CWL44" s="3161"/>
      <c r="CWM44" s="3161"/>
      <c r="CWN44" s="3161"/>
      <c r="CWO44" s="3161"/>
      <c r="CWP44" s="3161"/>
      <c r="CWQ44" s="3161"/>
      <c r="CWR44" s="3161"/>
      <c r="CWS44" s="3161"/>
      <c r="CWT44" s="3161"/>
      <c r="CWU44" s="3161"/>
      <c r="CWV44" s="3161"/>
      <c r="CWW44" s="3161"/>
      <c r="CWX44" s="3161"/>
      <c r="CWY44" s="3161"/>
      <c r="CWZ44" s="3161"/>
      <c r="CXA44" s="3161"/>
      <c r="CXB44" s="3161"/>
      <c r="CXC44" s="3161"/>
      <c r="CXD44" s="3161"/>
      <c r="CXE44" s="3161"/>
      <c r="CXF44" s="3161"/>
      <c r="CXG44" s="3161"/>
      <c r="CXH44" s="3161"/>
      <c r="CXI44" s="3161"/>
      <c r="CXJ44" s="3161"/>
      <c r="CXK44" s="3161"/>
      <c r="CXL44" s="3161"/>
      <c r="CXM44" s="3161"/>
      <c r="CXN44" s="3161"/>
      <c r="CXO44" s="3161"/>
      <c r="CXP44" s="3161"/>
      <c r="CXQ44" s="3161"/>
      <c r="CXR44" s="3161"/>
      <c r="CXS44" s="3161"/>
      <c r="CXT44" s="3161"/>
      <c r="CXU44" s="3161"/>
      <c r="CXV44" s="3161"/>
      <c r="CXW44" s="3161"/>
      <c r="CXX44" s="3161"/>
      <c r="CXY44" s="3161"/>
      <c r="CXZ44" s="3161"/>
      <c r="CYA44" s="3161"/>
      <c r="CYB44" s="3161"/>
      <c r="CYC44" s="3161"/>
      <c r="CYD44" s="3161"/>
      <c r="CYE44" s="3161"/>
      <c r="CYF44" s="3161"/>
      <c r="CYG44" s="3161"/>
      <c r="CYH44" s="3161"/>
      <c r="CYI44" s="3161"/>
      <c r="CYJ44" s="3161"/>
      <c r="CYK44" s="3161"/>
      <c r="CYL44" s="3161"/>
      <c r="CYM44" s="3161"/>
      <c r="CYN44" s="3161"/>
      <c r="CYO44" s="3161"/>
      <c r="CYP44" s="3161"/>
      <c r="CYQ44" s="3161"/>
      <c r="CYR44" s="3161"/>
      <c r="CYS44" s="3161"/>
      <c r="CYT44" s="3161"/>
      <c r="CYU44" s="3161"/>
      <c r="CYV44" s="3161"/>
      <c r="CYW44" s="3161"/>
      <c r="CYX44" s="3161"/>
      <c r="CYY44" s="3161"/>
      <c r="CYZ44" s="3161"/>
      <c r="CZA44" s="3161"/>
      <c r="CZB44" s="3161"/>
      <c r="CZC44" s="3161"/>
      <c r="CZD44" s="3161"/>
      <c r="CZE44" s="3161"/>
      <c r="CZF44" s="3161"/>
      <c r="CZG44" s="3161"/>
      <c r="CZH44" s="3161"/>
      <c r="CZI44" s="3161"/>
      <c r="CZJ44" s="3161"/>
      <c r="CZK44" s="3161"/>
      <c r="CZL44" s="3161"/>
      <c r="CZM44" s="3161"/>
      <c r="CZN44" s="3161"/>
      <c r="CZO44" s="3161"/>
      <c r="CZP44" s="3161"/>
      <c r="CZQ44" s="3161"/>
      <c r="CZR44" s="3161"/>
      <c r="CZS44" s="3161"/>
      <c r="CZT44" s="3161"/>
      <c r="CZU44" s="3161"/>
      <c r="CZV44" s="3161"/>
      <c r="CZW44" s="3161"/>
      <c r="CZX44" s="3161"/>
      <c r="CZY44" s="3161"/>
      <c r="CZZ44" s="3161"/>
      <c r="DAA44" s="3161"/>
      <c r="DAB44" s="3161"/>
      <c r="DAC44" s="3161"/>
      <c r="DAD44" s="3161"/>
      <c r="DAE44" s="3161"/>
      <c r="DAF44" s="3161"/>
      <c r="DAG44" s="3161"/>
      <c r="DAH44" s="3161"/>
      <c r="DAI44" s="3161"/>
      <c r="DAJ44" s="3161"/>
      <c r="DAK44" s="3161"/>
      <c r="DAL44" s="3161"/>
      <c r="DAM44" s="3161"/>
      <c r="DAN44" s="3161"/>
      <c r="DAO44" s="3161"/>
      <c r="DAP44" s="3161"/>
      <c r="DAQ44" s="3161"/>
      <c r="DAR44" s="3161"/>
      <c r="DAS44" s="3161"/>
      <c r="DAT44" s="3161"/>
      <c r="DAU44" s="3161"/>
      <c r="DAV44" s="3161"/>
      <c r="DAW44" s="3161"/>
      <c r="DAX44" s="3161"/>
      <c r="DAY44" s="3161"/>
      <c r="DAZ44" s="3161"/>
      <c r="DBA44" s="3161"/>
      <c r="DBB44" s="3161"/>
      <c r="DBC44" s="3161"/>
      <c r="DBD44" s="3161"/>
      <c r="DBE44" s="3161"/>
      <c r="DBF44" s="3161"/>
      <c r="DBG44" s="3161"/>
      <c r="DBH44" s="3161"/>
      <c r="DBI44" s="3161"/>
      <c r="DBJ44" s="3161"/>
      <c r="DBK44" s="3161"/>
      <c r="DBL44" s="3161"/>
      <c r="DBM44" s="3161"/>
      <c r="DBN44" s="3161"/>
      <c r="DBO44" s="3161"/>
      <c r="DBP44" s="3161"/>
      <c r="DBQ44" s="3161"/>
      <c r="DBR44" s="3161"/>
      <c r="DBS44" s="3161"/>
      <c r="DBT44" s="3161"/>
      <c r="DBU44" s="3161"/>
      <c r="DBV44" s="3161"/>
      <c r="DBW44" s="3161"/>
      <c r="DBX44" s="3161"/>
      <c r="DBY44" s="3161"/>
      <c r="DBZ44" s="3161"/>
      <c r="DCA44" s="3161"/>
      <c r="DCB44" s="3161"/>
      <c r="DCC44" s="3161"/>
      <c r="DCD44" s="3161"/>
      <c r="DCE44" s="3161"/>
      <c r="DCF44" s="3161"/>
      <c r="DCG44" s="3161"/>
      <c r="DCH44" s="3161"/>
      <c r="DCI44" s="3161"/>
      <c r="DCJ44" s="3161"/>
      <c r="DCK44" s="3161"/>
      <c r="DCL44" s="3161"/>
      <c r="DCM44" s="3161"/>
      <c r="DCN44" s="3161"/>
      <c r="DCO44" s="3161"/>
      <c r="DCP44" s="3161"/>
      <c r="DCQ44" s="3161"/>
      <c r="DCR44" s="3161"/>
      <c r="DCS44" s="3161"/>
      <c r="DCT44" s="3161"/>
      <c r="DCU44" s="3161"/>
      <c r="DCV44" s="3161"/>
      <c r="DCW44" s="3161"/>
      <c r="DCX44" s="3161"/>
      <c r="DCY44" s="3161"/>
      <c r="DCZ44" s="3161"/>
      <c r="DDA44" s="3161"/>
      <c r="DDB44" s="3161"/>
      <c r="DDC44" s="3161"/>
      <c r="DDD44" s="3161"/>
      <c r="DDE44" s="3161"/>
      <c r="DDF44" s="3161"/>
      <c r="DDG44" s="3161"/>
      <c r="DDH44" s="3161"/>
      <c r="DDI44" s="3161"/>
      <c r="DDJ44" s="3161"/>
      <c r="DDK44" s="3161"/>
      <c r="DDL44" s="3161"/>
      <c r="DDM44" s="3161"/>
      <c r="DDN44" s="3161"/>
      <c r="DDO44" s="3161"/>
      <c r="DDP44" s="3161"/>
      <c r="DDQ44" s="3161"/>
      <c r="DDR44" s="3161"/>
      <c r="DDS44" s="3161"/>
      <c r="DDT44" s="3161"/>
      <c r="DDU44" s="3161"/>
      <c r="DDV44" s="3161"/>
      <c r="DDW44" s="3161"/>
      <c r="DDX44" s="3161"/>
      <c r="DDY44" s="3161"/>
      <c r="DDZ44" s="3161"/>
      <c r="DEA44" s="3161"/>
      <c r="DEB44" s="3161"/>
      <c r="DEC44" s="3161"/>
      <c r="DED44" s="3161"/>
      <c r="DEE44" s="3161"/>
      <c r="DEF44" s="3161"/>
      <c r="DEG44" s="3161"/>
      <c r="DEH44" s="3161"/>
      <c r="DEI44" s="3161"/>
      <c r="DEJ44" s="3161"/>
      <c r="DEK44" s="3161"/>
      <c r="DEL44" s="3161"/>
      <c r="DEM44" s="3161"/>
      <c r="DEN44" s="3161"/>
      <c r="DEO44" s="3161"/>
      <c r="DEP44" s="3161"/>
      <c r="DEQ44" s="3161"/>
      <c r="DER44" s="3161"/>
      <c r="DES44" s="3161"/>
      <c r="DET44" s="3161"/>
      <c r="DEU44" s="3161"/>
      <c r="DEV44" s="3161"/>
      <c r="DEW44" s="3161"/>
      <c r="DEX44" s="3161"/>
      <c r="DEY44" s="3161"/>
      <c r="DEZ44" s="3161"/>
      <c r="DFA44" s="3161"/>
      <c r="DFB44" s="3161"/>
      <c r="DFC44" s="3161"/>
      <c r="DFD44" s="3161"/>
      <c r="DFE44" s="3161"/>
      <c r="DFF44" s="3161"/>
      <c r="DFG44" s="3161"/>
      <c r="DFH44" s="3161"/>
      <c r="DFI44" s="3161"/>
      <c r="DFJ44" s="3161"/>
      <c r="DFK44" s="3161"/>
      <c r="DFL44" s="3161"/>
      <c r="DFM44" s="3161"/>
      <c r="DFN44" s="3161"/>
      <c r="DFO44" s="3161"/>
      <c r="DFP44" s="3161"/>
      <c r="DFQ44" s="3161"/>
      <c r="DFR44" s="3161"/>
      <c r="DFS44" s="3161"/>
      <c r="DFT44" s="3161"/>
      <c r="DFU44" s="3161"/>
      <c r="DFV44" s="3161"/>
      <c r="DFW44" s="3161"/>
      <c r="DFX44" s="3161"/>
      <c r="DFY44" s="3161"/>
      <c r="DFZ44" s="3161"/>
      <c r="DGA44" s="3161"/>
      <c r="DGB44" s="3161"/>
      <c r="DGC44" s="3161"/>
      <c r="DGD44" s="3161"/>
      <c r="DGE44" s="3161"/>
      <c r="DGF44" s="3161"/>
      <c r="DGG44" s="3161"/>
      <c r="DGH44" s="3161"/>
      <c r="DGI44" s="3161"/>
      <c r="DGJ44" s="3161"/>
      <c r="DGK44" s="3161"/>
      <c r="DGL44" s="3161"/>
      <c r="DGM44" s="3161"/>
      <c r="DGN44" s="3161"/>
      <c r="DGO44" s="3161"/>
      <c r="DGP44" s="3161"/>
      <c r="DGQ44" s="3161"/>
      <c r="DGR44" s="3161"/>
      <c r="DGS44" s="3161"/>
      <c r="DGT44" s="3161"/>
      <c r="DGU44" s="3161"/>
      <c r="DGV44" s="3161"/>
      <c r="DGW44" s="3161"/>
      <c r="DGX44" s="3161"/>
      <c r="DGY44" s="3161"/>
      <c r="DGZ44" s="3161"/>
      <c r="DHA44" s="3161"/>
      <c r="DHB44" s="3161"/>
      <c r="DHC44" s="3161"/>
      <c r="DHD44" s="3161"/>
      <c r="DHE44" s="3161"/>
      <c r="DHF44" s="3161"/>
      <c r="DHG44" s="3161"/>
      <c r="DHH44" s="3161"/>
      <c r="DHI44" s="3161"/>
      <c r="DHJ44" s="3161"/>
      <c r="DHK44" s="3161"/>
      <c r="DHL44" s="3161"/>
      <c r="DHM44" s="3161"/>
      <c r="DHN44" s="3161"/>
      <c r="DHO44" s="3161"/>
      <c r="DHP44" s="3161"/>
      <c r="DHQ44" s="3161"/>
      <c r="DHR44" s="3161"/>
      <c r="DHS44" s="3161"/>
      <c r="DHT44" s="3161"/>
      <c r="DHU44" s="3161"/>
      <c r="DHV44" s="3161"/>
      <c r="DHW44" s="3161"/>
      <c r="DHX44" s="3161"/>
      <c r="DHY44" s="3161"/>
      <c r="DHZ44" s="3161"/>
      <c r="DIA44" s="3161"/>
      <c r="DIB44" s="3161"/>
      <c r="DIC44" s="3161"/>
      <c r="DID44" s="3161"/>
      <c r="DIE44" s="3161"/>
      <c r="DIF44" s="3161"/>
      <c r="DIG44" s="3161"/>
      <c r="DIH44" s="3161"/>
      <c r="DII44" s="3161"/>
      <c r="DIJ44" s="3161"/>
      <c r="DIK44" s="3161"/>
      <c r="DIL44" s="3161"/>
      <c r="DIM44" s="3161"/>
      <c r="DIN44" s="3161"/>
      <c r="DIO44" s="3161"/>
      <c r="DIP44" s="3161"/>
      <c r="DIQ44" s="3161"/>
      <c r="DIR44" s="3161"/>
      <c r="DIS44" s="3161"/>
      <c r="DIT44" s="3161"/>
      <c r="DIU44" s="3161"/>
      <c r="DIV44" s="3161"/>
      <c r="DIW44" s="3161"/>
      <c r="DIX44" s="3161"/>
      <c r="DIY44" s="3161"/>
      <c r="DIZ44" s="3161"/>
      <c r="DJA44" s="3161"/>
      <c r="DJB44" s="3161"/>
      <c r="DJC44" s="3161"/>
      <c r="DJD44" s="3161"/>
      <c r="DJE44" s="3161"/>
      <c r="DJF44" s="3161"/>
      <c r="DJG44" s="3161"/>
      <c r="DJH44" s="3161"/>
      <c r="DJI44" s="3161"/>
      <c r="DJJ44" s="3161"/>
      <c r="DJK44" s="3161"/>
      <c r="DJL44" s="3161"/>
      <c r="DJM44" s="3161"/>
      <c r="DJN44" s="3161"/>
      <c r="DJO44" s="3161"/>
      <c r="DJP44" s="3161"/>
      <c r="DJQ44" s="3161"/>
      <c r="DJR44" s="3161"/>
      <c r="DJS44" s="3161"/>
      <c r="DJT44" s="3161"/>
      <c r="DJU44" s="3161"/>
      <c r="DJV44" s="3161"/>
      <c r="DJW44" s="3161"/>
      <c r="DJX44" s="3161"/>
      <c r="DJY44" s="3161"/>
      <c r="DJZ44" s="3161"/>
      <c r="DKA44" s="3161"/>
      <c r="DKB44" s="3161"/>
      <c r="DKC44" s="3161"/>
      <c r="DKD44" s="3161"/>
      <c r="DKE44" s="3161"/>
      <c r="DKF44" s="3161"/>
      <c r="DKG44" s="3161"/>
      <c r="DKH44" s="3161"/>
      <c r="DKI44" s="3161"/>
      <c r="DKJ44" s="3161"/>
      <c r="DKK44" s="3161"/>
      <c r="DKL44" s="3161"/>
      <c r="DKM44" s="3161"/>
      <c r="DKN44" s="3161"/>
      <c r="DKO44" s="3161"/>
      <c r="DKP44" s="3161"/>
      <c r="DKQ44" s="3161"/>
      <c r="DKR44" s="3161"/>
      <c r="DKS44" s="3161"/>
      <c r="DKT44" s="3161"/>
      <c r="DKU44" s="3161"/>
      <c r="DKV44" s="3161"/>
      <c r="DKW44" s="3161"/>
      <c r="DKX44" s="3161"/>
      <c r="DKY44" s="3161"/>
      <c r="DKZ44" s="3161"/>
      <c r="DLA44" s="3161"/>
      <c r="DLB44" s="3161"/>
      <c r="DLC44" s="3161"/>
      <c r="DLD44" s="3161"/>
      <c r="DLE44" s="3161"/>
      <c r="DLF44" s="3161"/>
      <c r="DLG44" s="3161"/>
      <c r="DLH44" s="3161"/>
      <c r="DLI44" s="3161"/>
      <c r="DLJ44" s="3161"/>
      <c r="DLK44" s="3161"/>
      <c r="DLL44" s="3161"/>
      <c r="DLM44" s="3161"/>
      <c r="DLN44" s="3161"/>
      <c r="DLO44" s="3161"/>
      <c r="DLP44" s="3161"/>
      <c r="DLQ44" s="3161"/>
      <c r="DLR44" s="3161"/>
      <c r="DLS44" s="3161"/>
      <c r="DLT44" s="3161"/>
      <c r="DLU44" s="3161"/>
      <c r="DLV44" s="3161"/>
      <c r="DLW44" s="3161"/>
      <c r="DLX44" s="3161"/>
      <c r="DLY44" s="3161"/>
      <c r="DLZ44" s="3161"/>
      <c r="DMA44" s="3161"/>
      <c r="DMB44" s="3161"/>
      <c r="DMC44" s="3161"/>
      <c r="DMD44" s="3161"/>
      <c r="DME44" s="3161"/>
      <c r="DMF44" s="3161"/>
      <c r="DMG44" s="3161"/>
      <c r="DMH44" s="3161"/>
      <c r="DMI44" s="3161"/>
      <c r="DMJ44" s="3161"/>
      <c r="DMK44" s="3161"/>
      <c r="DML44" s="3161"/>
      <c r="DMM44" s="3161"/>
      <c r="DMN44" s="3161"/>
      <c r="DMO44" s="3161"/>
      <c r="DMP44" s="3161"/>
      <c r="DMQ44" s="3161"/>
      <c r="DMR44" s="3161"/>
      <c r="DMS44" s="3161"/>
      <c r="DMT44" s="3161"/>
      <c r="DMU44" s="3161"/>
      <c r="DMV44" s="3161"/>
      <c r="DMW44" s="3161"/>
      <c r="DMX44" s="3161"/>
      <c r="DMY44" s="3161"/>
      <c r="DMZ44" s="3161"/>
      <c r="DNA44" s="3161"/>
      <c r="DNB44" s="3161"/>
      <c r="DNC44" s="3161"/>
      <c r="DND44" s="3161"/>
      <c r="DNE44" s="3161"/>
      <c r="DNF44" s="3161"/>
      <c r="DNG44" s="3161"/>
      <c r="DNH44" s="3161"/>
      <c r="DNI44" s="3161"/>
      <c r="DNJ44" s="3161"/>
      <c r="DNK44" s="3161"/>
      <c r="DNL44" s="3161"/>
      <c r="DNM44" s="3161"/>
      <c r="DNN44" s="3161"/>
      <c r="DNO44" s="3161"/>
      <c r="DNP44" s="3161"/>
      <c r="DNQ44" s="3161"/>
      <c r="DNR44" s="3161"/>
      <c r="DNS44" s="3161"/>
      <c r="DNT44" s="3161"/>
      <c r="DNU44" s="3161"/>
      <c r="DNV44" s="3161"/>
      <c r="DNW44" s="3161"/>
      <c r="DNX44" s="3161"/>
      <c r="DNY44" s="3161"/>
      <c r="DNZ44" s="3161"/>
      <c r="DOA44" s="3161"/>
      <c r="DOB44" s="3161"/>
      <c r="DOC44" s="3161"/>
      <c r="DOD44" s="3161"/>
      <c r="DOE44" s="3161"/>
      <c r="DOF44" s="3161"/>
      <c r="DOG44" s="3161"/>
      <c r="DOH44" s="3161"/>
      <c r="DOI44" s="3161"/>
      <c r="DOJ44" s="3161"/>
      <c r="DOK44" s="3161"/>
      <c r="DOL44" s="3161"/>
      <c r="DOM44" s="3161"/>
      <c r="DON44" s="3161"/>
      <c r="DOO44" s="3161"/>
      <c r="DOP44" s="3161"/>
      <c r="DOQ44" s="3161"/>
      <c r="DOR44" s="3161"/>
      <c r="DOS44" s="3161"/>
      <c r="DOT44" s="3161"/>
      <c r="DOU44" s="3161"/>
      <c r="DOV44" s="3161"/>
      <c r="DOW44" s="3161"/>
      <c r="DOX44" s="3161"/>
      <c r="DOY44" s="3161"/>
      <c r="DOZ44" s="3161"/>
      <c r="DPA44" s="3161"/>
      <c r="DPB44" s="3161"/>
      <c r="DPC44" s="3161"/>
      <c r="DPD44" s="3161"/>
      <c r="DPE44" s="3161"/>
      <c r="DPF44" s="3161"/>
      <c r="DPG44" s="3161"/>
      <c r="DPH44" s="3161"/>
      <c r="DPI44" s="3161"/>
      <c r="DPJ44" s="3161"/>
      <c r="DPK44" s="3161"/>
      <c r="DPL44" s="3161"/>
      <c r="DPM44" s="3161"/>
      <c r="DPN44" s="3161"/>
      <c r="DPO44" s="3161"/>
      <c r="DPP44" s="3161"/>
      <c r="DPQ44" s="3161"/>
      <c r="DPR44" s="3161"/>
      <c r="DPS44" s="3161"/>
      <c r="DPT44" s="3161"/>
      <c r="DPU44" s="3161"/>
      <c r="DPV44" s="3161"/>
      <c r="DPW44" s="3161"/>
      <c r="DPX44" s="3161"/>
      <c r="DPY44" s="3161"/>
      <c r="DPZ44" s="3161"/>
      <c r="DQA44" s="3161"/>
      <c r="DQB44" s="3161"/>
      <c r="DQC44" s="3161"/>
      <c r="DQD44" s="3161"/>
      <c r="DQE44" s="3161"/>
      <c r="DQF44" s="3161"/>
      <c r="DQG44" s="3161"/>
      <c r="DQH44" s="3161"/>
      <c r="DQI44" s="3161"/>
      <c r="DQJ44" s="3161"/>
      <c r="DQK44" s="3161"/>
      <c r="DQL44" s="3161"/>
      <c r="DQM44" s="3161"/>
      <c r="DQN44" s="3161"/>
      <c r="DQO44" s="3161"/>
      <c r="DQP44" s="3161"/>
      <c r="DQQ44" s="3161"/>
      <c r="DQR44" s="3161"/>
      <c r="DQS44" s="3161"/>
      <c r="DQT44" s="3161"/>
      <c r="DQU44" s="3161"/>
      <c r="DQV44" s="3161"/>
      <c r="DQW44" s="3161"/>
      <c r="DQX44" s="3161"/>
      <c r="DQY44" s="3161"/>
      <c r="DQZ44" s="3161"/>
      <c r="DRA44" s="3161"/>
      <c r="DRB44" s="3161"/>
      <c r="DRC44" s="3161"/>
      <c r="DRD44" s="3161"/>
      <c r="DRE44" s="3161"/>
      <c r="DRF44" s="3161"/>
      <c r="DRG44" s="3161"/>
      <c r="DRH44" s="3161"/>
      <c r="DRI44" s="3161"/>
      <c r="DRJ44" s="3161"/>
      <c r="DRK44" s="3161"/>
      <c r="DRL44" s="3161"/>
      <c r="DRM44" s="3161"/>
      <c r="DRN44" s="3161"/>
      <c r="DRO44" s="3161"/>
      <c r="DRP44" s="3161"/>
      <c r="DRQ44" s="3161"/>
      <c r="DRR44" s="3161"/>
      <c r="DRS44" s="3161"/>
      <c r="DRT44" s="3161"/>
      <c r="DRU44" s="3161"/>
      <c r="DRV44" s="3161"/>
      <c r="DRW44" s="3161"/>
      <c r="DRX44" s="3161"/>
      <c r="DRY44" s="3161"/>
      <c r="DRZ44" s="3161"/>
      <c r="DSA44" s="3161"/>
      <c r="DSB44" s="3161"/>
      <c r="DSC44" s="3161"/>
      <c r="DSD44" s="3161"/>
      <c r="DSE44" s="3161"/>
      <c r="DSF44" s="3161"/>
      <c r="DSG44" s="3161"/>
      <c r="DSH44" s="3161"/>
      <c r="DSI44" s="3161"/>
      <c r="DSJ44" s="3161"/>
      <c r="DSK44" s="3161"/>
      <c r="DSL44" s="3161"/>
      <c r="DSM44" s="3161"/>
      <c r="DSN44" s="3161"/>
      <c r="DSO44" s="3161"/>
      <c r="DSP44" s="3161"/>
      <c r="DSQ44" s="3161"/>
      <c r="DSR44" s="3161"/>
      <c r="DSS44" s="3161"/>
      <c r="DST44" s="3161"/>
      <c r="DSU44" s="3161"/>
      <c r="DSV44" s="3161"/>
      <c r="DSW44" s="3161"/>
      <c r="DSX44" s="3161"/>
      <c r="DSY44" s="3161"/>
      <c r="DSZ44" s="3161"/>
      <c r="DTA44" s="3161"/>
      <c r="DTB44" s="3161"/>
      <c r="DTC44" s="3161"/>
      <c r="DTD44" s="3161"/>
      <c r="DTE44" s="3161"/>
      <c r="DTF44" s="3161"/>
      <c r="DTG44" s="3161"/>
      <c r="DTH44" s="3161"/>
      <c r="DTI44" s="3161"/>
      <c r="DTJ44" s="3161"/>
      <c r="DTK44" s="3161"/>
      <c r="DTL44" s="3161"/>
      <c r="DTM44" s="3161"/>
      <c r="DTN44" s="3161"/>
      <c r="DTO44" s="3161"/>
      <c r="DTP44" s="3161"/>
      <c r="DTQ44" s="3161"/>
      <c r="DTR44" s="3161"/>
      <c r="DTS44" s="3161"/>
      <c r="DTT44" s="3161"/>
      <c r="DTU44" s="3161"/>
      <c r="DTV44" s="3161"/>
      <c r="DTW44" s="3161"/>
      <c r="DTX44" s="3161"/>
      <c r="DTY44" s="3161"/>
      <c r="DTZ44" s="3161"/>
      <c r="DUA44" s="3161"/>
      <c r="DUB44" s="3161"/>
      <c r="DUC44" s="3161"/>
      <c r="DUD44" s="3161"/>
      <c r="DUE44" s="3161"/>
      <c r="DUF44" s="3161"/>
      <c r="DUG44" s="3161"/>
      <c r="DUH44" s="3161"/>
      <c r="DUI44" s="3161"/>
      <c r="DUJ44" s="3161"/>
      <c r="DUK44" s="3161"/>
      <c r="DUL44" s="3161"/>
      <c r="DUM44" s="3161"/>
      <c r="DUN44" s="3161"/>
      <c r="DUO44" s="3161"/>
      <c r="DUP44" s="3161"/>
      <c r="DUQ44" s="3161"/>
      <c r="DUR44" s="3161"/>
      <c r="DUS44" s="3161"/>
      <c r="DUT44" s="3161"/>
      <c r="DUU44" s="3161"/>
      <c r="DUV44" s="3161"/>
      <c r="DUW44" s="3161"/>
      <c r="DUX44" s="3161"/>
      <c r="DUY44" s="3161"/>
      <c r="DUZ44" s="3161"/>
      <c r="DVA44" s="3161"/>
      <c r="DVB44" s="3161"/>
      <c r="DVC44" s="3161"/>
      <c r="DVD44" s="3161"/>
      <c r="DVE44" s="3161"/>
      <c r="DVF44" s="3161"/>
      <c r="DVG44" s="3161"/>
      <c r="DVH44" s="3161"/>
      <c r="DVI44" s="3161"/>
      <c r="DVJ44" s="3161"/>
      <c r="DVK44" s="3161"/>
      <c r="DVL44" s="3161"/>
      <c r="DVM44" s="3161"/>
      <c r="DVN44" s="3161"/>
      <c r="DVO44" s="3161"/>
      <c r="DVP44" s="3161"/>
      <c r="DVQ44" s="3161"/>
      <c r="DVR44" s="3161"/>
      <c r="DVS44" s="3161"/>
      <c r="DVT44" s="3161"/>
      <c r="DVU44" s="3161"/>
      <c r="DVV44" s="3161"/>
      <c r="DVW44" s="3161"/>
      <c r="DVX44" s="3161"/>
      <c r="DVY44" s="3161"/>
      <c r="DVZ44" s="3161"/>
      <c r="DWA44" s="3161"/>
      <c r="DWB44" s="3161"/>
      <c r="DWC44" s="3161"/>
      <c r="DWD44" s="3161"/>
      <c r="DWE44" s="3161"/>
      <c r="DWF44" s="3161"/>
      <c r="DWG44" s="3161"/>
      <c r="DWH44" s="3161"/>
      <c r="DWI44" s="3161"/>
      <c r="DWJ44" s="3161"/>
      <c r="DWK44" s="3161"/>
      <c r="DWL44" s="3161"/>
      <c r="DWM44" s="3161"/>
      <c r="DWN44" s="3161"/>
      <c r="DWO44" s="3161"/>
      <c r="DWP44" s="3161"/>
      <c r="DWQ44" s="3161"/>
      <c r="DWR44" s="3161"/>
      <c r="DWS44" s="3161"/>
      <c r="DWT44" s="3161"/>
      <c r="DWU44" s="3161"/>
      <c r="DWV44" s="3161"/>
      <c r="DWW44" s="3161"/>
      <c r="DWX44" s="3161"/>
      <c r="DWY44" s="3161"/>
      <c r="DWZ44" s="3161"/>
      <c r="DXA44" s="3161"/>
      <c r="DXB44" s="3161"/>
      <c r="DXC44" s="3161"/>
      <c r="DXD44" s="3161"/>
      <c r="DXE44" s="3161"/>
      <c r="DXF44" s="3161"/>
      <c r="DXG44" s="3161"/>
      <c r="DXH44" s="3161"/>
      <c r="DXI44" s="3161"/>
      <c r="DXJ44" s="3161"/>
      <c r="DXK44" s="3161"/>
      <c r="DXL44" s="3161"/>
      <c r="DXM44" s="3161"/>
      <c r="DXN44" s="3161"/>
      <c r="DXO44" s="3161"/>
      <c r="DXP44" s="3161"/>
      <c r="DXQ44" s="3161"/>
      <c r="DXR44" s="3161"/>
      <c r="DXS44" s="3161"/>
      <c r="DXT44" s="3161"/>
      <c r="DXU44" s="3161"/>
      <c r="DXV44" s="3161"/>
      <c r="DXW44" s="3161"/>
      <c r="DXX44" s="3161"/>
      <c r="DXY44" s="3161"/>
      <c r="DXZ44" s="3161"/>
      <c r="DYA44" s="3161"/>
      <c r="DYB44" s="3161"/>
      <c r="DYC44" s="3161"/>
      <c r="DYD44" s="3161"/>
      <c r="DYE44" s="3161"/>
      <c r="DYF44" s="3161"/>
      <c r="DYG44" s="3161"/>
      <c r="DYH44" s="3161"/>
      <c r="DYI44" s="3161"/>
      <c r="DYJ44" s="3161"/>
      <c r="DYK44" s="3161"/>
      <c r="DYL44" s="3161"/>
      <c r="DYM44" s="3161"/>
      <c r="DYN44" s="3161"/>
      <c r="DYO44" s="3161"/>
      <c r="DYP44" s="3161"/>
      <c r="DYQ44" s="3161"/>
      <c r="DYR44" s="3161"/>
      <c r="DYS44" s="3161"/>
      <c r="DYT44" s="3161"/>
      <c r="DYU44" s="3161"/>
      <c r="DYV44" s="3161"/>
      <c r="DYW44" s="3161"/>
      <c r="DYX44" s="3161"/>
      <c r="DYY44" s="3161"/>
      <c r="DYZ44" s="3161"/>
      <c r="DZA44" s="3161"/>
      <c r="DZB44" s="3161"/>
      <c r="DZC44" s="3161"/>
      <c r="DZD44" s="3161"/>
      <c r="DZE44" s="3161"/>
      <c r="DZF44" s="3161"/>
      <c r="DZG44" s="3161"/>
      <c r="DZH44" s="3161"/>
      <c r="DZI44" s="3161"/>
      <c r="DZJ44" s="3161"/>
      <c r="DZK44" s="3161"/>
      <c r="DZL44" s="3161"/>
      <c r="DZM44" s="3161"/>
      <c r="DZN44" s="3161"/>
      <c r="DZO44" s="3161"/>
      <c r="DZP44" s="3161"/>
      <c r="DZQ44" s="3161"/>
      <c r="DZR44" s="3161"/>
      <c r="DZS44" s="3161"/>
      <c r="DZT44" s="3161"/>
      <c r="DZU44" s="3161"/>
      <c r="DZV44" s="3161"/>
      <c r="DZW44" s="3161"/>
      <c r="DZX44" s="3161"/>
      <c r="DZY44" s="3161"/>
      <c r="DZZ44" s="3161"/>
      <c r="EAA44" s="3161"/>
      <c r="EAB44" s="3161"/>
      <c r="EAC44" s="3161"/>
      <c r="EAD44" s="3161"/>
      <c r="EAE44" s="3161"/>
      <c r="EAF44" s="3161"/>
      <c r="EAG44" s="3161"/>
      <c r="EAH44" s="3161"/>
      <c r="EAI44" s="3161"/>
      <c r="EAJ44" s="3161"/>
      <c r="EAK44" s="3161"/>
      <c r="EAL44" s="3161"/>
      <c r="EAM44" s="3161"/>
      <c r="EAN44" s="3161"/>
      <c r="EAO44" s="3161"/>
      <c r="EAP44" s="3161"/>
      <c r="EAQ44" s="3161"/>
      <c r="EAR44" s="3161"/>
      <c r="EAS44" s="3161"/>
      <c r="EAT44" s="3161"/>
      <c r="EAU44" s="3161"/>
      <c r="EAV44" s="3161"/>
      <c r="EAW44" s="3161"/>
      <c r="EAX44" s="3161"/>
      <c r="EAY44" s="3161"/>
      <c r="EAZ44" s="3161"/>
      <c r="EBA44" s="3161"/>
      <c r="EBB44" s="3161"/>
      <c r="EBC44" s="3161"/>
      <c r="EBD44" s="3161"/>
      <c r="EBE44" s="3161"/>
      <c r="EBF44" s="3161"/>
      <c r="EBG44" s="3161"/>
      <c r="EBH44" s="3161"/>
      <c r="EBI44" s="3161"/>
      <c r="EBJ44" s="3161"/>
      <c r="EBK44" s="3161"/>
      <c r="EBL44" s="3161"/>
      <c r="EBM44" s="3161"/>
      <c r="EBN44" s="3161"/>
      <c r="EBO44" s="3161"/>
      <c r="EBP44" s="3161"/>
      <c r="EBQ44" s="3161"/>
      <c r="EBR44" s="3161"/>
      <c r="EBS44" s="3161"/>
      <c r="EBT44" s="3161"/>
      <c r="EBU44" s="3161"/>
      <c r="EBV44" s="3161"/>
      <c r="EBW44" s="3161"/>
      <c r="EBX44" s="3161"/>
      <c r="EBY44" s="3161"/>
      <c r="EBZ44" s="3161"/>
      <c r="ECA44" s="3161"/>
      <c r="ECB44" s="3161"/>
      <c r="ECC44" s="3161"/>
      <c r="ECD44" s="3161"/>
      <c r="ECE44" s="3161"/>
      <c r="ECF44" s="3161"/>
      <c r="ECG44" s="3161"/>
      <c r="ECH44" s="3161"/>
      <c r="ECI44" s="3161"/>
      <c r="ECJ44" s="3161"/>
      <c r="ECK44" s="3161"/>
      <c r="ECL44" s="3161"/>
      <c r="ECM44" s="3161"/>
      <c r="ECN44" s="3161"/>
      <c r="ECO44" s="3161"/>
      <c r="ECP44" s="3161"/>
      <c r="ECQ44" s="3161"/>
      <c r="ECR44" s="3161"/>
      <c r="ECS44" s="3161"/>
      <c r="ECT44" s="3161"/>
      <c r="ECU44" s="3161"/>
      <c r="ECV44" s="3161"/>
      <c r="ECW44" s="3161"/>
      <c r="ECX44" s="3161"/>
      <c r="ECY44" s="3161"/>
      <c r="ECZ44" s="3161"/>
      <c r="EDA44" s="3161"/>
      <c r="EDB44" s="3161"/>
      <c r="EDC44" s="3161"/>
      <c r="EDD44" s="3161"/>
      <c r="EDE44" s="3161"/>
      <c r="EDF44" s="3161"/>
      <c r="EDG44" s="3161"/>
      <c r="EDH44" s="3161"/>
      <c r="EDI44" s="3161"/>
      <c r="EDJ44" s="3161"/>
      <c r="EDK44" s="3161"/>
      <c r="EDL44" s="3161"/>
      <c r="EDM44" s="3161"/>
      <c r="EDN44" s="3161"/>
      <c r="EDO44" s="3161"/>
      <c r="EDP44" s="3161"/>
      <c r="EDQ44" s="3161"/>
      <c r="EDR44" s="3161"/>
      <c r="EDS44" s="3161"/>
      <c r="EDT44" s="3161"/>
      <c r="EDU44" s="3161"/>
      <c r="EDV44" s="3161"/>
      <c r="EDW44" s="3161"/>
      <c r="EDX44" s="3161"/>
      <c r="EDY44" s="3161"/>
      <c r="EDZ44" s="3161"/>
      <c r="EEA44" s="3161"/>
      <c r="EEB44" s="3161"/>
      <c r="EEC44" s="3161"/>
      <c r="EED44" s="3161"/>
      <c r="EEE44" s="3161"/>
      <c r="EEF44" s="3161"/>
      <c r="EEG44" s="3161"/>
      <c r="EEH44" s="3161"/>
      <c r="EEI44" s="3161"/>
      <c r="EEJ44" s="3161"/>
      <c r="EEK44" s="3161"/>
      <c r="EEL44" s="3161"/>
      <c r="EEM44" s="3161"/>
      <c r="EEN44" s="3161"/>
      <c r="EEO44" s="3161"/>
      <c r="EEP44" s="3161"/>
      <c r="EEQ44" s="3161"/>
      <c r="EER44" s="3161"/>
      <c r="EES44" s="3161"/>
      <c r="EET44" s="3161"/>
      <c r="EEU44" s="3161"/>
      <c r="EEV44" s="3161"/>
      <c r="EEW44" s="3161"/>
      <c r="EEX44" s="3161"/>
      <c r="EEY44" s="3161"/>
      <c r="EEZ44" s="3161"/>
      <c r="EFA44" s="3161"/>
      <c r="EFB44" s="3161"/>
      <c r="EFC44" s="3161"/>
      <c r="EFD44" s="3161"/>
      <c r="EFE44" s="3161"/>
      <c r="EFF44" s="3161"/>
      <c r="EFG44" s="3161"/>
      <c r="EFH44" s="3161"/>
      <c r="EFI44" s="3161"/>
      <c r="EFJ44" s="3161"/>
      <c r="EFK44" s="3161"/>
      <c r="EFL44" s="3161"/>
      <c r="EFM44" s="3161"/>
      <c r="EFN44" s="3161"/>
      <c r="EFO44" s="3161"/>
      <c r="EFP44" s="3161"/>
      <c r="EFQ44" s="3161"/>
      <c r="EFR44" s="3161"/>
      <c r="EFS44" s="3161"/>
      <c r="EFT44" s="3161"/>
      <c r="EFU44" s="3161"/>
      <c r="EFV44" s="3161"/>
      <c r="EFW44" s="3161"/>
      <c r="EFX44" s="3161"/>
      <c r="EFY44" s="3161"/>
      <c r="EFZ44" s="3161"/>
      <c r="EGA44" s="3161"/>
      <c r="EGB44" s="3161"/>
      <c r="EGC44" s="3161"/>
      <c r="EGD44" s="3161"/>
      <c r="EGE44" s="3161"/>
      <c r="EGF44" s="3161"/>
      <c r="EGG44" s="3161"/>
      <c r="EGH44" s="3161"/>
      <c r="EGI44" s="3161"/>
      <c r="EGJ44" s="3161"/>
      <c r="EGK44" s="3161"/>
      <c r="EGL44" s="3161"/>
      <c r="EGM44" s="3161"/>
      <c r="EGN44" s="3161"/>
      <c r="EGO44" s="3161"/>
      <c r="EGP44" s="3161"/>
      <c r="EGQ44" s="3161"/>
      <c r="EGR44" s="3161"/>
      <c r="EGS44" s="3161"/>
      <c r="EGT44" s="3161"/>
      <c r="EGU44" s="3161"/>
      <c r="EGV44" s="3161"/>
      <c r="EGW44" s="3161"/>
      <c r="EGX44" s="3161"/>
      <c r="EGY44" s="3161"/>
      <c r="EGZ44" s="3161"/>
      <c r="EHA44" s="3161"/>
      <c r="EHB44" s="3161"/>
      <c r="EHC44" s="3161"/>
      <c r="EHD44" s="3161"/>
      <c r="EHE44" s="3161"/>
      <c r="EHF44" s="3161"/>
      <c r="EHG44" s="3161"/>
      <c r="EHH44" s="3161"/>
      <c r="EHI44" s="3161"/>
      <c r="EHJ44" s="3161"/>
      <c r="EHK44" s="3161"/>
      <c r="EHL44" s="3161"/>
      <c r="EHM44" s="3161"/>
      <c r="EHN44" s="3161"/>
      <c r="EHO44" s="3161"/>
      <c r="EHP44" s="3161"/>
      <c r="EHQ44" s="3161"/>
      <c r="EHR44" s="3161"/>
      <c r="EHS44" s="3161"/>
      <c r="EHT44" s="3161"/>
      <c r="EHU44" s="3161"/>
      <c r="EHV44" s="3161"/>
      <c r="EHW44" s="3161"/>
      <c r="EHX44" s="3161"/>
      <c r="EHY44" s="3161"/>
      <c r="EHZ44" s="3161"/>
      <c r="EIA44" s="3161"/>
      <c r="EIB44" s="3161"/>
      <c r="EIC44" s="3161"/>
      <c r="EID44" s="3161"/>
      <c r="EIE44" s="3161"/>
      <c r="EIF44" s="3161"/>
      <c r="EIG44" s="3161"/>
      <c r="EIH44" s="3161"/>
      <c r="EII44" s="3161"/>
      <c r="EIJ44" s="3161"/>
      <c r="EIK44" s="3161"/>
      <c r="EIL44" s="3161"/>
      <c r="EIM44" s="3161"/>
      <c r="EIN44" s="3161"/>
      <c r="EIO44" s="3161"/>
      <c r="EIP44" s="3161"/>
      <c r="EIQ44" s="3161"/>
      <c r="EIR44" s="3161"/>
      <c r="EIS44" s="3161"/>
      <c r="EIT44" s="3161"/>
      <c r="EIU44" s="3161"/>
      <c r="EIV44" s="3161"/>
      <c r="EIW44" s="3161"/>
      <c r="EIX44" s="3161"/>
      <c r="EIY44" s="3161"/>
      <c r="EIZ44" s="3161"/>
      <c r="EJA44" s="3161"/>
      <c r="EJB44" s="3161"/>
      <c r="EJC44" s="3161"/>
      <c r="EJD44" s="3161"/>
      <c r="EJE44" s="3161"/>
      <c r="EJF44" s="3161"/>
      <c r="EJG44" s="3161"/>
      <c r="EJH44" s="3161"/>
      <c r="EJI44" s="3161"/>
      <c r="EJJ44" s="3161"/>
      <c r="EJK44" s="3161"/>
      <c r="EJL44" s="3161"/>
      <c r="EJM44" s="3161"/>
      <c r="EJN44" s="3161"/>
      <c r="EJO44" s="3161"/>
      <c r="EJP44" s="3161"/>
      <c r="EJQ44" s="3161"/>
      <c r="EJR44" s="3161"/>
      <c r="EJS44" s="3161"/>
      <c r="EJT44" s="3161"/>
      <c r="EJU44" s="3161"/>
      <c r="EJV44" s="3161"/>
      <c r="EJW44" s="3161"/>
      <c r="EJX44" s="3161"/>
      <c r="EJY44" s="3161"/>
      <c r="EJZ44" s="3161"/>
      <c r="EKA44" s="3161"/>
      <c r="EKB44" s="3161"/>
      <c r="EKC44" s="3161"/>
      <c r="EKD44" s="3161"/>
      <c r="EKE44" s="3161"/>
      <c r="EKF44" s="3161"/>
      <c r="EKG44" s="3161"/>
      <c r="EKH44" s="3161"/>
      <c r="EKI44" s="3161"/>
      <c r="EKJ44" s="3161"/>
      <c r="EKK44" s="3161"/>
      <c r="EKL44" s="3161"/>
      <c r="EKM44" s="3161"/>
      <c r="EKN44" s="3161"/>
      <c r="EKO44" s="3161"/>
      <c r="EKP44" s="3161"/>
      <c r="EKQ44" s="3161"/>
      <c r="EKR44" s="3161"/>
      <c r="EKS44" s="3161"/>
      <c r="EKT44" s="3161"/>
      <c r="EKU44" s="3161"/>
      <c r="EKV44" s="3161"/>
      <c r="EKW44" s="3161"/>
      <c r="EKX44" s="3161"/>
      <c r="EKY44" s="3161"/>
      <c r="EKZ44" s="3161"/>
      <c r="ELA44" s="3161"/>
      <c r="ELB44" s="3161"/>
      <c r="ELC44" s="3161"/>
      <c r="ELD44" s="3161"/>
      <c r="ELE44" s="3161"/>
      <c r="ELF44" s="3161"/>
      <c r="ELG44" s="3161"/>
      <c r="ELH44" s="3161"/>
      <c r="ELI44" s="3161"/>
      <c r="ELJ44" s="3161"/>
      <c r="ELK44" s="3161"/>
      <c r="ELL44" s="3161"/>
      <c r="ELM44" s="3161"/>
      <c r="ELN44" s="3161"/>
      <c r="ELO44" s="3161"/>
      <c r="ELP44" s="3161"/>
      <c r="ELQ44" s="3161"/>
      <c r="ELR44" s="3161"/>
      <c r="ELS44" s="3161"/>
      <c r="ELT44" s="3161"/>
      <c r="ELU44" s="3161"/>
      <c r="ELV44" s="3161"/>
      <c r="ELW44" s="3161"/>
      <c r="ELX44" s="3161"/>
      <c r="ELY44" s="3161"/>
      <c r="ELZ44" s="3161"/>
      <c r="EMA44" s="3161"/>
      <c r="EMB44" s="3161"/>
      <c r="EMC44" s="3161"/>
      <c r="EMD44" s="3161"/>
      <c r="EME44" s="3161"/>
      <c r="EMF44" s="3161"/>
      <c r="EMG44" s="3161"/>
      <c r="EMH44" s="3161"/>
      <c r="EMI44" s="3161"/>
      <c r="EMJ44" s="3161"/>
      <c r="EMK44" s="3161"/>
      <c r="EML44" s="3161"/>
      <c r="EMM44" s="3161"/>
      <c r="EMN44" s="3161"/>
      <c r="EMO44" s="3161"/>
      <c r="EMP44" s="3161"/>
      <c r="EMQ44" s="3161"/>
      <c r="EMR44" s="3161"/>
      <c r="EMS44" s="3161"/>
      <c r="EMT44" s="3161"/>
      <c r="EMU44" s="3161"/>
      <c r="EMV44" s="3161"/>
      <c r="EMW44" s="3161"/>
      <c r="EMX44" s="3161"/>
      <c r="EMY44" s="3161"/>
      <c r="EMZ44" s="3161"/>
      <c r="ENA44" s="3161"/>
      <c r="ENB44" s="3161"/>
      <c r="ENC44" s="3161"/>
      <c r="END44" s="3161"/>
      <c r="ENE44" s="3161"/>
      <c r="ENF44" s="3161"/>
      <c r="ENG44" s="3161"/>
      <c r="ENH44" s="3161"/>
      <c r="ENI44" s="3161"/>
      <c r="ENJ44" s="3161"/>
      <c r="ENK44" s="3161"/>
      <c r="ENL44" s="3161"/>
      <c r="ENM44" s="3161"/>
      <c r="ENN44" s="3161"/>
      <c r="ENO44" s="3161"/>
      <c r="ENP44" s="3161"/>
      <c r="ENQ44" s="3161"/>
      <c r="ENR44" s="3161"/>
      <c r="ENS44" s="3161"/>
      <c r="ENT44" s="3161"/>
      <c r="ENU44" s="3161"/>
      <c r="ENV44" s="3161"/>
      <c r="ENW44" s="3161"/>
      <c r="ENX44" s="3161"/>
      <c r="ENY44" s="3161"/>
      <c r="ENZ44" s="3161"/>
      <c r="EOA44" s="3161"/>
      <c r="EOB44" s="3161"/>
      <c r="EOC44" s="3161"/>
      <c r="EOD44" s="3161"/>
      <c r="EOE44" s="3161"/>
      <c r="EOF44" s="3161"/>
      <c r="EOG44" s="3161"/>
      <c r="EOH44" s="3161"/>
      <c r="EOI44" s="3161"/>
      <c r="EOJ44" s="3161"/>
      <c r="EOK44" s="3161"/>
      <c r="EOL44" s="3161"/>
      <c r="EOM44" s="3161"/>
      <c r="EON44" s="3161"/>
      <c r="EOO44" s="3161"/>
      <c r="EOP44" s="3161"/>
      <c r="EOQ44" s="3161"/>
      <c r="EOR44" s="3161"/>
      <c r="EOS44" s="3161"/>
      <c r="EOT44" s="3161"/>
      <c r="EOU44" s="3161"/>
      <c r="EOV44" s="3161"/>
      <c r="EOW44" s="3161"/>
      <c r="EOX44" s="3161"/>
      <c r="EOY44" s="3161"/>
      <c r="EOZ44" s="3161"/>
      <c r="EPA44" s="3161"/>
      <c r="EPB44" s="3161"/>
      <c r="EPC44" s="3161"/>
      <c r="EPD44" s="3161"/>
      <c r="EPE44" s="3161"/>
      <c r="EPF44" s="3161"/>
      <c r="EPG44" s="3161"/>
      <c r="EPH44" s="3161"/>
      <c r="EPI44" s="3161"/>
      <c r="EPJ44" s="3161"/>
      <c r="EPK44" s="3161"/>
      <c r="EPL44" s="3161"/>
      <c r="EPM44" s="3161"/>
      <c r="EPN44" s="3161"/>
      <c r="EPO44" s="3161"/>
      <c r="EPP44" s="3161"/>
      <c r="EPQ44" s="3161"/>
      <c r="EPR44" s="3161"/>
      <c r="EPS44" s="3161"/>
      <c r="EPT44" s="3161"/>
      <c r="EPU44" s="3161"/>
      <c r="EPV44" s="3161"/>
      <c r="EPW44" s="3161"/>
      <c r="EPX44" s="3161"/>
      <c r="EPY44" s="3161"/>
      <c r="EPZ44" s="3161"/>
      <c r="EQA44" s="3161"/>
      <c r="EQB44" s="3161"/>
      <c r="EQC44" s="3161"/>
      <c r="EQD44" s="3161"/>
      <c r="EQE44" s="3161"/>
      <c r="EQF44" s="3161"/>
      <c r="EQG44" s="3161"/>
      <c r="EQH44" s="3161"/>
      <c r="EQI44" s="3161"/>
      <c r="EQJ44" s="3161"/>
      <c r="EQK44" s="3161"/>
      <c r="EQL44" s="3161"/>
      <c r="EQM44" s="3161"/>
      <c r="EQN44" s="3161"/>
      <c r="EQO44" s="3161"/>
      <c r="EQP44" s="3161"/>
      <c r="EQQ44" s="3161"/>
      <c r="EQR44" s="3161"/>
      <c r="EQS44" s="3161"/>
      <c r="EQT44" s="3161"/>
      <c r="EQU44" s="3161"/>
      <c r="EQV44" s="3161"/>
      <c r="EQW44" s="3161"/>
      <c r="EQX44" s="3161"/>
      <c r="EQY44" s="3161"/>
      <c r="EQZ44" s="3161"/>
      <c r="ERA44" s="3161"/>
      <c r="ERB44" s="3161"/>
      <c r="ERC44" s="3161"/>
      <c r="ERD44" s="3161"/>
      <c r="ERE44" s="3161"/>
      <c r="ERF44" s="3161"/>
      <c r="ERG44" s="3161"/>
      <c r="ERH44" s="3161"/>
      <c r="ERI44" s="3161"/>
      <c r="ERJ44" s="3161"/>
      <c r="ERK44" s="3161"/>
      <c r="ERL44" s="3161"/>
      <c r="ERM44" s="3161"/>
      <c r="ERN44" s="3161"/>
      <c r="ERO44" s="3161"/>
      <c r="ERP44" s="3161"/>
      <c r="ERQ44" s="3161"/>
      <c r="ERR44" s="3161"/>
      <c r="ERS44" s="3161"/>
      <c r="ERT44" s="3161"/>
      <c r="ERU44" s="3161"/>
      <c r="ERV44" s="3161"/>
      <c r="ERW44" s="3161"/>
      <c r="ERX44" s="3161"/>
      <c r="ERY44" s="3161"/>
      <c r="ERZ44" s="3161"/>
      <c r="ESA44" s="3161"/>
      <c r="ESB44" s="3161"/>
      <c r="ESC44" s="3161"/>
      <c r="ESD44" s="3161"/>
      <c r="ESE44" s="3161"/>
      <c r="ESF44" s="3161"/>
      <c r="ESG44" s="3161"/>
      <c r="ESH44" s="3161"/>
      <c r="ESI44" s="3161"/>
      <c r="ESJ44" s="3161"/>
      <c r="ESK44" s="3161"/>
      <c r="ESL44" s="3161"/>
      <c r="ESM44" s="3161"/>
      <c r="ESN44" s="3161"/>
      <c r="ESO44" s="3161"/>
      <c r="ESP44" s="3161"/>
      <c r="ESQ44" s="3161"/>
      <c r="ESR44" s="3161"/>
      <c r="ESS44" s="3161"/>
      <c r="EST44" s="3161"/>
      <c r="ESU44" s="3161"/>
      <c r="ESV44" s="3161"/>
      <c r="ESW44" s="3161"/>
      <c r="ESX44" s="3161"/>
      <c r="ESY44" s="3161"/>
      <c r="ESZ44" s="3161"/>
      <c r="ETA44" s="3161"/>
      <c r="ETB44" s="3161"/>
      <c r="ETC44" s="3161"/>
      <c r="ETD44" s="3161"/>
      <c r="ETE44" s="3161"/>
      <c r="ETF44" s="3161"/>
      <c r="ETG44" s="3161"/>
      <c r="ETH44" s="3161"/>
      <c r="ETI44" s="3161"/>
      <c r="ETJ44" s="3161"/>
      <c r="ETK44" s="3161"/>
      <c r="ETL44" s="3161"/>
      <c r="ETM44" s="3161"/>
      <c r="ETN44" s="3161"/>
      <c r="ETO44" s="3161"/>
      <c r="ETP44" s="3161"/>
      <c r="ETQ44" s="3161"/>
      <c r="ETR44" s="3161"/>
      <c r="ETS44" s="3161"/>
      <c r="ETT44" s="3161"/>
      <c r="ETU44" s="3161"/>
      <c r="ETV44" s="3161"/>
      <c r="ETW44" s="3161"/>
      <c r="ETX44" s="3161"/>
      <c r="ETY44" s="3161"/>
      <c r="ETZ44" s="3161"/>
      <c r="EUA44" s="3161"/>
      <c r="EUB44" s="3161"/>
      <c r="EUC44" s="3161"/>
      <c r="EUD44" s="3161"/>
      <c r="EUE44" s="3161"/>
      <c r="EUF44" s="3161"/>
      <c r="EUG44" s="3161"/>
      <c r="EUH44" s="3161"/>
      <c r="EUI44" s="3161"/>
      <c r="EUJ44" s="3161"/>
      <c r="EUK44" s="3161"/>
      <c r="EUL44" s="3161"/>
      <c r="EUM44" s="3161"/>
      <c r="EUN44" s="3161"/>
      <c r="EUO44" s="3161"/>
      <c r="EUP44" s="3161"/>
      <c r="EUQ44" s="3161"/>
      <c r="EUR44" s="3161"/>
      <c r="EUS44" s="3161"/>
      <c r="EUT44" s="3161"/>
      <c r="EUU44" s="3161"/>
      <c r="EUV44" s="3161"/>
      <c r="EUW44" s="3161"/>
      <c r="EUX44" s="3161"/>
      <c r="EUY44" s="3161"/>
      <c r="EUZ44" s="3161"/>
      <c r="EVA44" s="3161"/>
      <c r="EVB44" s="3161"/>
      <c r="EVC44" s="3161"/>
      <c r="EVD44" s="3161"/>
      <c r="EVE44" s="3161"/>
      <c r="EVF44" s="3161"/>
      <c r="EVG44" s="3161"/>
      <c r="EVH44" s="3161"/>
      <c r="EVI44" s="3161"/>
      <c r="EVJ44" s="3161"/>
      <c r="EVK44" s="3161"/>
      <c r="EVL44" s="3161"/>
      <c r="EVM44" s="3161"/>
      <c r="EVN44" s="3161"/>
      <c r="EVO44" s="3161"/>
      <c r="EVP44" s="3161"/>
      <c r="EVQ44" s="3161"/>
      <c r="EVR44" s="3161"/>
      <c r="EVS44" s="3161"/>
      <c r="EVT44" s="3161"/>
      <c r="EVU44" s="3161"/>
      <c r="EVV44" s="3161"/>
      <c r="EVW44" s="3161"/>
      <c r="EVX44" s="3161"/>
      <c r="EVY44" s="3161"/>
      <c r="EVZ44" s="3161"/>
      <c r="EWA44" s="3161"/>
      <c r="EWB44" s="3161"/>
      <c r="EWC44" s="3161"/>
      <c r="EWD44" s="3161"/>
      <c r="EWE44" s="3161"/>
      <c r="EWF44" s="3161"/>
      <c r="EWG44" s="3161"/>
      <c r="EWH44" s="3161"/>
      <c r="EWI44" s="3161"/>
      <c r="EWJ44" s="3161"/>
      <c r="EWK44" s="3161"/>
      <c r="EWL44" s="3161"/>
      <c r="EWM44" s="3161"/>
      <c r="EWN44" s="3161"/>
      <c r="EWO44" s="3161"/>
      <c r="EWP44" s="3161"/>
      <c r="EWQ44" s="3161"/>
      <c r="EWR44" s="3161"/>
      <c r="EWS44" s="3161"/>
      <c r="EWT44" s="3161"/>
      <c r="EWU44" s="3161"/>
      <c r="EWV44" s="3161"/>
      <c r="EWW44" s="3161"/>
      <c r="EWX44" s="3161"/>
      <c r="EWY44" s="3161"/>
      <c r="EWZ44" s="3161"/>
      <c r="EXA44" s="3161"/>
      <c r="EXB44" s="3161"/>
      <c r="EXC44" s="3161"/>
      <c r="EXD44" s="3161"/>
      <c r="EXE44" s="3161"/>
      <c r="EXF44" s="3161"/>
      <c r="EXG44" s="3161"/>
      <c r="EXH44" s="3161"/>
      <c r="EXI44" s="3161"/>
      <c r="EXJ44" s="3161"/>
      <c r="EXK44" s="3161"/>
      <c r="EXL44" s="3161"/>
      <c r="EXM44" s="3161"/>
      <c r="EXN44" s="3161"/>
      <c r="EXO44" s="3161"/>
      <c r="EXP44" s="3161"/>
      <c r="EXQ44" s="3161"/>
      <c r="EXR44" s="3161"/>
      <c r="EXS44" s="3161"/>
      <c r="EXT44" s="3161"/>
      <c r="EXU44" s="3161"/>
      <c r="EXV44" s="3161"/>
      <c r="EXW44" s="3161"/>
      <c r="EXX44" s="3161"/>
      <c r="EXY44" s="3161"/>
      <c r="EXZ44" s="3161"/>
      <c r="EYA44" s="3161"/>
      <c r="EYB44" s="3161"/>
      <c r="EYC44" s="3161"/>
      <c r="EYD44" s="3161"/>
      <c r="EYE44" s="3161"/>
      <c r="EYF44" s="3161"/>
      <c r="EYG44" s="3161"/>
      <c r="EYH44" s="3161"/>
      <c r="EYI44" s="3161"/>
      <c r="EYJ44" s="3161"/>
      <c r="EYK44" s="3161"/>
      <c r="EYL44" s="3161"/>
      <c r="EYM44" s="3161"/>
      <c r="EYN44" s="3161"/>
      <c r="EYO44" s="3161"/>
      <c r="EYP44" s="3161"/>
      <c r="EYQ44" s="3161"/>
      <c r="EYR44" s="3161"/>
      <c r="EYS44" s="3161"/>
      <c r="EYT44" s="3161"/>
      <c r="EYU44" s="3161"/>
      <c r="EYV44" s="3161"/>
      <c r="EYW44" s="3161"/>
      <c r="EYX44" s="3161"/>
      <c r="EYY44" s="3161"/>
      <c r="EYZ44" s="3161"/>
      <c r="EZA44" s="3161"/>
      <c r="EZB44" s="3161"/>
      <c r="EZC44" s="3161"/>
      <c r="EZD44" s="3161"/>
      <c r="EZE44" s="3161"/>
      <c r="EZF44" s="3161"/>
      <c r="EZG44" s="3161"/>
      <c r="EZH44" s="3161"/>
      <c r="EZI44" s="3161"/>
      <c r="EZJ44" s="3161"/>
      <c r="EZK44" s="3161"/>
      <c r="EZL44" s="3161"/>
      <c r="EZM44" s="3161"/>
      <c r="EZN44" s="3161"/>
      <c r="EZO44" s="3161"/>
      <c r="EZP44" s="3161"/>
      <c r="EZQ44" s="3161"/>
      <c r="EZR44" s="3161"/>
      <c r="EZS44" s="3161"/>
      <c r="EZT44" s="3161"/>
      <c r="EZU44" s="3161"/>
      <c r="EZV44" s="3161"/>
      <c r="EZW44" s="3161"/>
      <c r="EZX44" s="3161"/>
      <c r="EZY44" s="3161"/>
      <c r="EZZ44" s="3161"/>
      <c r="FAA44" s="3161"/>
      <c r="FAB44" s="3161"/>
      <c r="FAC44" s="3161"/>
      <c r="FAD44" s="3161"/>
      <c r="FAE44" s="3161"/>
      <c r="FAF44" s="3161"/>
      <c r="FAG44" s="3161"/>
      <c r="FAH44" s="3161"/>
      <c r="FAI44" s="3161"/>
      <c r="FAJ44" s="3161"/>
      <c r="FAK44" s="3161"/>
      <c r="FAL44" s="3161"/>
      <c r="FAM44" s="3161"/>
      <c r="FAN44" s="3161"/>
      <c r="FAO44" s="3161"/>
      <c r="FAP44" s="3161"/>
      <c r="FAQ44" s="3161"/>
      <c r="FAR44" s="3161"/>
      <c r="FAS44" s="3161"/>
      <c r="FAT44" s="3161"/>
      <c r="FAU44" s="3161"/>
      <c r="FAV44" s="3161"/>
      <c r="FAW44" s="3161"/>
      <c r="FAX44" s="3161"/>
      <c r="FAY44" s="3161"/>
      <c r="FAZ44" s="3161"/>
      <c r="FBA44" s="3161"/>
      <c r="FBB44" s="3161"/>
      <c r="FBC44" s="3161"/>
      <c r="FBD44" s="3161"/>
      <c r="FBE44" s="3161"/>
      <c r="FBF44" s="3161"/>
      <c r="FBG44" s="3161"/>
      <c r="FBH44" s="3161"/>
      <c r="FBI44" s="3161"/>
      <c r="FBJ44" s="3161"/>
      <c r="FBK44" s="3161"/>
      <c r="FBL44" s="3161"/>
      <c r="FBM44" s="3161"/>
      <c r="FBN44" s="3161"/>
      <c r="FBO44" s="3161"/>
      <c r="FBP44" s="3161"/>
      <c r="FBQ44" s="3161"/>
      <c r="FBR44" s="3161"/>
      <c r="FBS44" s="3161"/>
      <c r="FBT44" s="3161"/>
      <c r="FBU44" s="3161"/>
      <c r="FBV44" s="3161"/>
      <c r="FBW44" s="3161"/>
      <c r="FBX44" s="3161"/>
      <c r="FBY44" s="3161"/>
      <c r="FBZ44" s="3161"/>
      <c r="FCA44" s="3161"/>
      <c r="FCB44" s="3161"/>
      <c r="FCC44" s="3161"/>
      <c r="FCD44" s="3161"/>
      <c r="FCE44" s="3161"/>
      <c r="FCF44" s="3161"/>
      <c r="FCG44" s="3161"/>
      <c r="FCH44" s="3161"/>
      <c r="FCI44" s="3161"/>
      <c r="FCJ44" s="3161"/>
      <c r="FCK44" s="3161"/>
      <c r="FCL44" s="3161"/>
      <c r="FCM44" s="3161"/>
      <c r="FCN44" s="3161"/>
      <c r="FCO44" s="3161"/>
      <c r="FCP44" s="3161"/>
      <c r="FCQ44" s="3161"/>
      <c r="FCR44" s="3161"/>
      <c r="FCS44" s="3161"/>
      <c r="FCT44" s="3161"/>
      <c r="FCU44" s="3161"/>
      <c r="FCV44" s="3161"/>
      <c r="FCW44" s="3161"/>
      <c r="FCX44" s="3161"/>
      <c r="FCY44" s="3161"/>
      <c r="FCZ44" s="3161"/>
      <c r="FDA44" s="3161"/>
      <c r="FDB44" s="3161"/>
      <c r="FDC44" s="3161"/>
      <c r="FDD44" s="3161"/>
      <c r="FDE44" s="3161"/>
      <c r="FDF44" s="3161"/>
      <c r="FDG44" s="3161"/>
      <c r="FDH44" s="3161"/>
      <c r="FDI44" s="3161"/>
      <c r="FDJ44" s="3161"/>
      <c r="FDK44" s="3161"/>
      <c r="FDL44" s="3161"/>
      <c r="FDM44" s="3161"/>
      <c r="FDN44" s="3161"/>
      <c r="FDO44" s="3161"/>
      <c r="FDP44" s="3161"/>
      <c r="FDQ44" s="3161"/>
      <c r="FDR44" s="3161"/>
      <c r="FDS44" s="3161"/>
      <c r="FDT44" s="3161"/>
      <c r="FDU44" s="3161"/>
      <c r="FDV44" s="3161"/>
      <c r="FDW44" s="3161"/>
      <c r="FDX44" s="3161"/>
      <c r="FDY44" s="3161"/>
      <c r="FDZ44" s="3161"/>
      <c r="FEA44" s="3161"/>
      <c r="FEB44" s="3161"/>
      <c r="FEC44" s="3161"/>
      <c r="FED44" s="3161"/>
      <c r="FEE44" s="3161"/>
      <c r="FEF44" s="3161"/>
      <c r="FEG44" s="3161"/>
      <c r="FEH44" s="3161"/>
      <c r="FEI44" s="3161"/>
      <c r="FEJ44" s="3161"/>
      <c r="FEK44" s="3161"/>
      <c r="FEL44" s="3161"/>
      <c r="FEM44" s="3161"/>
      <c r="FEN44" s="3161"/>
      <c r="FEO44" s="3161"/>
      <c r="FEP44" s="3161"/>
      <c r="FEQ44" s="3161"/>
      <c r="FER44" s="3161"/>
      <c r="FES44" s="3161"/>
      <c r="FET44" s="3161"/>
      <c r="FEU44" s="3161"/>
      <c r="FEV44" s="3161"/>
      <c r="FEW44" s="3161"/>
      <c r="FEX44" s="3161"/>
      <c r="FEY44" s="3161"/>
      <c r="FEZ44" s="3161"/>
      <c r="FFA44" s="3161"/>
      <c r="FFB44" s="3161"/>
      <c r="FFC44" s="3161"/>
      <c r="FFD44" s="3161"/>
      <c r="FFE44" s="3161"/>
      <c r="FFF44" s="3161"/>
      <c r="FFG44" s="3161"/>
      <c r="FFH44" s="3161"/>
      <c r="FFI44" s="3161"/>
      <c r="FFJ44" s="3161"/>
      <c r="FFK44" s="3161"/>
      <c r="FFL44" s="3161"/>
      <c r="FFM44" s="3161"/>
      <c r="FFN44" s="3161"/>
      <c r="FFO44" s="3161"/>
      <c r="FFP44" s="3161"/>
      <c r="FFQ44" s="3161"/>
      <c r="FFR44" s="3161"/>
      <c r="FFS44" s="3161"/>
      <c r="FFT44" s="3161"/>
      <c r="FFU44" s="3161"/>
      <c r="FFV44" s="3161"/>
      <c r="FFW44" s="3161"/>
      <c r="FFX44" s="3161"/>
      <c r="FFY44" s="3161"/>
      <c r="FFZ44" s="3161"/>
      <c r="FGA44" s="3161"/>
      <c r="FGB44" s="3161"/>
      <c r="FGC44" s="3161"/>
      <c r="FGD44" s="3161"/>
      <c r="FGE44" s="3161"/>
      <c r="FGF44" s="3161"/>
      <c r="FGG44" s="3161"/>
      <c r="FGH44" s="3161"/>
      <c r="FGI44" s="3161"/>
      <c r="FGJ44" s="3161"/>
      <c r="FGK44" s="3161"/>
      <c r="FGL44" s="3161"/>
      <c r="FGM44" s="3161"/>
      <c r="FGN44" s="3161"/>
      <c r="FGO44" s="3161"/>
      <c r="FGP44" s="3161"/>
      <c r="FGQ44" s="3161"/>
      <c r="FGR44" s="3161"/>
      <c r="FGS44" s="3161"/>
      <c r="FGT44" s="3161"/>
      <c r="FGU44" s="3161"/>
      <c r="FGV44" s="3161"/>
      <c r="FGW44" s="3161"/>
      <c r="FGX44" s="3161"/>
      <c r="FGY44" s="3161"/>
      <c r="FGZ44" s="3161"/>
      <c r="FHA44" s="3161"/>
      <c r="FHB44" s="3161"/>
      <c r="FHC44" s="3161"/>
      <c r="FHD44" s="3161"/>
      <c r="FHE44" s="3161"/>
      <c r="FHF44" s="3161"/>
      <c r="FHG44" s="3161"/>
      <c r="FHH44" s="3161"/>
      <c r="FHI44" s="3161"/>
      <c r="FHJ44" s="3161"/>
      <c r="FHK44" s="3161"/>
      <c r="FHL44" s="3161"/>
      <c r="FHM44" s="3161"/>
      <c r="FHN44" s="3161"/>
      <c r="FHO44" s="3161"/>
      <c r="FHP44" s="3161"/>
      <c r="FHQ44" s="3161"/>
      <c r="FHR44" s="3161"/>
      <c r="FHS44" s="3161"/>
      <c r="FHT44" s="3161"/>
      <c r="FHU44" s="3161"/>
      <c r="FHV44" s="3161"/>
      <c r="FHW44" s="3161"/>
      <c r="FHX44" s="3161"/>
      <c r="FHY44" s="3161"/>
      <c r="FHZ44" s="3161"/>
      <c r="FIA44" s="3161"/>
      <c r="FIB44" s="3161"/>
      <c r="FIC44" s="3161"/>
      <c r="FID44" s="3161"/>
      <c r="FIE44" s="3161"/>
      <c r="FIF44" s="3161"/>
      <c r="FIG44" s="3161"/>
      <c r="FIH44" s="3161"/>
      <c r="FII44" s="3161"/>
      <c r="FIJ44" s="3161"/>
      <c r="FIK44" s="3161"/>
      <c r="FIL44" s="3161"/>
      <c r="FIM44" s="3161"/>
      <c r="FIN44" s="3161"/>
      <c r="FIO44" s="3161"/>
      <c r="FIP44" s="3161"/>
      <c r="FIQ44" s="3161"/>
      <c r="FIR44" s="3161"/>
      <c r="FIS44" s="3161"/>
      <c r="FIT44" s="3161"/>
      <c r="FIU44" s="3161"/>
      <c r="FIV44" s="3161"/>
      <c r="FIW44" s="3161"/>
      <c r="FIX44" s="3161"/>
      <c r="FIY44" s="3161"/>
      <c r="FIZ44" s="3161"/>
      <c r="FJA44" s="3161"/>
      <c r="FJB44" s="3161"/>
      <c r="FJC44" s="3161"/>
      <c r="FJD44" s="3161"/>
      <c r="FJE44" s="3161"/>
      <c r="FJF44" s="3161"/>
      <c r="FJG44" s="3161"/>
      <c r="FJH44" s="3161"/>
      <c r="FJI44" s="3161"/>
      <c r="FJJ44" s="3161"/>
      <c r="FJK44" s="3161"/>
      <c r="FJL44" s="3161"/>
      <c r="FJM44" s="3161"/>
      <c r="FJN44" s="3161"/>
      <c r="FJO44" s="3161"/>
      <c r="FJP44" s="3161"/>
      <c r="FJQ44" s="3161"/>
      <c r="FJR44" s="3161"/>
      <c r="FJS44" s="3161"/>
      <c r="FJT44" s="3161"/>
      <c r="FJU44" s="3161"/>
      <c r="FJV44" s="3161"/>
      <c r="FJW44" s="3161"/>
      <c r="FJX44" s="3161"/>
      <c r="FJY44" s="3161"/>
      <c r="FJZ44" s="3161"/>
      <c r="FKA44" s="3161"/>
      <c r="FKB44" s="3161"/>
      <c r="FKC44" s="3161"/>
      <c r="FKD44" s="3161"/>
      <c r="FKE44" s="3161"/>
      <c r="FKF44" s="3161"/>
      <c r="FKG44" s="3161"/>
      <c r="FKH44" s="3161"/>
      <c r="FKI44" s="3161"/>
      <c r="FKJ44" s="3161"/>
      <c r="FKK44" s="3161"/>
      <c r="FKL44" s="3161"/>
      <c r="FKM44" s="3161"/>
      <c r="FKN44" s="3161"/>
      <c r="FKO44" s="3161"/>
      <c r="FKP44" s="3161"/>
      <c r="FKQ44" s="3161"/>
      <c r="FKR44" s="3161"/>
      <c r="FKS44" s="3161"/>
      <c r="FKT44" s="3161"/>
      <c r="FKU44" s="3161"/>
      <c r="FKV44" s="3161"/>
      <c r="FKW44" s="3161"/>
      <c r="FKX44" s="3161"/>
      <c r="FKY44" s="3161"/>
      <c r="FKZ44" s="3161"/>
      <c r="FLA44" s="3161"/>
      <c r="FLB44" s="3161"/>
      <c r="FLC44" s="3161"/>
      <c r="FLD44" s="3161"/>
      <c r="FLE44" s="3161"/>
      <c r="FLF44" s="3161"/>
      <c r="FLG44" s="3161"/>
      <c r="FLH44" s="3161"/>
      <c r="FLI44" s="3161"/>
      <c r="FLJ44" s="3161"/>
      <c r="FLK44" s="3161"/>
      <c r="FLL44" s="3161"/>
      <c r="FLM44" s="3161"/>
      <c r="FLN44" s="3161"/>
      <c r="FLO44" s="3161"/>
      <c r="FLP44" s="3161"/>
      <c r="FLQ44" s="3161"/>
      <c r="FLR44" s="3161"/>
      <c r="FLS44" s="3161"/>
      <c r="FLT44" s="3161"/>
      <c r="FLU44" s="3161"/>
      <c r="FLV44" s="3161"/>
      <c r="FLW44" s="3161"/>
      <c r="FLX44" s="3161"/>
      <c r="FLY44" s="3161"/>
      <c r="FLZ44" s="3161"/>
      <c r="FMA44" s="3161"/>
      <c r="FMB44" s="3161"/>
      <c r="FMC44" s="3161"/>
      <c r="FMD44" s="3161"/>
      <c r="FME44" s="3161"/>
      <c r="FMF44" s="3161"/>
      <c r="FMG44" s="3161"/>
      <c r="FMH44" s="3161"/>
      <c r="FMI44" s="3161"/>
      <c r="FMJ44" s="3161"/>
      <c r="FMK44" s="3161"/>
      <c r="FML44" s="3161"/>
      <c r="FMM44" s="3161"/>
      <c r="FMN44" s="3161"/>
      <c r="FMO44" s="3161"/>
      <c r="FMP44" s="3161"/>
      <c r="FMQ44" s="3161"/>
      <c r="FMR44" s="3161"/>
      <c r="FMS44" s="3161"/>
      <c r="FMT44" s="3161"/>
      <c r="FMU44" s="3161"/>
      <c r="FMV44" s="3161"/>
      <c r="FMW44" s="3161"/>
      <c r="FMX44" s="3161"/>
      <c r="FMY44" s="3161"/>
      <c r="FMZ44" s="3161"/>
      <c r="FNA44" s="3161"/>
      <c r="FNB44" s="3161"/>
      <c r="FNC44" s="3161"/>
      <c r="FND44" s="3161"/>
      <c r="FNE44" s="3161"/>
      <c r="FNF44" s="3161"/>
      <c r="FNG44" s="3161"/>
      <c r="FNH44" s="3161"/>
      <c r="FNI44" s="3161"/>
      <c r="FNJ44" s="3161"/>
      <c r="FNK44" s="3161"/>
      <c r="FNL44" s="3161"/>
      <c r="FNM44" s="3161"/>
      <c r="FNN44" s="3161"/>
      <c r="FNO44" s="3161"/>
      <c r="FNP44" s="3161"/>
      <c r="FNQ44" s="3161"/>
      <c r="FNR44" s="3161"/>
      <c r="FNS44" s="3161"/>
      <c r="FNT44" s="3161"/>
      <c r="FNU44" s="3161"/>
      <c r="FNV44" s="3161"/>
      <c r="FNW44" s="3161"/>
      <c r="FNX44" s="3161"/>
      <c r="FNY44" s="3161"/>
      <c r="FNZ44" s="3161"/>
      <c r="FOA44" s="3161"/>
      <c r="FOB44" s="3161"/>
      <c r="FOC44" s="3161"/>
      <c r="FOD44" s="3161"/>
      <c r="FOE44" s="3161"/>
      <c r="FOF44" s="3161"/>
      <c r="FOG44" s="3161"/>
      <c r="FOH44" s="3161"/>
      <c r="FOI44" s="3161"/>
      <c r="FOJ44" s="3161"/>
      <c r="FOK44" s="3161"/>
      <c r="FOL44" s="3161"/>
      <c r="FOM44" s="3161"/>
      <c r="FON44" s="3161"/>
      <c r="FOO44" s="3161"/>
      <c r="FOP44" s="3161"/>
      <c r="FOQ44" s="3161"/>
      <c r="FOR44" s="3161"/>
      <c r="FOS44" s="3161"/>
      <c r="FOT44" s="3161"/>
      <c r="FOU44" s="3161"/>
      <c r="FOV44" s="3161"/>
      <c r="FOW44" s="3161"/>
      <c r="FOX44" s="3161"/>
      <c r="FOY44" s="3161"/>
      <c r="FOZ44" s="3161"/>
      <c r="FPA44" s="3161"/>
      <c r="FPB44" s="3161"/>
      <c r="FPC44" s="3161"/>
      <c r="FPD44" s="3161"/>
      <c r="FPE44" s="3161"/>
      <c r="FPF44" s="3161"/>
      <c r="FPG44" s="3161"/>
      <c r="FPH44" s="3161"/>
      <c r="FPI44" s="3161"/>
      <c r="FPJ44" s="3161"/>
      <c r="FPK44" s="3161"/>
      <c r="FPL44" s="3161"/>
      <c r="FPM44" s="3161"/>
      <c r="FPN44" s="3161"/>
      <c r="FPO44" s="3161"/>
      <c r="FPP44" s="3161"/>
      <c r="FPQ44" s="3161"/>
      <c r="FPR44" s="3161"/>
      <c r="FPS44" s="3161"/>
      <c r="FPT44" s="3161"/>
      <c r="FPU44" s="3161"/>
      <c r="FPV44" s="3161"/>
      <c r="FPW44" s="3161"/>
      <c r="FPX44" s="3161"/>
      <c r="FPY44" s="3161"/>
      <c r="FPZ44" s="3161"/>
      <c r="FQA44" s="3161"/>
      <c r="FQB44" s="3161"/>
      <c r="FQC44" s="3161"/>
      <c r="FQD44" s="3161"/>
      <c r="FQE44" s="3161"/>
      <c r="FQF44" s="3161"/>
      <c r="FQG44" s="3161"/>
      <c r="FQH44" s="3161"/>
      <c r="FQI44" s="3161"/>
      <c r="FQJ44" s="3161"/>
      <c r="FQK44" s="3161"/>
      <c r="FQL44" s="3161"/>
      <c r="FQM44" s="3161"/>
      <c r="FQN44" s="3161"/>
      <c r="FQO44" s="3161"/>
      <c r="FQP44" s="3161"/>
      <c r="FQQ44" s="3161"/>
      <c r="FQR44" s="3161"/>
      <c r="FQS44" s="3161"/>
      <c r="FQT44" s="3161"/>
      <c r="FQU44" s="3161"/>
      <c r="FQV44" s="3161"/>
      <c r="FQW44" s="3161"/>
      <c r="FQX44" s="3161"/>
      <c r="FQY44" s="3161"/>
      <c r="FQZ44" s="3161"/>
      <c r="FRA44" s="3161"/>
      <c r="FRB44" s="3161"/>
      <c r="FRC44" s="3161"/>
      <c r="FRD44" s="3161"/>
      <c r="FRE44" s="3161"/>
      <c r="FRF44" s="3161"/>
      <c r="FRG44" s="3161"/>
      <c r="FRH44" s="3161"/>
      <c r="FRI44" s="3161"/>
      <c r="FRJ44" s="3161"/>
      <c r="FRK44" s="3161"/>
      <c r="FRL44" s="3161"/>
      <c r="FRM44" s="3161"/>
      <c r="FRN44" s="3161"/>
      <c r="FRO44" s="3161"/>
      <c r="FRP44" s="3161"/>
      <c r="FRQ44" s="3161"/>
      <c r="FRR44" s="3161"/>
      <c r="FRS44" s="3161"/>
      <c r="FRT44" s="3161"/>
      <c r="FRU44" s="3161"/>
      <c r="FRV44" s="3161"/>
      <c r="FRW44" s="3161"/>
      <c r="FRX44" s="3161"/>
      <c r="FRY44" s="3161"/>
      <c r="FRZ44" s="3161"/>
      <c r="FSA44" s="3161"/>
      <c r="FSB44" s="3161"/>
      <c r="FSC44" s="3161"/>
      <c r="FSD44" s="3161"/>
      <c r="FSE44" s="3161"/>
      <c r="FSF44" s="3161"/>
      <c r="FSG44" s="3161"/>
      <c r="FSH44" s="3161"/>
      <c r="FSI44" s="3161"/>
      <c r="FSJ44" s="3161"/>
      <c r="FSK44" s="3161"/>
      <c r="FSL44" s="3161"/>
      <c r="FSM44" s="3161"/>
      <c r="FSN44" s="3161"/>
      <c r="FSO44" s="3161"/>
      <c r="FSP44" s="3161"/>
      <c r="FSQ44" s="3161"/>
      <c r="FSR44" s="3161"/>
      <c r="FSS44" s="3161"/>
      <c r="FST44" s="3161"/>
      <c r="FSU44" s="3161"/>
      <c r="FSV44" s="3161"/>
      <c r="FSW44" s="3161"/>
      <c r="FSX44" s="3161"/>
      <c r="FSY44" s="3161"/>
      <c r="FSZ44" s="3161"/>
      <c r="FTA44" s="3161"/>
      <c r="FTB44" s="3161"/>
      <c r="FTC44" s="3161"/>
      <c r="FTD44" s="3161"/>
      <c r="FTE44" s="3161"/>
      <c r="FTF44" s="3161"/>
      <c r="FTG44" s="3161"/>
      <c r="FTH44" s="3161"/>
      <c r="FTI44" s="3161"/>
      <c r="FTJ44" s="3161"/>
      <c r="FTK44" s="3161"/>
      <c r="FTL44" s="3161"/>
      <c r="FTM44" s="3161"/>
      <c r="FTN44" s="3161"/>
      <c r="FTO44" s="3161"/>
      <c r="FTP44" s="3161"/>
      <c r="FTQ44" s="3161"/>
      <c r="FTR44" s="3161"/>
      <c r="FTS44" s="3161"/>
      <c r="FTT44" s="3161"/>
      <c r="FTU44" s="3161"/>
      <c r="FTV44" s="3161"/>
      <c r="FTW44" s="3161"/>
      <c r="FTX44" s="3161"/>
      <c r="FTY44" s="3161"/>
      <c r="FTZ44" s="3161"/>
      <c r="FUA44" s="3161"/>
      <c r="FUB44" s="3161"/>
      <c r="FUC44" s="3161"/>
      <c r="FUD44" s="3161"/>
      <c r="FUE44" s="3161"/>
      <c r="FUF44" s="3161"/>
      <c r="FUG44" s="3161"/>
      <c r="FUH44" s="3161"/>
      <c r="FUI44" s="3161"/>
      <c r="FUJ44" s="3161"/>
      <c r="FUK44" s="3161"/>
      <c r="FUL44" s="3161"/>
      <c r="FUM44" s="3161"/>
      <c r="FUN44" s="3161"/>
      <c r="FUO44" s="3161"/>
      <c r="FUP44" s="3161"/>
      <c r="FUQ44" s="3161"/>
      <c r="FUR44" s="3161"/>
      <c r="FUS44" s="3161"/>
      <c r="FUT44" s="3161"/>
      <c r="FUU44" s="3161"/>
      <c r="FUV44" s="3161"/>
      <c r="FUW44" s="3161"/>
      <c r="FUX44" s="3161"/>
      <c r="FUY44" s="3161"/>
      <c r="FUZ44" s="3161"/>
      <c r="FVA44" s="3161"/>
      <c r="FVB44" s="3161"/>
      <c r="FVC44" s="3161"/>
      <c r="FVD44" s="3161"/>
      <c r="FVE44" s="3161"/>
      <c r="FVF44" s="3161"/>
      <c r="FVG44" s="3161"/>
      <c r="FVH44" s="3161"/>
      <c r="FVI44" s="3161"/>
      <c r="FVJ44" s="3161"/>
      <c r="FVK44" s="3161"/>
      <c r="FVL44" s="3161"/>
      <c r="FVM44" s="3161"/>
      <c r="FVN44" s="3161"/>
      <c r="FVO44" s="3161"/>
      <c r="FVP44" s="3161"/>
      <c r="FVQ44" s="3161"/>
      <c r="FVR44" s="3161"/>
      <c r="FVS44" s="3161"/>
      <c r="FVT44" s="3161"/>
      <c r="FVU44" s="3161"/>
      <c r="FVV44" s="3161"/>
      <c r="FVW44" s="3161"/>
      <c r="FVX44" s="3161"/>
      <c r="FVY44" s="3161"/>
      <c r="FVZ44" s="3161"/>
      <c r="FWA44" s="3161"/>
      <c r="FWB44" s="3161"/>
      <c r="FWC44" s="3161"/>
      <c r="FWD44" s="3161"/>
      <c r="FWE44" s="3161"/>
      <c r="FWF44" s="3161"/>
      <c r="FWG44" s="3161"/>
      <c r="FWH44" s="3161"/>
      <c r="FWI44" s="3161"/>
      <c r="FWJ44" s="3161"/>
      <c r="FWK44" s="3161"/>
      <c r="FWL44" s="3161"/>
      <c r="FWM44" s="3161"/>
      <c r="FWN44" s="3161"/>
      <c r="FWO44" s="3161"/>
      <c r="FWP44" s="3161"/>
      <c r="FWQ44" s="3161"/>
      <c r="FWR44" s="3161"/>
      <c r="FWS44" s="3161"/>
      <c r="FWT44" s="3161"/>
      <c r="FWU44" s="3161"/>
      <c r="FWV44" s="3161"/>
      <c r="FWW44" s="3161"/>
      <c r="FWX44" s="3161"/>
      <c r="FWY44" s="3161"/>
      <c r="FWZ44" s="3161"/>
      <c r="FXA44" s="3161"/>
      <c r="FXB44" s="3161"/>
      <c r="FXC44" s="3161"/>
      <c r="FXD44" s="3161"/>
      <c r="FXE44" s="3161"/>
      <c r="FXF44" s="3161"/>
      <c r="FXG44" s="3161"/>
      <c r="FXH44" s="3161"/>
      <c r="FXI44" s="3161"/>
      <c r="FXJ44" s="3161"/>
      <c r="FXK44" s="3161"/>
      <c r="FXL44" s="3161"/>
      <c r="FXM44" s="3161"/>
      <c r="FXN44" s="3161"/>
      <c r="FXO44" s="3161"/>
      <c r="FXP44" s="3161"/>
      <c r="FXQ44" s="3161"/>
      <c r="FXR44" s="3161"/>
      <c r="FXS44" s="3161"/>
      <c r="FXT44" s="3161"/>
      <c r="FXU44" s="3161"/>
      <c r="FXV44" s="3161"/>
      <c r="FXW44" s="3161"/>
      <c r="FXX44" s="3161"/>
      <c r="FXY44" s="3161"/>
      <c r="FXZ44" s="3161"/>
      <c r="FYA44" s="3161"/>
      <c r="FYB44" s="3161"/>
      <c r="FYC44" s="3161"/>
      <c r="FYD44" s="3161"/>
      <c r="FYE44" s="3161"/>
      <c r="FYF44" s="3161"/>
      <c r="FYG44" s="3161"/>
      <c r="FYH44" s="3161"/>
      <c r="FYI44" s="3161"/>
      <c r="FYJ44" s="3161"/>
      <c r="FYK44" s="3161"/>
      <c r="FYL44" s="3161"/>
      <c r="FYM44" s="3161"/>
      <c r="FYN44" s="3161"/>
      <c r="FYO44" s="3161"/>
      <c r="FYP44" s="3161"/>
      <c r="FYQ44" s="3161"/>
      <c r="FYR44" s="3161"/>
      <c r="FYS44" s="3161"/>
      <c r="FYT44" s="3161"/>
      <c r="FYU44" s="3161"/>
      <c r="FYV44" s="3161"/>
      <c r="FYW44" s="3161"/>
      <c r="FYX44" s="3161"/>
      <c r="FYY44" s="3161"/>
      <c r="FYZ44" s="3161"/>
      <c r="FZA44" s="3161"/>
      <c r="FZB44" s="3161"/>
      <c r="FZC44" s="3161"/>
      <c r="FZD44" s="3161"/>
      <c r="FZE44" s="3161"/>
      <c r="FZF44" s="3161"/>
      <c r="FZG44" s="3161"/>
      <c r="FZH44" s="3161"/>
      <c r="FZI44" s="3161"/>
      <c r="FZJ44" s="3161"/>
      <c r="FZK44" s="3161"/>
      <c r="FZL44" s="3161"/>
      <c r="FZM44" s="3161"/>
      <c r="FZN44" s="3161"/>
      <c r="FZO44" s="3161"/>
      <c r="FZP44" s="3161"/>
      <c r="FZQ44" s="3161"/>
      <c r="FZR44" s="3161"/>
      <c r="FZS44" s="3161"/>
      <c r="FZT44" s="3161"/>
      <c r="FZU44" s="3161"/>
      <c r="FZV44" s="3161"/>
      <c r="FZW44" s="3161"/>
      <c r="FZX44" s="3161"/>
      <c r="FZY44" s="3161"/>
      <c r="FZZ44" s="3161"/>
      <c r="GAA44" s="3161"/>
      <c r="GAB44" s="3161"/>
      <c r="GAC44" s="3161"/>
      <c r="GAD44" s="3161"/>
      <c r="GAE44" s="3161"/>
      <c r="GAF44" s="3161"/>
      <c r="GAG44" s="3161"/>
      <c r="GAH44" s="3161"/>
      <c r="GAI44" s="3161"/>
      <c r="GAJ44" s="3161"/>
      <c r="GAK44" s="3161"/>
      <c r="GAL44" s="3161"/>
      <c r="GAM44" s="3161"/>
      <c r="GAN44" s="3161"/>
      <c r="GAO44" s="3161"/>
      <c r="GAP44" s="3161"/>
      <c r="GAQ44" s="3161"/>
      <c r="GAR44" s="3161"/>
      <c r="GAS44" s="3161"/>
      <c r="GAT44" s="3161"/>
      <c r="GAU44" s="3161"/>
      <c r="GAV44" s="3161"/>
      <c r="GAW44" s="3161"/>
      <c r="GAX44" s="3161"/>
      <c r="GAY44" s="3161"/>
      <c r="GAZ44" s="3161"/>
      <c r="GBA44" s="3161"/>
      <c r="GBB44" s="3161"/>
      <c r="GBC44" s="3161"/>
      <c r="GBD44" s="3161"/>
      <c r="GBE44" s="3161"/>
      <c r="GBF44" s="3161"/>
      <c r="GBG44" s="3161"/>
      <c r="GBH44" s="3161"/>
      <c r="GBI44" s="3161"/>
      <c r="GBJ44" s="3161"/>
      <c r="GBK44" s="3161"/>
      <c r="GBL44" s="3161"/>
      <c r="GBM44" s="3161"/>
      <c r="GBN44" s="3161"/>
      <c r="GBO44" s="3161"/>
      <c r="GBP44" s="3161"/>
      <c r="GBQ44" s="3161"/>
      <c r="GBR44" s="3161"/>
      <c r="GBS44" s="3161"/>
      <c r="GBT44" s="3161"/>
      <c r="GBU44" s="3161"/>
      <c r="GBV44" s="3161"/>
      <c r="GBW44" s="3161"/>
      <c r="GBX44" s="3161"/>
      <c r="GBY44" s="3161"/>
      <c r="GBZ44" s="3161"/>
      <c r="GCA44" s="3161"/>
      <c r="GCB44" s="3161"/>
      <c r="GCC44" s="3161"/>
      <c r="GCD44" s="3161"/>
      <c r="GCE44" s="3161"/>
      <c r="GCF44" s="3161"/>
      <c r="GCG44" s="3161"/>
      <c r="GCH44" s="3161"/>
      <c r="GCI44" s="3161"/>
      <c r="GCJ44" s="3161"/>
      <c r="GCK44" s="3161"/>
      <c r="GCL44" s="3161"/>
      <c r="GCM44" s="3161"/>
      <c r="GCN44" s="3161"/>
      <c r="GCO44" s="3161"/>
      <c r="GCP44" s="3161"/>
      <c r="GCQ44" s="3161"/>
      <c r="GCR44" s="3161"/>
      <c r="GCS44" s="3161"/>
      <c r="GCT44" s="3161"/>
      <c r="GCU44" s="3161"/>
      <c r="GCV44" s="3161"/>
      <c r="GCW44" s="3161"/>
      <c r="GCX44" s="3161"/>
      <c r="GCY44" s="3161"/>
      <c r="GCZ44" s="3161"/>
      <c r="GDA44" s="3161"/>
      <c r="GDB44" s="3161"/>
      <c r="GDC44" s="3161"/>
      <c r="GDD44" s="3161"/>
      <c r="GDE44" s="3161"/>
      <c r="GDF44" s="3161"/>
      <c r="GDG44" s="3161"/>
      <c r="GDH44" s="3161"/>
      <c r="GDI44" s="3161"/>
      <c r="GDJ44" s="3161"/>
      <c r="GDK44" s="3161"/>
      <c r="GDL44" s="3161"/>
      <c r="GDM44" s="3161"/>
      <c r="GDN44" s="3161"/>
      <c r="GDO44" s="3161"/>
      <c r="GDP44" s="3161"/>
      <c r="GDQ44" s="3161"/>
      <c r="GDR44" s="3161"/>
      <c r="GDS44" s="3161"/>
      <c r="GDT44" s="3161"/>
      <c r="GDU44" s="3161"/>
      <c r="GDV44" s="3161"/>
      <c r="GDW44" s="3161"/>
      <c r="GDX44" s="3161"/>
      <c r="GDY44" s="3161"/>
      <c r="GDZ44" s="3161"/>
      <c r="GEA44" s="3161"/>
      <c r="GEB44" s="3161"/>
      <c r="GEC44" s="3161"/>
      <c r="GED44" s="3161"/>
      <c r="GEE44" s="3161"/>
      <c r="GEF44" s="3161"/>
      <c r="GEG44" s="3161"/>
      <c r="GEH44" s="3161"/>
      <c r="GEI44" s="3161"/>
      <c r="GEJ44" s="3161"/>
      <c r="GEK44" s="3161"/>
      <c r="GEL44" s="3161"/>
      <c r="GEM44" s="3161"/>
      <c r="GEN44" s="3161"/>
      <c r="GEO44" s="3161"/>
      <c r="GEP44" s="3161"/>
      <c r="GEQ44" s="3161"/>
      <c r="GER44" s="3161"/>
      <c r="GES44" s="3161"/>
      <c r="GET44" s="3161"/>
      <c r="GEU44" s="3161"/>
      <c r="GEV44" s="3161"/>
      <c r="GEW44" s="3161"/>
      <c r="GEX44" s="3161"/>
      <c r="GEY44" s="3161"/>
      <c r="GEZ44" s="3161"/>
      <c r="GFA44" s="3161"/>
      <c r="GFB44" s="3161"/>
      <c r="GFC44" s="3161"/>
      <c r="GFD44" s="3161"/>
      <c r="GFE44" s="3161"/>
      <c r="GFF44" s="3161"/>
      <c r="GFG44" s="3161"/>
      <c r="GFH44" s="3161"/>
      <c r="GFI44" s="3161"/>
      <c r="GFJ44" s="3161"/>
      <c r="GFK44" s="3161"/>
      <c r="GFL44" s="3161"/>
      <c r="GFM44" s="3161"/>
      <c r="GFN44" s="3161"/>
      <c r="GFO44" s="3161"/>
      <c r="GFP44" s="3161"/>
      <c r="GFQ44" s="3161"/>
      <c r="GFR44" s="3161"/>
      <c r="GFS44" s="3161"/>
      <c r="GFT44" s="3161"/>
      <c r="GFU44" s="3161"/>
      <c r="GFV44" s="3161"/>
      <c r="GFW44" s="3161"/>
      <c r="GFX44" s="3161"/>
      <c r="GFY44" s="3161"/>
      <c r="GFZ44" s="3161"/>
      <c r="GGA44" s="3161"/>
      <c r="GGB44" s="3161"/>
      <c r="GGC44" s="3161"/>
      <c r="GGD44" s="3161"/>
      <c r="GGE44" s="3161"/>
      <c r="GGF44" s="3161"/>
      <c r="GGG44" s="3161"/>
      <c r="GGH44" s="3161"/>
      <c r="GGI44" s="3161"/>
      <c r="GGJ44" s="3161"/>
      <c r="GGK44" s="3161"/>
      <c r="GGL44" s="3161"/>
      <c r="GGM44" s="3161"/>
      <c r="GGN44" s="3161"/>
      <c r="GGO44" s="3161"/>
      <c r="GGP44" s="3161"/>
      <c r="GGQ44" s="3161"/>
      <c r="GGR44" s="3161"/>
      <c r="GGS44" s="3161"/>
      <c r="GGT44" s="3161"/>
      <c r="GGU44" s="3161"/>
      <c r="GGV44" s="3161"/>
      <c r="GGW44" s="3161"/>
      <c r="GGX44" s="3161"/>
      <c r="GGY44" s="3161"/>
      <c r="GGZ44" s="3161"/>
      <c r="GHA44" s="3161"/>
      <c r="GHB44" s="3161"/>
      <c r="GHC44" s="3161"/>
      <c r="GHD44" s="3161"/>
      <c r="GHE44" s="3161"/>
      <c r="GHF44" s="3161"/>
      <c r="GHG44" s="3161"/>
      <c r="GHH44" s="3161"/>
      <c r="GHI44" s="3161"/>
      <c r="GHJ44" s="3161"/>
      <c r="GHK44" s="3161"/>
      <c r="GHL44" s="3161"/>
      <c r="GHM44" s="3161"/>
      <c r="GHN44" s="3161"/>
      <c r="GHO44" s="3161"/>
      <c r="GHP44" s="3161"/>
      <c r="GHQ44" s="3161"/>
      <c r="GHR44" s="3161"/>
      <c r="GHS44" s="3161"/>
      <c r="GHT44" s="3161"/>
      <c r="GHU44" s="3161"/>
      <c r="GHV44" s="3161"/>
      <c r="GHW44" s="3161"/>
      <c r="GHX44" s="3161"/>
      <c r="GHY44" s="3161"/>
      <c r="GHZ44" s="3161"/>
      <c r="GIA44" s="3161"/>
      <c r="GIB44" s="3161"/>
      <c r="GIC44" s="3161"/>
      <c r="GID44" s="3161"/>
      <c r="GIE44" s="3161"/>
      <c r="GIF44" s="3161"/>
      <c r="GIG44" s="3161"/>
      <c r="GIH44" s="3161"/>
      <c r="GII44" s="3161"/>
      <c r="GIJ44" s="3161"/>
      <c r="GIK44" s="3161"/>
      <c r="GIL44" s="3161"/>
      <c r="GIM44" s="3161"/>
      <c r="GIN44" s="3161"/>
      <c r="GIO44" s="3161"/>
      <c r="GIP44" s="3161"/>
      <c r="GIQ44" s="3161"/>
      <c r="GIR44" s="3161"/>
      <c r="GIS44" s="3161"/>
      <c r="GIT44" s="3161"/>
      <c r="GIU44" s="3161"/>
      <c r="GIV44" s="3161"/>
      <c r="GIW44" s="3161"/>
      <c r="GIX44" s="3161"/>
      <c r="GIY44" s="3161"/>
      <c r="GIZ44" s="3161"/>
      <c r="GJA44" s="3161"/>
      <c r="GJB44" s="3161"/>
      <c r="GJC44" s="3161"/>
      <c r="GJD44" s="3161"/>
      <c r="GJE44" s="3161"/>
      <c r="GJF44" s="3161"/>
      <c r="GJG44" s="3161"/>
      <c r="GJH44" s="3161"/>
      <c r="GJI44" s="3161"/>
      <c r="GJJ44" s="3161"/>
      <c r="GJK44" s="3161"/>
      <c r="GJL44" s="3161"/>
      <c r="GJM44" s="3161"/>
      <c r="GJN44" s="3161"/>
      <c r="GJO44" s="3161"/>
      <c r="GJP44" s="3161"/>
      <c r="GJQ44" s="3161"/>
      <c r="GJR44" s="3161"/>
      <c r="GJS44" s="3161"/>
      <c r="GJT44" s="3161"/>
      <c r="GJU44" s="3161"/>
      <c r="GJV44" s="3161"/>
      <c r="GJW44" s="3161"/>
      <c r="GJX44" s="3161"/>
      <c r="GJY44" s="3161"/>
      <c r="GJZ44" s="3161"/>
      <c r="GKA44" s="3161"/>
      <c r="GKB44" s="3161"/>
      <c r="GKC44" s="3161"/>
      <c r="GKD44" s="3161"/>
      <c r="GKE44" s="3161"/>
      <c r="GKF44" s="3161"/>
      <c r="GKG44" s="3161"/>
      <c r="GKH44" s="3161"/>
      <c r="GKI44" s="3161"/>
      <c r="GKJ44" s="3161"/>
      <c r="GKK44" s="3161"/>
      <c r="GKL44" s="3161"/>
      <c r="GKM44" s="3161"/>
      <c r="GKN44" s="3161"/>
      <c r="GKO44" s="3161"/>
      <c r="GKP44" s="3161"/>
      <c r="GKQ44" s="3161"/>
      <c r="GKR44" s="3161"/>
      <c r="GKS44" s="3161"/>
      <c r="GKT44" s="3161"/>
      <c r="GKU44" s="3161"/>
      <c r="GKV44" s="3161"/>
      <c r="GKW44" s="3161"/>
      <c r="GKX44" s="3161"/>
      <c r="GKY44" s="3161"/>
      <c r="GKZ44" s="3161"/>
      <c r="GLA44" s="3161"/>
      <c r="GLB44" s="3161"/>
      <c r="GLC44" s="3161"/>
      <c r="GLD44" s="3161"/>
      <c r="GLE44" s="3161"/>
      <c r="GLF44" s="3161"/>
      <c r="GLG44" s="3161"/>
      <c r="GLH44" s="3161"/>
      <c r="GLI44" s="3161"/>
      <c r="GLJ44" s="3161"/>
      <c r="GLK44" s="3161"/>
      <c r="GLL44" s="3161"/>
      <c r="GLM44" s="3161"/>
      <c r="GLN44" s="3161"/>
      <c r="GLO44" s="3161"/>
      <c r="GLP44" s="3161"/>
      <c r="GLQ44" s="3161"/>
      <c r="GLR44" s="3161"/>
      <c r="GLS44" s="3161"/>
      <c r="GLT44" s="3161"/>
      <c r="GLU44" s="3161"/>
      <c r="GLV44" s="3161"/>
      <c r="GLW44" s="3161"/>
      <c r="GLX44" s="3161"/>
      <c r="GLY44" s="3161"/>
      <c r="GLZ44" s="3161"/>
      <c r="GMA44" s="3161"/>
      <c r="GMB44" s="3161"/>
      <c r="GMC44" s="3161"/>
      <c r="GMD44" s="3161"/>
      <c r="GME44" s="3161"/>
      <c r="GMF44" s="3161"/>
      <c r="GMG44" s="3161"/>
      <c r="GMH44" s="3161"/>
      <c r="GMI44" s="3161"/>
      <c r="GMJ44" s="3161"/>
      <c r="GMK44" s="3161"/>
      <c r="GML44" s="3161"/>
      <c r="GMM44" s="3161"/>
      <c r="GMN44" s="3161"/>
      <c r="GMO44" s="3161"/>
      <c r="GMP44" s="3161"/>
      <c r="GMQ44" s="3161"/>
      <c r="GMR44" s="3161"/>
      <c r="GMS44" s="3161"/>
      <c r="GMT44" s="3161"/>
      <c r="GMU44" s="3161"/>
      <c r="GMV44" s="3161"/>
      <c r="GMW44" s="3161"/>
      <c r="GMX44" s="3161"/>
      <c r="GMY44" s="3161"/>
      <c r="GMZ44" s="3161"/>
      <c r="GNA44" s="3161"/>
      <c r="GNB44" s="3161"/>
      <c r="GNC44" s="3161"/>
      <c r="GND44" s="3161"/>
      <c r="GNE44" s="3161"/>
      <c r="GNF44" s="3161"/>
      <c r="GNG44" s="3161"/>
      <c r="GNH44" s="3161"/>
      <c r="GNI44" s="3161"/>
      <c r="GNJ44" s="3161"/>
      <c r="GNK44" s="3161"/>
      <c r="GNL44" s="3161"/>
      <c r="GNM44" s="3161"/>
      <c r="GNN44" s="3161"/>
      <c r="GNO44" s="3161"/>
      <c r="GNP44" s="3161"/>
      <c r="GNQ44" s="3161"/>
      <c r="GNR44" s="3161"/>
      <c r="GNS44" s="3161"/>
      <c r="GNT44" s="3161"/>
      <c r="GNU44" s="3161"/>
      <c r="GNV44" s="3161"/>
      <c r="GNW44" s="3161"/>
      <c r="GNX44" s="3161"/>
      <c r="GNY44" s="3161"/>
      <c r="GNZ44" s="3161"/>
      <c r="GOA44" s="3161"/>
      <c r="GOB44" s="3161"/>
      <c r="GOC44" s="3161"/>
      <c r="GOD44" s="3161"/>
      <c r="GOE44" s="3161"/>
      <c r="GOF44" s="3161"/>
      <c r="GOG44" s="3161"/>
      <c r="GOH44" s="3161"/>
      <c r="GOI44" s="3161"/>
      <c r="GOJ44" s="3161"/>
      <c r="GOK44" s="3161"/>
      <c r="GOL44" s="3161"/>
      <c r="GOM44" s="3161"/>
      <c r="GON44" s="3161"/>
      <c r="GOO44" s="3161"/>
      <c r="GOP44" s="3161"/>
      <c r="GOQ44" s="3161"/>
      <c r="GOR44" s="3161"/>
      <c r="GOS44" s="3161"/>
      <c r="GOT44" s="3161"/>
      <c r="GOU44" s="3161"/>
      <c r="GOV44" s="3161"/>
      <c r="GOW44" s="3161"/>
      <c r="GOX44" s="3161"/>
      <c r="GOY44" s="3161"/>
      <c r="GOZ44" s="3161"/>
      <c r="GPA44" s="3161"/>
      <c r="GPB44" s="3161"/>
      <c r="GPC44" s="3161"/>
      <c r="GPD44" s="3161"/>
      <c r="GPE44" s="3161"/>
      <c r="GPF44" s="3161"/>
      <c r="GPG44" s="3161"/>
      <c r="GPH44" s="3161"/>
      <c r="GPI44" s="3161"/>
      <c r="GPJ44" s="3161"/>
      <c r="GPK44" s="3161"/>
      <c r="GPL44" s="3161"/>
      <c r="GPM44" s="3161"/>
      <c r="GPN44" s="3161"/>
      <c r="GPO44" s="3161"/>
      <c r="GPP44" s="3161"/>
      <c r="GPQ44" s="3161"/>
      <c r="GPR44" s="3161"/>
      <c r="GPS44" s="3161"/>
      <c r="GPT44" s="3161"/>
      <c r="GPU44" s="3161"/>
      <c r="GPV44" s="3161"/>
      <c r="GPW44" s="3161"/>
      <c r="GPX44" s="3161"/>
      <c r="GPY44" s="3161"/>
      <c r="GPZ44" s="3161"/>
      <c r="GQA44" s="3161"/>
      <c r="GQB44" s="3161"/>
      <c r="GQC44" s="3161"/>
      <c r="GQD44" s="3161"/>
      <c r="GQE44" s="3161"/>
      <c r="GQF44" s="3161"/>
      <c r="GQG44" s="3161"/>
      <c r="GQH44" s="3161"/>
      <c r="GQI44" s="3161"/>
      <c r="GQJ44" s="3161"/>
      <c r="GQK44" s="3161"/>
      <c r="GQL44" s="3161"/>
      <c r="GQM44" s="3161"/>
      <c r="GQN44" s="3161"/>
      <c r="GQO44" s="3161"/>
      <c r="GQP44" s="3161"/>
      <c r="GQQ44" s="3161"/>
      <c r="GQR44" s="3161"/>
      <c r="GQS44" s="3161"/>
      <c r="GQT44" s="3161"/>
      <c r="GQU44" s="3161"/>
      <c r="GQV44" s="3161"/>
      <c r="GQW44" s="3161"/>
      <c r="GQX44" s="3161"/>
      <c r="GQY44" s="3161"/>
      <c r="GQZ44" s="3161"/>
      <c r="GRA44" s="3161"/>
      <c r="GRB44" s="3161"/>
      <c r="GRC44" s="3161"/>
      <c r="GRD44" s="3161"/>
      <c r="GRE44" s="3161"/>
      <c r="GRF44" s="3161"/>
      <c r="GRG44" s="3161"/>
      <c r="GRH44" s="3161"/>
      <c r="GRI44" s="3161"/>
      <c r="GRJ44" s="3161"/>
      <c r="GRK44" s="3161"/>
      <c r="GRL44" s="3161"/>
      <c r="GRM44" s="3161"/>
      <c r="GRN44" s="3161"/>
      <c r="GRO44" s="3161"/>
      <c r="GRP44" s="3161"/>
      <c r="GRQ44" s="3161"/>
      <c r="GRR44" s="3161"/>
      <c r="GRS44" s="3161"/>
      <c r="GRT44" s="3161"/>
      <c r="GRU44" s="3161"/>
      <c r="GRV44" s="3161"/>
      <c r="GRW44" s="3161"/>
      <c r="GRX44" s="3161"/>
      <c r="GRY44" s="3161"/>
      <c r="GRZ44" s="3161"/>
      <c r="GSA44" s="3161"/>
      <c r="GSB44" s="3161"/>
      <c r="GSC44" s="3161"/>
      <c r="GSD44" s="3161"/>
      <c r="GSE44" s="3161"/>
      <c r="GSF44" s="3161"/>
      <c r="GSG44" s="3161"/>
      <c r="GSH44" s="3161"/>
      <c r="GSI44" s="3161"/>
      <c r="GSJ44" s="3161"/>
      <c r="GSK44" s="3161"/>
      <c r="GSL44" s="3161"/>
      <c r="GSM44" s="3161"/>
      <c r="GSN44" s="3161"/>
      <c r="GSO44" s="3161"/>
      <c r="GSP44" s="3161"/>
      <c r="GSQ44" s="3161"/>
      <c r="GSR44" s="3161"/>
      <c r="GSS44" s="3161"/>
      <c r="GST44" s="3161"/>
      <c r="GSU44" s="3161"/>
      <c r="GSV44" s="3161"/>
      <c r="GSW44" s="3161"/>
      <c r="GSX44" s="3161"/>
      <c r="GSY44" s="3161"/>
      <c r="GSZ44" s="3161"/>
      <c r="GTA44" s="3161"/>
      <c r="GTB44" s="3161"/>
      <c r="GTC44" s="3161"/>
      <c r="GTD44" s="3161"/>
      <c r="GTE44" s="3161"/>
      <c r="GTF44" s="3161"/>
      <c r="GTG44" s="3161"/>
      <c r="GTH44" s="3161"/>
      <c r="GTI44" s="3161"/>
      <c r="GTJ44" s="3161"/>
      <c r="GTK44" s="3161"/>
      <c r="GTL44" s="3161"/>
      <c r="GTM44" s="3161"/>
      <c r="GTN44" s="3161"/>
      <c r="GTO44" s="3161"/>
      <c r="GTP44" s="3161"/>
      <c r="GTQ44" s="3161"/>
      <c r="GTR44" s="3161"/>
      <c r="GTS44" s="3161"/>
      <c r="GTT44" s="3161"/>
      <c r="GTU44" s="3161"/>
      <c r="GTV44" s="3161"/>
      <c r="GTW44" s="3161"/>
      <c r="GTX44" s="3161"/>
      <c r="GTY44" s="3161"/>
      <c r="GTZ44" s="3161"/>
      <c r="GUA44" s="3161"/>
      <c r="GUB44" s="3161"/>
      <c r="GUC44" s="3161"/>
      <c r="GUD44" s="3161"/>
      <c r="GUE44" s="3161"/>
      <c r="GUF44" s="3161"/>
      <c r="GUG44" s="3161"/>
      <c r="GUH44" s="3161"/>
      <c r="GUI44" s="3161"/>
      <c r="GUJ44" s="3161"/>
      <c r="GUK44" s="3161"/>
      <c r="GUL44" s="3161"/>
      <c r="GUM44" s="3161"/>
      <c r="GUN44" s="3161"/>
      <c r="GUO44" s="3161"/>
      <c r="GUP44" s="3161"/>
      <c r="GUQ44" s="3161"/>
      <c r="GUR44" s="3161"/>
      <c r="GUS44" s="3161"/>
      <c r="GUT44" s="3161"/>
      <c r="GUU44" s="3161"/>
      <c r="GUV44" s="3161"/>
      <c r="GUW44" s="3161"/>
      <c r="GUX44" s="3161"/>
      <c r="GUY44" s="3161"/>
      <c r="GUZ44" s="3161"/>
      <c r="GVA44" s="3161"/>
      <c r="GVB44" s="3161"/>
      <c r="GVC44" s="3161"/>
      <c r="GVD44" s="3161"/>
      <c r="GVE44" s="3161"/>
      <c r="GVF44" s="3161"/>
      <c r="GVG44" s="3161"/>
      <c r="GVH44" s="3161"/>
      <c r="GVI44" s="3161"/>
      <c r="GVJ44" s="3161"/>
      <c r="GVK44" s="3161"/>
      <c r="GVL44" s="3161"/>
      <c r="GVM44" s="3161"/>
      <c r="GVN44" s="3161"/>
      <c r="GVO44" s="3161"/>
      <c r="GVP44" s="3161"/>
      <c r="GVQ44" s="3161"/>
      <c r="GVR44" s="3161"/>
      <c r="GVS44" s="3161"/>
      <c r="GVT44" s="3161"/>
      <c r="GVU44" s="3161"/>
      <c r="GVV44" s="3161"/>
      <c r="GVW44" s="3161"/>
      <c r="GVX44" s="3161"/>
      <c r="GVY44" s="3161"/>
      <c r="GVZ44" s="3161"/>
      <c r="GWA44" s="3161"/>
      <c r="GWB44" s="3161"/>
      <c r="GWC44" s="3161"/>
      <c r="GWD44" s="3161"/>
      <c r="GWE44" s="3161"/>
      <c r="GWF44" s="3161"/>
      <c r="GWG44" s="3161"/>
      <c r="GWH44" s="3161"/>
      <c r="GWI44" s="3161"/>
      <c r="GWJ44" s="3161"/>
      <c r="GWK44" s="3161"/>
      <c r="GWL44" s="3161"/>
      <c r="GWM44" s="3161"/>
      <c r="GWN44" s="3161"/>
      <c r="GWO44" s="3161"/>
      <c r="GWP44" s="3161"/>
      <c r="GWQ44" s="3161"/>
      <c r="GWR44" s="3161"/>
      <c r="GWS44" s="3161"/>
      <c r="GWT44" s="3161"/>
      <c r="GWU44" s="3161"/>
      <c r="GWV44" s="3161"/>
      <c r="GWW44" s="3161"/>
      <c r="GWX44" s="3161"/>
      <c r="GWY44" s="3161"/>
      <c r="GWZ44" s="3161"/>
      <c r="GXA44" s="3161"/>
      <c r="GXB44" s="3161"/>
      <c r="GXC44" s="3161"/>
      <c r="GXD44" s="3161"/>
      <c r="GXE44" s="3161"/>
      <c r="GXF44" s="3161"/>
      <c r="GXG44" s="3161"/>
      <c r="GXH44" s="3161"/>
      <c r="GXI44" s="3161"/>
      <c r="GXJ44" s="3161"/>
      <c r="GXK44" s="3161"/>
      <c r="GXL44" s="3161"/>
      <c r="GXM44" s="3161"/>
      <c r="GXN44" s="3161"/>
      <c r="GXO44" s="3161"/>
      <c r="GXP44" s="3161"/>
      <c r="GXQ44" s="3161"/>
      <c r="GXR44" s="3161"/>
      <c r="GXS44" s="3161"/>
      <c r="GXT44" s="3161"/>
      <c r="GXU44" s="3161"/>
      <c r="GXV44" s="3161"/>
      <c r="GXW44" s="3161"/>
      <c r="GXX44" s="3161"/>
      <c r="GXY44" s="3161"/>
      <c r="GXZ44" s="3161"/>
      <c r="GYA44" s="3161"/>
      <c r="GYB44" s="3161"/>
      <c r="GYC44" s="3161"/>
      <c r="GYD44" s="3161"/>
      <c r="GYE44" s="3161"/>
      <c r="GYF44" s="3161"/>
      <c r="GYG44" s="3161"/>
      <c r="GYH44" s="3161"/>
      <c r="GYI44" s="3161"/>
      <c r="GYJ44" s="3161"/>
      <c r="GYK44" s="3161"/>
      <c r="GYL44" s="3161"/>
      <c r="GYM44" s="3161"/>
      <c r="GYN44" s="3161"/>
      <c r="GYO44" s="3161"/>
      <c r="GYP44" s="3161"/>
      <c r="GYQ44" s="3161"/>
      <c r="GYR44" s="3161"/>
      <c r="GYS44" s="3161"/>
      <c r="GYT44" s="3161"/>
      <c r="GYU44" s="3161"/>
      <c r="GYV44" s="3161"/>
      <c r="GYW44" s="3161"/>
      <c r="GYX44" s="3161"/>
      <c r="GYY44" s="3161"/>
      <c r="GYZ44" s="3161"/>
      <c r="GZA44" s="3161"/>
      <c r="GZB44" s="3161"/>
      <c r="GZC44" s="3161"/>
      <c r="GZD44" s="3161"/>
      <c r="GZE44" s="3161"/>
      <c r="GZF44" s="3161"/>
      <c r="GZG44" s="3161"/>
      <c r="GZH44" s="3161"/>
      <c r="GZI44" s="3161"/>
      <c r="GZJ44" s="3161"/>
      <c r="GZK44" s="3161"/>
      <c r="GZL44" s="3161"/>
      <c r="GZM44" s="3161"/>
      <c r="GZN44" s="3161"/>
      <c r="GZO44" s="3161"/>
      <c r="GZP44" s="3161"/>
      <c r="GZQ44" s="3161"/>
      <c r="GZR44" s="3161"/>
      <c r="GZS44" s="3161"/>
      <c r="GZT44" s="3161"/>
      <c r="GZU44" s="3161"/>
      <c r="GZV44" s="3161"/>
      <c r="GZW44" s="3161"/>
      <c r="GZX44" s="3161"/>
      <c r="GZY44" s="3161"/>
      <c r="GZZ44" s="3161"/>
      <c r="HAA44" s="3161"/>
      <c r="HAB44" s="3161"/>
      <c r="HAC44" s="3161"/>
      <c r="HAD44" s="3161"/>
      <c r="HAE44" s="3161"/>
      <c r="HAF44" s="3161"/>
      <c r="HAG44" s="3161"/>
      <c r="HAH44" s="3161"/>
      <c r="HAI44" s="3161"/>
      <c r="HAJ44" s="3161"/>
      <c r="HAK44" s="3161"/>
      <c r="HAL44" s="3161"/>
      <c r="HAM44" s="3161"/>
      <c r="HAN44" s="3161"/>
      <c r="HAO44" s="3161"/>
      <c r="HAP44" s="3161"/>
      <c r="HAQ44" s="3161"/>
      <c r="HAR44" s="3161"/>
      <c r="HAS44" s="3161"/>
      <c r="HAT44" s="3161"/>
      <c r="HAU44" s="3161"/>
      <c r="HAV44" s="3161"/>
      <c r="HAW44" s="3161"/>
      <c r="HAX44" s="3161"/>
      <c r="HAY44" s="3161"/>
      <c r="HAZ44" s="3161"/>
      <c r="HBA44" s="3161"/>
      <c r="HBB44" s="3161"/>
      <c r="HBC44" s="3161"/>
      <c r="HBD44" s="3161"/>
      <c r="HBE44" s="3161"/>
      <c r="HBF44" s="3161"/>
      <c r="HBG44" s="3161"/>
      <c r="HBH44" s="3161"/>
      <c r="HBI44" s="3161"/>
      <c r="HBJ44" s="3161"/>
      <c r="HBK44" s="3161"/>
      <c r="HBL44" s="3161"/>
      <c r="HBM44" s="3161"/>
      <c r="HBN44" s="3161"/>
      <c r="HBO44" s="3161"/>
      <c r="HBP44" s="3161"/>
      <c r="HBQ44" s="3161"/>
      <c r="HBR44" s="3161"/>
      <c r="HBS44" s="3161"/>
      <c r="HBT44" s="3161"/>
      <c r="HBU44" s="3161"/>
      <c r="HBV44" s="3161"/>
      <c r="HBW44" s="3161"/>
      <c r="HBX44" s="3161"/>
      <c r="HBY44" s="3161"/>
      <c r="HBZ44" s="3161"/>
      <c r="HCA44" s="3161"/>
      <c r="HCB44" s="3161"/>
      <c r="HCC44" s="3161"/>
      <c r="HCD44" s="3161"/>
      <c r="HCE44" s="3161"/>
      <c r="HCF44" s="3161"/>
      <c r="HCG44" s="3161"/>
      <c r="HCH44" s="3161"/>
      <c r="HCI44" s="3161"/>
      <c r="HCJ44" s="3161"/>
      <c r="HCK44" s="3161"/>
      <c r="HCL44" s="3161"/>
      <c r="HCM44" s="3161"/>
      <c r="HCN44" s="3161"/>
      <c r="HCO44" s="3161"/>
      <c r="HCP44" s="3161"/>
      <c r="HCQ44" s="3161"/>
      <c r="HCR44" s="3161"/>
      <c r="HCS44" s="3161"/>
      <c r="HCT44" s="3161"/>
      <c r="HCU44" s="3161"/>
      <c r="HCV44" s="3161"/>
      <c r="HCW44" s="3161"/>
      <c r="HCX44" s="3161"/>
      <c r="HCY44" s="3161"/>
      <c r="HCZ44" s="3161"/>
      <c r="HDA44" s="3161"/>
      <c r="HDB44" s="3161"/>
      <c r="HDC44" s="3161"/>
      <c r="HDD44" s="3161"/>
      <c r="HDE44" s="3161"/>
      <c r="HDF44" s="3161"/>
      <c r="HDG44" s="3161"/>
      <c r="HDH44" s="3161"/>
      <c r="HDI44" s="3161"/>
      <c r="HDJ44" s="3161"/>
      <c r="HDK44" s="3161"/>
      <c r="HDL44" s="3161"/>
      <c r="HDM44" s="3161"/>
      <c r="HDN44" s="3161"/>
      <c r="HDO44" s="3161"/>
      <c r="HDP44" s="3161"/>
      <c r="HDQ44" s="3161"/>
      <c r="HDR44" s="3161"/>
      <c r="HDS44" s="3161"/>
      <c r="HDT44" s="3161"/>
      <c r="HDU44" s="3161"/>
      <c r="HDV44" s="3161"/>
      <c r="HDW44" s="3161"/>
      <c r="HDX44" s="3161"/>
      <c r="HDY44" s="3161"/>
      <c r="HDZ44" s="3161"/>
      <c r="HEA44" s="3161"/>
      <c r="HEB44" s="3161"/>
      <c r="HEC44" s="3161"/>
      <c r="HED44" s="3161"/>
      <c r="HEE44" s="3161"/>
      <c r="HEF44" s="3161"/>
      <c r="HEG44" s="3161"/>
      <c r="HEH44" s="3161"/>
      <c r="HEI44" s="3161"/>
      <c r="HEJ44" s="3161"/>
      <c r="HEK44" s="3161"/>
      <c r="HEL44" s="3161"/>
      <c r="HEM44" s="3161"/>
      <c r="HEN44" s="3161"/>
      <c r="HEO44" s="3161"/>
      <c r="HEP44" s="3161"/>
      <c r="HEQ44" s="3161"/>
      <c r="HER44" s="3161"/>
      <c r="HES44" s="3161"/>
      <c r="HET44" s="3161"/>
      <c r="HEU44" s="3161"/>
      <c r="HEV44" s="3161"/>
      <c r="HEW44" s="3161"/>
      <c r="HEX44" s="3161"/>
      <c r="HEY44" s="3161"/>
      <c r="HEZ44" s="3161"/>
      <c r="HFA44" s="3161"/>
      <c r="HFB44" s="3161"/>
      <c r="HFC44" s="3161"/>
      <c r="HFD44" s="3161"/>
      <c r="HFE44" s="3161"/>
      <c r="HFF44" s="3161"/>
      <c r="HFG44" s="3161"/>
      <c r="HFH44" s="3161"/>
      <c r="HFI44" s="3161"/>
      <c r="HFJ44" s="3161"/>
      <c r="HFK44" s="3161"/>
      <c r="HFL44" s="3161"/>
      <c r="HFM44" s="3161"/>
      <c r="HFN44" s="3161"/>
      <c r="HFO44" s="3161"/>
      <c r="HFP44" s="3161"/>
      <c r="HFQ44" s="3161"/>
      <c r="HFR44" s="3161"/>
      <c r="HFS44" s="3161"/>
      <c r="HFT44" s="3161"/>
      <c r="HFU44" s="3161"/>
      <c r="HFV44" s="3161"/>
      <c r="HFW44" s="3161"/>
      <c r="HFX44" s="3161"/>
      <c r="HFY44" s="3161"/>
      <c r="HFZ44" s="3161"/>
      <c r="HGA44" s="3161"/>
      <c r="HGB44" s="3161"/>
      <c r="HGC44" s="3161"/>
      <c r="HGD44" s="3161"/>
      <c r="HGE44" s="3161"/>
      <c r="HGF44" s="3161"/>
      <c r="HGG44" s="3161"/>
      <c r="HGH44" s="3161"/>
      <c r="HGI44" s="3161"/>
      <c r="HGJ44" s="3161"/>
      <c r="HGK44" s="3161"/>
      <c r="HGL44" s="3161"/>
      <c r="HGM44" s="3161"/>
      <c r="HGN44" s="3161"/>
      <c r="HGO44" s="3161"/>
      <c r="HGP44" s="3161"/>
      <c r="HGQ44" s="3161"/>
      <c r="HGR44" s="3161"/>
      <c r="HGS44" s="3161"/>
      <c r="HGT44" s="3161"/>
      <c r="HGU44" s="3161"/>
      <c r="HGV44" s="3161"/>
      <c r="HGW44" s="3161"/>
      <c r="HGX44" s="3161"/>
      <c r="HGY44" s="3161"/>
      <c r="HGZ44" s="3161"/>
      <c r="HHA44" s="3161"/>
      <c r="HHB44" s="3161"/>
      <c r="HHC44" s="3161"/>
      <c r="HHD44" s="3161"/>
      <c r="HHE44" s="3161"/>
      <c r="HHF44" s="3161"/>
      <c r="HHG44" s="3161"/>
      <c r="HHH44" s="3161"/>
      <c r="HHI44" s="3161"/>
      <c r="HHJ44" s="3161"/>
      <c r="HHK44" s="3161"/>
      <c r="HHL44" s="3161"/>
      <c r="HHM44" s="3161"/>
      <c r="HHN44" s="3161"/>
      <c r="HHO44" s="3161"/>
      <c r="HHP44" s="3161"/>
      <c r="HHQ44" s="3161"/>
      <c r="HHR44" s="3161"/>
      <c r="HHS44" s="3161"/>
      <c r="HHT44" s="3161"/>
      <c r="HHU44" s="3161"/>
      <c r="HHV44" s="3161"/>
      <c r="HHW44" s="3161"/>
      <c r="HHX44" s="3161"/>
      <c r="HHY44" s="3161"/>
      <c r="HHZ44" s="3161"/>
      <c r="HIA44" s="3161"/>
      <c r="HIB44" s="3161"/>
      <c r="HIC44" s="3161"/>
      <c r="HID44" s="3161"/>
      <c r="HIE44" s="3161"/>
      <c r="HIF44" s="3161"/>
      <c r="HIG44" s="3161"/>
      <c r="HIH44" s="3161"/>
      <c r="HII44" s="3161"/>
      <c r="HIJ44" s="3161"/>
      <c r="HIK44" s="3161"/>
      <c r="HIL44" s="3161"/>
      <c r="HIM44" s="3161"/>
      <c r="HIN44" s="3161"/>
      <c r="HIO44" s="3161"/>
      <c r="HIP44" s="3161"/>
      <c r="HIQ44" s="3161"/>
      <c r="HIR44" s="3161"/>
      <c r="HIS44" s="3161"/>
      <c r="HIT44" s="3161"/>
      <c r="HIU44" s="3161"/>
      <c r="HIV44" s="3161"/>
      <c r="HIW44" s="3161"/>
      <c r="HIX44" s="3161"/>
      <c r="HIY44" s="3161"/>
      <c r="HIZ44" s="3161"/>
      <c r="HJA44" s="3161"/>
      <c r="HJB44" s="3161"/>
      <c r="HJC44" s="3161"/>
      <c r="HJD44" s="3161"/>
      <c r="HJE44" s="3161"/>
      <c r="HJF44" s="3161"/>
      <c r="HJG44" s="3161"/>
      <c r="HJH44" s="3161"/>
      <c r="HJI44" s="3161"/>
      <c r="HJJ44" s="3161"/>
      <c r="HJK44" s="3161"/>
      <c r="HJL44" s="3161"/>
      <c r="HJM44" s="3161"/>
      <c r="HJN44" s="3161"/>
      <c r="HJO44" s="3161"/>
      <c r="HJP44" s="3161"/>
      <c r="HJQ44" s="3161"/>
      <c r="HJR44" s="3161"/>
      <c r="HJS44" s="3161"/>
      <c r="HJT44" s="3161"/>
      <c r="HJU44" s="3161"/>
      <c r="HJV44" s="3161"/>
      <c r="HJW44" s="3161"/>
      <c r="HJX44" s="3161"/>
      <c r="HJY44" s="3161"/>
      <c r="HJZ44" s="3161"/>
      <c r="HKA44" s="3161"/>
      <c r="HKB44" s="3161"/>
      <c r="HKC44" s="3161"/>
      <c r="HKD44" s="3161"/>
      <c r="HKE44" s="3161"/>
      <c r="HKF44" s="3161"/>
      <c r="HKG44" s="3161"/>
      <c r="HKH44" s="3161"/>
      <c r="HKI44" s="3161"/>
      <c r="HKJ44" s="3161"/>
      <c r="HKK44" s="3161"/>
      <c r="HKL44" s="3161"/>
      <c r="HKM44" s="3161"/>
      <c r="HKN44" s="3161"/>
      <c r="HKO44" s="3161"/>
      <c r="HKP44" s="3161"/>
      <c r="HKQ44" s="3161"/>
      <c r="HKR44" s="3161"/>
      <c r="HKS44" s="3161"/>
      <c r="HKT44" s="3161"/>
      <c r="HKU44" s="3161"/>
      <c r="HKV44" s="3161"/>
      <c r="HKW44" s="3161"/>
      <c r="HKX44" s="3161"/>
      <c r="HKY44" s="3161"/>
      <c r="HKZ44" s="3161"/>
      <c r="HLA44" s="3161"/>
      <c r="HLB44" s="3161"/>
      <c r="HLC44" s="3161"/>
      <c r="HLD44" s="3161"/>
      <c r="HLE44" s="3161"/>
      <c r="HLF44" s="3161"/>
      <c r="HLG44" s="3161"/>
      <c r="HLH44" s="3161"/>
      <c r="HLI44" s="3161"/>
      <c r="HLJ44" s="3161"/>
      <c r="HLK44" s="3161"/>
      <c r="HLL44" s="3161"/>
      <c r="HLM44" s="3161"/>
      <c r="HLN44" s="3161"/>
      <c r="HLO44" s="3161"/>
      <c r="HLP44" s="3161"/>
      <c r="HLQ44" s="3161"/>
      <c r="HLR44" s="3161"/>
      <c r="HLS44" s="3161"/>
      <c r="HLT44" s="3161"/>
      <c r="HLU44" s="3161"/>
      <c r="HLV44" s="3161"/>
      <c r="HLW44" s="3161"/>
      <c r="HLX44" s="3161"/>
      <c r="HLY44" s="3161"/>
      <c r="HLZ44" s="3161"/>
      <c r="HMA44" s="3161"/>
      <c r="HMB44" s="3161"/>
      <c r="HMC44" s="3161"/>
      <c r="HMD44" s="3161"/>
      <c r="HME44" s="3161"/>
      <c r="HMF44" s="3161"/>
      <c r="HMG44" s="3161"/>
      <c r="HMH44" s="3161"/>
      <c r="HMI44" s="3161"/>
      <c r="HMJ44" s="3161"/>
      <c r="HMK44" s="3161"/>
      <c r="HML44" s="3161"/>
      <c r="HMM44" s="3161"/>
      <c r="HMN44" s="3161"/>
      <c r="HMO44" s="3161"/>
      <c r="HMP44" s="3161"/>
      <c r="HMQ44" s="3161"/>
      <c r="HMR44" s="3161"/>
      <c r="HMS44" s="3161"/>
      <c r="HMT44" s="3161"/>
      <c r="HMU44" s="3161"/>
      <c r="HMV44" s="3161"/>
      <c r="HMW44" s="3161"/>
      <c r="HMX44" s="3161"/>
      <c r="HMY44" s="3161"/>
      <c r="HMZ44" s="3161"/>
      <c r="HNA44" s="3161"/>
      <c r="HNB44" s="3161"/>
      <c r="HNC44" s="3161"/>
      <c r="HND44" s="3161"/>
      <c r="HNE44" s="3161"/>
      <c r="HNF44" s="3161"/>
      <c r="HNG44" s="3161"/>
      <c r="HNH44" s="3161"/>
      <c r="HNI44" s="3161"/>
      <c r="HNJ44" s="3161"/>
      <c r="HNK44" s="3161"/>
      <c r="HNL44" s="3161"/>
      <c r="HNM44" s="3161"/>
      <c r="HNN44" s="3161"/>
      <c r="HNO44" s="3161"/>
      <c r="HNP44" s="3161"/>
      <c r="HNQ44" s="3161"/>
      <c r="HNR44" s="3161"/>
      <c r="HNS44" s="3161"/>
      <c r="HNT44" s="3161"/>
      <c r="HNU44" s="3161"/>
      <c r="HNV44" s="3161"/>
      <c r="HNW44" s="3161"/>
      <c r="HNX44" s="3161"/>
      <c r="HNY44" s="3161"/>
      <c r="HNZ44" s="3161"/>
      <c r="HOA44" s="3161"/>
      <c r="HOB44" s="3161"/>
      <c r="HOC44" s="3161"/>
      <c r="HOD44" s="3161"/>
      <c r="HOE44" s="3161"/>
      <c r="HOF44" s="3161"/>
      <c r="HOG44" s="3161"/>
      <c r="HOH44" s="3161"/>
      <c r="HOI44" s="3161"/>
      <c r="HOJ44" s="3161"/>
      <c r="HOK44" s="3161"/>
      <c r="HOL44" s="3161"/>
      <c r="HOM44" s="3161"/>
      <c r="HON44" s="3161"/>
      <c r="HOO44" s="3161"/>
      <c r="HOP44" s="3161"/>
      <c r="HOQ44" s="3161"/>
      <c r="HOR44" s="3161"/>
      <c r="HOS44" s="3161"/>
      <c r="HOT44" s="3161"/>
      <c r="HOU44" s="3161"/>
      <c r="HOV44" s="3161"/>
      <c r="HOW44" s="3161"/>
      <c r="HOX44" s="3161"/>
      <c r="HOY44" s="3161"/>
      <c r="HOZ44" s="3161"/>
      <c r="HPA44" s="3161"/>
      <c r="HPB44" s="3161"/>
      <c r="HPC44" s="3161"/>
      <c r="HPD44" s="3161"/>
      <c r="HPE44" s="3161"/>
      <c r="HPF44" s="3161"/>
      <c r="HPG44" s="3161"/>
      <c r="HPH44" s="3161"/>
      <c r="HPI44" s="3161"/>
      <c r="HPJ44" s="3161"/>
      <c r="HPK44" s="3161"/>
      <c r="HPL44" s="3161"/>
      <c r="HPM44" s="3161"/>
      <c r="HPN44" s="3161"/>
      <c r="HPO44" s="3161"/>
      <c r="HPP44" s="3161"/>
      <c r="HPQ44" s="3161"/>
      <c r="HPR44" s="3161"/>
      <c r="HPS44" s="3161"/>
      <c r="HPT44" s="3161"/>
      <c r="HPU44" s="3161"/>
      <c r="HPV44" s="3161"/>
      <c r="HPW44" s="3161"/>
      <c r="HPX44" s="3161"/>
      <c r="HPY44" s="3161"/>
      <c r="HPZ44" s="3161"/>
      <c r="HQA44" s="3161"/>
      <c r="HQB44" s="3161"/>
      <c r="HQC44" s="3161"/>
      <c r="HQD44" s="3161"/>
      <c r="HQE44" s="3161"/>
      <c r="HQF44" s="3161"/>
      <c r="HQG44" s="3161"/>
      <c r="HQH44" s="3161"/>
      <c r="HQI44" s="3161"/>
      <c r="HQJ44" s="3161"/>
      <c r="HQK44" s="3161"/>
      <c r="HQL44" s="3161"/>
      <c r="HQM44" s="3161"/>
      <c r="HQN44" s="3161"/>
      <c r="HQO44" s="3161"/>
      <c r="HQP44" s="3161"/>
      <c r="HQQ44" s="3161"/>
      <c r="HQR44" s="3161"/>
      <c r="HQS44" s="3161"/>
      <c r="HQT44" s="3161"/>
      <c r="HQU44" s="3161"/>
      <c r="HQV44" s="3161"/>
      <c r="HQW44" s="3161"/>
      <c r="HQX44" s="3161"/>
      <c r="HQY44" s="3161"/>
      <c r="HQZ44" s="3161"/>
      <c r="HRA44" s="3161"/>
      <c r="HRB44" s="3161"/>
      <c r="HRC44" s="3161"/>
      <c r="HRD44" s="3161"/>
      <c r="HRE44" s="3161"/>
      <c r="HRF44" s="3161"/>
      <c r="HRG44" s="3161"/>
      <c r="HRH44" s="3161"/>
      <c r="HRI44" s="3161"/>
      <c r="HRJ44" s="3161"/>
      <c r="HRK44" s="3161"/>
      <c r="HRL44" s="3161"/>
      <c r="HRM44" s="3161"/>
      <c r="HRN44" s="3161"/>
      <c r="HRO44" s="3161"/>
      <c r="HRP44" s="3161"/>
      <c r="HRQ44" s="3161"/>
      <c r="HRR44" s="3161"/>
      <c r="HRS44" s="3161"/>
      <c r="HRT44" s="3161"/>
      <c r="HRU44" s="3161"/>
      <c r="HRV44" s="3161"/>
      <c r="HRW44" s="3161"/>
      <c r="HRX44" s="3161"/>
      <c r="HRY44" s="3161"/>
      <c r="HRZ44" s="3161"/>
      <c r="HSA44" s="3161"/>
      <c r="HSB44" s="3161"/>
      <c r="HSC44" s="3161"/>
      <c r="HSD44" s="3161"/>
      <c r="HSE44" s="3161"/>
      <c r="HSF44" s="3161"/>
      <c r="HSG44" s="3161"/>
      <c r="HSH44" s="3161"/>
      <c r="HSI44" s="3161"/>
      <c r="HSJ44" s="3161"/>
      <c r="HSK44" s="3161"/>
      <c r="HSL44" s="3161"/>
      <c r="HSM44" s="3161"/>
      <c r="HSN44" s="3161"/>
      <c r="HSO44" s="3161"/>
      <c r="HSP44" s="3161"/>
      <c r="HSQ44" s="3161"/>
      <c r="HSR44" s="3161"/>
      <c r="HSS44" s="3161"/>
      <c r="HST44" s="3161"/>
      <c r="HSU44" s="3161"/>
      <c r="HSV44" s="3161"/>
      <c r="HSW44" s="3161"/>
      <c r="HSX44" s="3161"/>
      <c r="HSY44" s="3161"/>
      <c r="HSZ44" s="3161"/>
      <c r="HTA44" s="3161"/>
      <c r="HTB44" s="3161"/>
      <c r="HTC44" s="3161"/>
      <c r="HTD44" s="3161"/>
      <c r="HTE44" s="3161"/>
      <c r="HTF44" s="3161"/>
      <c r="HTG44" s="3161"/>
      <c r="HTH44" s="3161"/>
      <c r="HTI44" s="3161"/>
      <c r="HTJ44" s="3161"/>
      <c r="HTK44" s="3161"/>
      <c r="HTL44" s="3161"/>
      <c r="HTM44" s="3161"/>
      <c r="HTN44" s="3161"/>
      <c r="HTO44" s="3161"/>
      <c r="HTP44" s="3161"/>
      <c r="HTQ44" s="3161"/>
      <c r="HTR44" s="3161"/>
      <c r="HTS44" s="3161"/>
      <c r="HTT44" s="3161"/>
      <c r="HTU44" s="3161"/>
      <c r="HTV44" s="3161"/>
      <c r="HTW44" s="3161"/>
      <c r="HTX44" s="3161"/>
      <c r="HTY44" s="3161"/>
      <c r="HTZ44" s="3161"/>
      <c r="HUA44" s="3161"/>
      <c r="HUB44" s="3161"/>
      <c r="HUC44" s="3161"/>
      <c r="HUD44" s="3161"/>
      <c r="HUE44" s="3161"/>
      <c r="HUF44" s="3161"/>
      <c r="HUG44" s="3161"/>
      <c r="HUH44" s="3161"/>
      <c r="HUI44" s="3161"/>
      <c r="HUJ44" s="3161"/>
      <c r="HUK44" s="3161"/>
      <c r="HUL44" s="3161"/>
      <c r="HUM44" s="3161"/>
      <c r="HUN44" s="3161"/>
      <c r="HUO44" s="3161"/>
      <c r="HUP44" s="3161"/>
      <c r="HUQ44" s="3161"/>
      <c r="HUR44" s="3161"/>
      <c r="HUS44" s="3161"/>
      <c r="HUT44" s="3161"/>
      <c r="HUU44" s="3161"/>
      <c r="HUV44" s="3161"/>
      <c r="HUW44" s="3161"/>
      <c r="HUX44" s="3161"/>
      <c r="HUY44" s="3161"/>
      <c r="HUZ44" s="3161"/>
      <c r="HVA44" s="3161"/>
      <c r="HVB44" s="3161"/>
      <c r="HVC44" s="3161"/>
      <c r="HVD44" s="3161"/>
      <c r="HVE44" s="3161"/>
      <c r="HVF44" s="3161"/>
      <c r="HVG44" s="3161"/>
      <c r="HVH44" s="3161"/>
      <c r="HVI44" s="3161"/>
      <c r="HVJ44" s="3161"/>
      <c r="HVK44" s="3161"/>
      <c r="HVL44" s="3161"/>
      <c r="HVM44" s="3161"/>
      <c r="HVN44" s="3161"/>
      <c r="HVO44" s="3161"/>
      <c r="HVP44" s="3161"/>
      <c r="HVQ44" s="3161"/>
      <c r="HVR44" s="3161"/>
      <c r="HVS44" s="3161"/>
      <c r="HVT44" s="3161"/>
      <c r="HVU44" s="3161"/>
      <c r="HVV44" s="3161"/>
      <c r="HVW44" s="3161"/>
      <c r="HVX44" s="3161"/>
      <c r="HVY44" s="3161"/>
      <c r="HVZ44" s="3161"/>
      <c r="HWA44" s="3161"/>
      <c r="HWB44" s="3161"/>
      <c r="HWC44" s="3161"/>
      <c r="HWD44" s="3161"/>
      <c r="HWE44" s="3161"/>
      <c r="HWF44" s="3161"/>
      <c r="HWG44" s="3161"/>
      <c r="HWH44" s="3161"/>
      <c r="HWI44" s="3161"/>
      <c r="HWJ44" s="3161"/>
      <c r="HWK44" s="3161"/>
      <c r="HWL44" s="3161"/>
      <c r="HWM44" s="3161"/>
      <c r="HWN44" s="3161"/>
      <c r="HWO44" s="3161"/>
      <c r="HWP44" s="3161"/>
      <c r="HWQ44" s="3161"/>
      <c r="HWR44" s="3161"/>
      <c r="HWS44" s="3161"/>
      <c r="HWT44" s="3161"/>
      <c r="HWU44" s="3161"/>
      <c r="HWV44" s="3161"/>
      <c r="HWW44" s="3161"/>
      <c r="HWX44" s="3161"/>
      <c r="HWY44" s="3161"/>
      <c r="HWZ44" s="3161"/>
      <c r="HXA44" s="3161"/>
      <c r="HXB44" s="3161"/>
      <c r="HXC44" s="3161"/>
      <c r="HXD44" s="3161"/>
      <c r="HXE44" s="3161"/>
      <c r="HXF44" s="3161"/>
      <c r="HXG44" s="3161"/>
      <c r="HXH44" s="3161"/>
      <c r="HXI44" s="3161"/>
      <c r="HXJ44" s="3161"/>
      <c r="HXK44" s="3161"/>
      <c r="HXL44" s="3161"/>
      <c r="HXM44" s="3161"/>
      <c r="HXN44" s="3161"/>
      <c r="HXO44" s="3161"/>
      <c r="HXP44" s="3161"/>
      <c r="HXQ44" s="3161"/>
      <c r="HXR44" s="3161"/>
      <c r="HXS44" s="3161"/>
      <c r="HXT44" s="3161"/>
      <c r="HXU44" s="3161"/>
      <c r="HXV44" s="3161"/>
      <c r="HXW44" s="3161"/>
      <c r="HXX44" s="3161"/>
      <c r="HXY44" s="3161"/>
      <c r="HXZ44" s="3161"/>
      <c r="HYA44" s="3161"/>
      <c r="HYB44" s="3161"/>
      <c r="HYC44" s="3161"/>
      <c r="HYD44" s="3161"/>
      <c r="HYE44" s="3161"/>
      <c r="HYF44" s="3161"/>
      <c r="HYG44" s="3161"/>
      <c r="HYH44" s="3161"/>
      <c r="HYI44" s="3161"/>
      <c r="HYJ44" s="3161"/>
      <c r="HYK44" s="3161"/>
      <c r="HYL44" s="3161"/>
      <c r="HYM44" s="3161"/>
      <c r="HYN44" s="3161"/>
      <c r="HYO44" s="3161"/>
      <c r="HYP44" s="3161"/>
      <c r="HYQ44" s="3161"/>
      <c r="HYR44" s="3161"/>
      <c r="HYS44" s="3161"/>
      <c r="HYT44" s="3161"/>
      <c r="HYU44" s="3161"/>
      <c r="HYV44" s="3161"/>
      <c r="HYW44" s="3161"/>
      <c r="HYX44" s="3161"/>
      <c r="HYY44" s="3161"/>
      <c r="HYZ44" s="3161"/>
      <c r="HZA44" s="3161"/>
      <c r="HZB44" s="3161"/>
      <c r="HZC44" s="3161"/>
      <c r="HZD44" s="3161"/>
      <c r="HZE44" s="3161"/>
      <c r="HZF44" s="3161"/>
      <c r="HZG44" s="3161"/>
      <c r="HZH44" s="3161"/>
      <c r="HZI44" s="3161"/>
      <c r="HZJ44" s="3161"/>
      <c r="HZK44" s="3161"/>
      <c r="HZL44" s="3161"/>
      <c r="HZM44" s="3161"/>
      <c r="HZN44" s="3161"/>
      <c r="HZO44" s="3161"/>
      <c r="HZP44" s="3161"/>
      <c r="HZQ44" s="3161"/>
      <c r="HZR44" s="3161"/>
      <c r="HZS44" s="3161"/>
      <c r="HZT44" s="3161"/>
      <c r="HZU44" s="3161"/>
      <c r="HZV44" s="3161"/>
      <c r="HZW44" s="3161"/>
      <c r="HZX44" s="3161"/>
      <c r="HZY44" s="3161"/>
      <c r="HZZ44" s="3161"/>
      <c r="IAA44" s="3161"/>
      <c r="IAB44" s="3161"/>
      <c r="IAC44" s="3161"/>
      <c r="IAD44" s="3161"/>
      <c r="IAE44" s="3161"/>
      <c r="IAF44" s="3161"/>
      <c r="IAG44" s="3161"/>
      <c r="IAH44" s="3161"/>
      <c r="IAI44" s="3161"/>
      <c r="IAJ44" s="3161"/>
      <c r="IAK44" s="3161"/>
      <c r="IAL44" s="3161"/>
      <c r="IAM44" s="3161"/>
      <c r="IAN44" s="3161"/>
      <c r="IAO44" s="3161"/>
      <c r="IAP44" s="3161"/>
      <c r="IAQ44" s="3161"/>
      <c r="IAR44" s="3161"/>
      <c r="IAS44" s="3161"/>
      <c r="IAT44" s="3161"/>
      <c r="IAU44" s="3161"/>
      <c r="IAV44" s="3161"/>
      <c r="IAW44" s="3161"/>
      <c r="IAX44" s="3161"/>
      <c r="IAY44" s="3161"/>
      <c r="IAZ44" s="3161"/>
      <c r="IBA44" s="3161"/>
      <c r="IBB44" s="3161"/>
      <c r="IBC44" s="3161"/>
      <c r="IBD44" s="3161"/>
      <c r="IBE44" s="3161"/>
      <c r="IBF44" s="3161"/>
      <c r="IBG44" s="3161"/>
      <c r="IBH44" s="3161"/>
      <c r="IBI44" s="3161"/>
      <c r="IBJ44" s="3161"/>
      <c r="IBK44" s="3161"/>
      <c r="IBL44" s="3161"/>
      <c r="IBM44" s="3161"/>
      <c r="IBN44" s="3161"/>
      <c r="IBO44" s="3161"/>
      <c r="IBP44" s="3161"/>
      <c r="IBQ44" s="3161"/>
      <c r="IBR44" s="3161"/>
      <c r="IBS44" s="3161"/>
      <c r="IBT44" s="3161"/>
      <c r="IBU44" s="3161"/>
      <c r="IBV44" s="3161"/>
      <c r="IBW44" s="3161"/>
      <c r="IBX44" s="3161"/>
      <c r="IBY44" s="3161"/>
      <c r="IBZ44" s="3161"/>
      <c r="ICA44" s="3161"/>
      <c r="ICB44" s="3161"/>
      <c r="ICC44" s="3161"/>
      <c r="ICD44" s="3161"/>
      <c r="ICE44" s="3161"/>
      <c r="ICF44" s="3161"/>
      <c r="ICG44" s="3161"/>
      <c r="ICH44" s="3161"/>
      <c r="ICI44" s="3161"/>
      <c r="ICJ44" s="3161"/>
      <c r="ICK44" s="3161"/>
      <c r="ICL44" s="3161"/>
      <c r="ICM44" s="3161"/>
      <c r="ICN44" s="3161"/>
      <c r="ICO44" s="3161"/>
      <c r="ICP44" s="3161"/>
      <c r="ICQ44" s="3161"/>
      <c r="ICR44" s="3161"/>
      <c r="ICS44" s="3161"/>
      <c r="ICT44" s="3161"/>
      <c r="ICU44" s="3161"/>
      <c r="ICV44" s="3161"/>
      <c r="ICW44" s="3161"/>
      <c r="ICX44" s="3161"/>
      <c r="ICY44" s="3161"/>
      <c r="ICZ44" s="3161"/>
      <c r="IDA44" s="3161"/>
      <c r="IDB44" s="3161"/>
      <c r="IDC44" s="3161"/>
      <c r="IDD44" s="3161"/>
      <c r="IDE44" s="3161"/>
      <c r="IDF44" s="3161"/>
      <c r="IDG44" s="3161"/>
      <c r="IDH44" s="3161"/>
      <c r="IDI44" s="3161"/>
      <c r="IDJ44" s="3161"/>
      <c r="IDK44" s="3161"/>
      <c r="IDL44" s="3161"/>
      <c r="IDM44" s="3161"/>
      <c r="IDN44" s="3161"/>
      <c r="IDO44" s="3161"/>
      <c r="IDP44" s="3161"/>
      <c r="IDQ44" s="3161"/>
      <c r="IDR44" s="3161"/>
      <c r="IDS44" s="3161"/>
      <c r="IDT44" s="3161"/>
      <c r="IDU44" s="3161"/>
      <c r="IDV44" s="3161"/>
      <c r="IDW44" s="3161"/>
      <c r="IDX44" s="3161"/>
      <c r="IDY44" s="3161"/>
      <c r="IDZ44" s="3161"/>
      <c r="IEA44" s="3161"/>
      <c r="IEB44" s="3161"/>
      <c r="IEC44" s="3161"/>
      <c r="IED44" s="3161"/>
      <c r="IEE44" s="3161"/>
      <c r="IEF44" s="3161"/>
      <c r="IEG44" s="3161"/>
      <c r="IEH44" s="3161"/>
      <c r="IEI44" s="3161"/>
      <c r="IEJ44" s="3161"/>
      <c r="IEK44" s="3161"/>
      <c r="IEL44" s="3161"/>
      <c r="IEM44" s="3161"/>
      <c r="IEN44" s="3161"/>
      <c r="IEO44" s="3161"/>
      <c r="IEP44" s="3161"/>
      <c r="IEQ44" s="3161"/>
      <c r="IER44" s="3161"/>
      <c r="IES44" s="3161"/>
      <c r="IET44" s="3161"/>
      <c r="IEU44" s="3161"/>
      <c r="IEV44" s="3161"/>
      <c r="IEW44" s="3161"/>
      <c r="IEX44" s="3161"/>
      <c r="IEY44" s="3161"/>
      <c r="IEZ44" s="3161"/>
      <c r="IFA44" s="3161"/>
      <c r="IFB44" s="3161"/>
      <c r="IFC44" s="3161"/>
      <c r="IFD44" s="3161"/>
      <c r="IFE44" s="3161"/>
      <c r="IFF44" s="3161"/>
      <c r="IFG44" s="3161"/>
      <c r="IFH44" s="3161"/>
      <c r="IFI44" s="3161"/>
      <c r="IFJ44" s="3161"/>
      <c r="IFK44" s="3161"/>
      <c r="IFL44" s="3161"/>
      <c r="IFM44" s="3161"/>
      <c r="IFN44" s="3161"/>
      <c r="IFO44" s="3161"/>
      <c r="IFP44" s="3161"/>
      <c r="IFQ44" s="3161"/>
      <c r="IFR44" s="3161"/>
      <c r="IFS44" s="3161"/>
      <c r="IFT44" s="3161"/>
      <c r="IFU44" s="3161"/>
      <c r="IFV44" s="3161"/>
      <c r="IFW44" s="3161"/>
      <c r="IFX44" s="3161"/>
      <c r="IFY44" s="3161"/>
      <c r="IFZ44" s="3161"/>
      <c r="IGA44" s="3161"/>
      <c r="IGB44" s="3161"/>
      <c r="IGC44" s="3161"/>
      <c r="IGD44" s="3161"/>
      <c r="IGE44" s="3161"/>
      <c r="IGF44" s="3161"/>
      <c r="IGG44" s="3161"/>
      <c r="IGH44" s="3161"/>
      <c r="IGI44" s="3161"/>
      <c r="IGJ44" s="3161"/>
      <c r="IGK44" s="3161"/>
      <c r="IGL44" s="3161"/>
      <c r="IGM44" s="3161"/>
      <c r="IGN44" s="3161"/>
      <c r="IGO44" s="3161"/>
      <c r="IGP44" s="3161"/>
      <c r="IGQ44" s="3161"/>
      <c r="IGR44" s="3161"/>
      <c r="IGS44" s="3161"/>
      <c r="IGT44" s="3161"/>
      <c r="IGU44" s="3161"/>
      <c r="IGV44" s="3161"/>
      <c r="IGW44" s="3161"/>
      <c r="IGX44" s="3161"/>
      <c r="IGY44" s="3161"/>
      <c r="IGZ44" s="3161"/>
      <c r="IHA44" s="3161"/>
      <c r="IHB44" s="3161"/>
      <c r="IHC44" s="3161"/>
      <c r="IHD44" s="3161"/>
      <c r="IHE44" s="3161"/>
      <c r="IHF44" s="3161"/>
      <c r="IHG44" s="3161"/>
      <c r="IHH44" s="3161"/>
      <c r="IHI44" s="3161"/>
      <c r="IHJ44" s="3161"/>
      <c r="IHK44" s="3161"/>
      <c r="IHL44" s="3161"/>
      <c r="IHM44" s="3161"/>
      <c r="IHN44" s="3161"/>
      <c r="IHO44" s="3161"/>
      <c r="IHP44" s="3161"/>
      <c r="IHQ44" s="3161"/>
      <c r="IHR44" s="3161"/>
      <c r="IHS44" s="3161"/>
      <c r="IHT44" s="3161"/>
      <c r="IHU44" s="3161"/>
      <c r="IHV44" s="3161"/>
      <c r="IHW44" s="3161"/>
      <c r="IHX44" s="3161"/>
      <c r="IHY44" s="3161"/>
      <c r="IHZ44" s="3161"/>
      <c r="IIA44" s="3161"/>
      <c r="IIB44" s="3161"/>
      <c r="IIC44" s="3161"/>
      <c r="IID44" s="3161"/>
      <c r="IIE44" s="3161"/>
      <c r="IIF44" s="3161"/>
      <c r="IIG44" s="3161"/>
      <c r="IIH44" s="3161"/>
      <c r="III44" s="3161"/>
      <c r="IIJ44" s="3161"/>
      <c r="IIK44" s="3161"/>
      <c r="IIL44" s="3161"/>
      <c r="IIM44" s="3161"/>
      <c r="IIN44" s="3161"/>
      <c r="IIO44" s="3161"/>
      <c r="IIP44" s="3161"/>
      <c r="IIQ44" s="3161"/>
      <c r="IIR44" s="3161"/>
      <c r="IIS44" s="3161"/>
      <c r="IIT44" s="3161"/>
      <c r="IIU44" s="3161"/>
      <c r="IIV44" s="3161"/>
      <c r="IIW44" s="3161"/>
      <c r="IIX44" s="3161"/>
      <c r="IIY44" s="3161"/>
      <c r="IIZ44" s="3161"/>
      <c r="IJA44" s="3161"/>
      <c r="IJB44" s="3161"/>
      <c r="IJC44" s="3161"/>
      <c r="IJD44" s="3161"/>
      <c r="IJE44" s="3161"/>
      <c r="IJF44" s="3161"/>
      <c r="IJG44" s="3161"/>
      <c r="IJH44" s="3161"/>
      <c r="IJI44" s="3161"/>
      <c r="IJJ44" s="3161"/>
      <c r="IJK44" s="3161"/>
      <c r="IJL44" s="3161"/>
      <c r="IJM44" s="3161"/>
      <c r="IJN44" s="3161"/>
      <c r="IJO44" s="3161"/>
      <c r="IJP44" s="3161"/>
      <c r="IJQ44" s="3161"/>
      <c r="IJR44" s="3161"/>
      <c r="IJS44" s="3161"/>
      <c r="IJT44" s="3161"/>
      <c r="IJU44" s="3161"/>
      <c r="IJV44" s="3161"/>
      <c r="IJW44" s="3161"/>
      <c r="IJX44" s="3161"/>
      <c r="IJY44" s="3161"/>
      <c r="IJZ44" s="3161"/>
      <c r="IKA44" s="3161"/>
      <c r="IKB44" s="3161"/>
      <c r="IKC44" s="3161"/>
      <c r="IKD44" s="3161"/>
      <c r="IKE44" s="3161"/>
      <c r="IKF44" s="3161"/>
      <c r="IKG44" s="3161"/>
      <c r="IKH44" s="3161"/>
      <c r="IKI44" s="3161"/>
      <c r="IKJ44" s="3161"/>
      <c r="IKK44" s="3161"/>
      <c r="IKL44" s="3161"/>
      <c r="IKM44" s="3161"/>
      <c r="IKN44" s="3161"/>
      <c r="IKO44" s="3161"/>
      <c r="IKP44" s="3161"/>
      <c r="IKQ44" s="3161"/>
      <c r="IKR44" s="3161"/>
      <c r="IKS44" s="3161"/>
      <c r="IKT44" s="3161"/>
      <c r="IKU44" s="3161"/>
      <c r="IKV44" s="3161"/>
      <c r="IKW44" s="3161"/>
      <c r="IKX44" s="3161"/>
      <c r="IKY44" s="3161"/>
      <c r="IKZ44" s="3161"/>
      <c r="ILA44" s="3161"/>
      <c r="ILB44" s="3161"/>
      <c r="ILC44" s="3161"/>
      <c r="ILD44" s="3161"/>
      <c r="ILE44" s="3161"/>
      <c r="ILF44" s="3161"/>
      <c r="ILG44" s="3161"/>
      <c r="ILH44" s="3161"/>
      <c r="ILI44" s="3161"/>
      <c r="ILJ44" s="3161"/>
      <c r="ILK44" s="3161"/>
      <c r="ILL44" s="3161"/>
      <c r="ILM44" s="3161"/>
      <c r="ILN44" s="3161"/>
      <c r="ILO44" s="3161"/>
      <c r="ILP44" s="3161"/>
      <c r="ILQ44" s="3161"/>
      <c r="ILR44" s="3161"/>
      <c r="ILS44" s="3161"/>
      <c r="ILT44" s="3161"/>
      <c r="ILU44" s="3161"/>
      <c r="ILV44" s="3161"/>
      <c r="ILW44" s="3161"/>
      <c r="ILX44" s="3161"/>
      <c r="ILY44" s="3161"/>
      <c r="ILZ44" s="3161"/>
      <c r="IMA44" s="3161"/>
      <c r="IMB44" s="3161"/>
      <c r="IMC44" s="3161"/>
      <c r="IMD44" s="3161"/>
      <c r="IME44" s="3161"/>
      <c r="IMF44" s="3161"/>
      <c r="IMG44" s="3161"/>
      <c r="IMH44" s="3161"/>
      <c r="IMI44" s="3161"/>
      <c r="IMJ44" s="3161"/>
      <c r="IMK44" s="3161"/>
      <c r="IML44" s="3161"/>
      <c r="IMM44" s="3161"/>
      <c r="IMN44" s="3161"/>
      <c r="IMO44" s="3161"/>
      <c r="IMP44" s="3161"/>
      <c r="IMQ44" s="3161"/>
      <c r="IMR44" s="3161"/>
      <c r="IMS44" s="3161"/>
      <c r="IMT44" s="3161"/>
      <c r="IMU44" s="3161"/>
      <c r="IMV44" s="3161"/>
      <c r="IMW44" s="3161"/>
      <c r="IMX44" s="3161"/>
      <c r="IMY44" s="3161"/>
      <c r="IMZ44" s="3161"/>
      <c r="INA44" s="3161"/>
      <c r="INB44" s="3161"/>
      <c r="INC44" s="3161"/>
      <c r="IND44" s="3161"/>
      <c r="INE44" s="3161"/>
      <c r="INF44" s="3161"/>
      <c r="ING44" s="3161"/>
      <c r="INH44" s="3161"/>
      <c r="INI44" s="3161"/>
      <c r="INJ44" s="3161"/>
      <c r="INK44" s="3161"/>
      <c r="INL44" s="3161"/>
      <c r="INM44" s="3161"/>
      <c r="INN44" s="3161"/>
      <c r="INO44" s="3161"/>
      <c r="INP44" s="3161"/>
      <c r="INQ44" s="3161"/>
      <c r="INR44" s="3161"/>
      <c r="INS44" s="3161"/>
      <c r="INT44" s="3161"/>
      <c r="INU44" s="3161"/>
      <c r="INV44" s="3161"/>
      <c r="INW44" s="3161"/>
      <c r="INX44" s="3161"/>
      <c r="INY44" s="3161"/>
      <c r="INZ44" s="3161"/>
      <c r="IOA44" s="3161"/>
      <c r="IOB44" s="3161"/>
      <c r="IOC44" s="3161"/>
      <c r="IOD44" s="3161"/>
      <c r="IOE44" s="3161"/>
      <c r="IOF44" s="3161"/>
      <c r="IOG44" s="3161"/>
      <c r="IOH44" s="3161"/>
      <c r="IOI44" s="3161"/>
      <c r="IOJ44" s="3161"/>
      <c r="IOK44" s="3161"/>
      <c r="IOL44" s="3161"/>
      <c r="IOM44" s="3161"/>
      <c r="ION44" s="3161"/>
      <c r="IOO44" s="3161"/>
      <c r="IOP44" s="3161"/>
      <c r="IOQ44" s="3161"/>
      <c r="IOR44" s="3161"/>
      <c r="IOS44" s="3161"/>
      <c r="IOT44" s="3161"/>
      <c r="IOU44" s="3161"/>
      <c r="IOV44" s="3161"/>
      <c r="IOW44" s="3161"/>
      <c r="IOX44" s="3161"/>
      <c r="IOY44" s="3161"/>
      <c r="IOZ44" s="3161"/>
      <c r="IPA44" s="3161"/>
      <c r="IPB44" s="3161"/>
      <c r="IPC44" s="3161"/>
      <c r="IPD44" s="3161"/>
      <c r="IPE44" s="3161"/>
      <c r="IPF44" s="3161"/>
      <c r="IPG44" s="3161"/>
      <c r="IPH44" s="3161"/>
      <c r="IPI44" s="3161"/>
      <c r="IPJ44" s="3161"/>
      <c r="IPK44" s="3161"/>
      <c r="IPL44" s="3161"/>
      <c r="IPM44" s="3161"/>
      <c r="IPN44" s="3161"/>
      <c r="IPO44" s="3161"/>
      <c r="IPP44" s="3161"/>
      <c r="IPQ44" s="3161"/>
      <c r="IPR44" s="3161"/>
      <c r="IPS44" s="3161"/>
      <c r="IPT44" s="3161"/>
      <c r="IPU44" s="3161"/>
      <c r="IPV44" s="3161"/>
      <c r="IPW44" s="3161"/>
      <c r="IPX44" s="3161"/>
      <c r="IPY44" s="3161"/>
      <c r="IPZ44" s="3161"/>
      <c r="IQA44" s="3161"/>
      <c r="IQB44" s="3161"/>
      <c r="IQC44" s="3161"/>
      <c r="IQD44" s="3161"/>
      <c r="IQE44" s="3161"/>
      <c r="IQF44" s="3161"/>
      <c r="IQG44" s="3161"/>
      <c r="IQH44" s="3161"/>
      <c r="IQI44" s="3161"/>
      <c r="IQJ44" s="3161"/>
      <c r="IQK44" s="3161"/>
      <c r="IQL44" s="3161"/>
      <c r="IQM44" s="3161"/>
      <c r="IQN44" s="3161"/>
      <c r="IQO44" s="3161"/>
      <c r="IQP44" s="3161"/>
      <c r="IQQ44" s="3161"/>
      <c r="IQR44" s="3161"/>
      <c r="IQS44" s="3161"/>
      <c r="IQT44" s="3161"/>
      <c r="IQU44" s="3161"/>
      <c r="IQV44" s="3161"/>
      <c r="IQW44" s="3161"/>
      <c r="IQX44" s="3161"/>
      <c r="IQY44" s="3161"/>
      <c r="IQZ44" s="3161"/>
      <c r="IRA44" s="3161"/>
      <c r="IRB44" s="3161"/>
      <c r="IRC44" s="3161"/>
      <c r="IRD44" s="3161"/>
      <c r="IRE44" s="3161"/>
      <c r="IRF44" s="3161"/>
      <c r="IRG44" s="3161"/>
      <c r="IRH44" s="3161"/>
      <c r="IRI44" s="3161"/>
      <c r="IRJ44" s="3161"/>
      <c r="IRK44" s="3161"/>
      <c r="IRL44" s="3161"/>
      <c r="IRM44" s="3161"/>
      <c r="IRN44" s="3161"/>
      <c r="IRO44" s="3161"/>
      <c r="IRP44" s="3161"/>
      <c r="IRQ44" s="3161"/>
      <c r="IRR44" s="3161"/>
      <c r="IRS44" s="3161"/>
      <c r="IRT44" s="3161"/>
      <c r="IRU44" s="3161"/>
      <c r="IRV44" s="3161"/>
      <c r="IRW44" s="3161"/>
      <c r="IRX44" s="3161"/>
      <c r="IRY44" s="3161"/>
      <c r="IRZ44" s="3161"/>
      <c r="ISA44" s="3161"/>
      <c r="ISB44" s="3161"/>
      <c r="ISC44" s="3161"/>
      <c r="ISD44" s="3161"/>
      <c r="ISE44" s="3161"/>
      <c r="ISF44" s="3161"/>
      <c r="ISG44" s="3161"/>
      <c r="ISH44" s="3161"/>
      <c r="ISI44" s="3161"/>
      <c r="ISJ44" s="3161"/>
      <c r="ISK44" s="3161"/>
      <c r="ISL44" s="3161"/>
      <c r="ISM44" s="3161"/>
      <c r="ISN44" s="3161"/>
      <c r="ISO44" s="3161"/>
      <c r="ISP44" s="3161"/>
      <c r="ISQ44" s="3161"/>
      <c r="ISR44" s="3161"/>
      <c r="ISS44" s="3161"/>
      <c r="IST44" s="3161"/>
      <c r="ISU44" s="3161"/>
      <c r="ISV44" s="3161"/>
      <c r="ISW44" s="3161"/>
      <c r="ISX44" s="3161"/>
      <c r="ISY44" s="3161"/>
      <c r="ISZ44" s="3161"/>
      <c r="ITA44" s="3161"/>
      <c r="ITB44" s="3161"/>
      <c r="ITC44" s="3161"/>
      <c r="ITD44" s="3161"/>
      <c r="ITE44" s="3161"/>
      <c r="ITF44" s="3161"/>
      <c r="ITG44" s="3161"/>
      <c r="ITH44" s="3161"/>
      <c r="ITI44" s="3161"/>
      <c r="ITJ44" s="3161"/>
      <c r="ITK44" s="3161"/>
      <c r="ITL44" s="3161"/>
      <c r="ITM44" s="3161"/>
      <c r="ITN44" s="3161"/>
      <c r="ITO44" s="3161"/>
      <c r="ITP44" s="3161"/>
      <c r="ITQ44" s="3161"/>
      <c r="ITR44" s="3161"/>
      <c r="ITS44" s="3161"/>
      <c r="ITT44" s="3161"/>
      <c r="ITU44" s="3161"/>
      <c r="ITV44" s="3161"/>
      <c r="ITW44" s="3161"/>
      <c r="ITX44" s="3161"/>
      <c r="ITY44" s="3161"/>
      <c r="ITZ44" s="3161"/>
      <c r="IUA44" s="3161"/>
      <c r="IUB44" s="3161"/>
      <c r="IUC44" s="3161"/>
      <c r="IUD44" s="3161"/>
      <c r="IUE44" s="3161"/>
      <c r="IUF44" s="3161"/>
      <c r="IUG44" s="3161"/>
      <c r="IUH44" s="3161"/>
      <c r="IUI44" s="3161"/>
      <c r="IUJ44" s="3161"/>
      <c r="IUK44" s="3161"/>
      <c r="IUL44" s="3161"/>
      <c r="IUM44" s="3161"/>
      <c r="IUN44" s="3161"/>
      <c r="IUO44" s="3161"/>
      <c r="IUP44" s="3161"/>
      <c r="IUQ44" s="3161"/>
      <c r="IUR44" s="3161"/>
      <c r="IUS44" s="3161"/>
      <c r="IUT44" s="3161"/>
      <c r="IUU44" s="3161"/>
      <c r="IUV44" s="3161"/>
      <c r="IUW44" s="3161"/>
      <c r="IUX44" s="3161"/>
      <c r="IUY44" s="3161"/>
      <c r="IUZ44" s="3161"/>
      <c r="IVA44" s="3161"/>
      <c r="IVB44" s="3161"/>
      <c r="IVC44" s="3161"/>
      <c r="IVD44" s="3161"/>
      <c r="IVE44" s="3161"/>
      <c r="IVF44" s="3161"/>
      <c r="IVG44" s="3161"/>
      <c r="IVH44" s="3161"/>
      <c r="IVI44" s="3161"/>
      <c r="IVJ44" s="3161"/>
      <c r="IVK44" s="3161"/>
      <c r="IVL44" s="3161"/>
      <c r="IVM44" s="3161"/>
      <c r="IVN44" s="3161"/>
      <c r="IVO44" s="3161"/>
      <c r="IVP44" s="3161"/>
      <c r="IVQ44" s="3161"/>
      <c r="IVR44" s="3161"/>
      <c r="IVS44" s="3161"/>
      <c r="IVT44" s="3161"/>
      <c r="IVU44" s="3161"/>
      <c r="IVV44" s="3161"/>
      <c r="IVW44" s="3161"/>
      <c r="IVX44" s="3161"/>
      <c r="IVY44" s="3161"/>
      <c r="IVZ44" s="3161"/>
      <c r="IWA44" s="3161"/>
      <c r="IWB44" s="3161"/>
      <c r="IWC44" s="3161"/>
      <c r="IWD44" s="3161"/>
      <c r="IWE44" s="3161"/>
      <c r="IWF44" s="3161"/>
      <c r="IWG44" s="3161"/>
      <c r="IWH44" s="3161"/>
      <c r="IWI44" s="3161"/>
      <c r="IWJ44" s="3161"/>
      <c r="IWK44" s="3161"/>
      <c r="IWL44" s="3161"/>
      <c r="IWM44" s="3161"/>
      <c r="IWN44" s="3161"/>
      <c r="IWO44" s="3161"/>
      <c r="IWP44" s="3161"/>
      <c r="IWQ44" s="3161"/>
      <c r="IWR44" s="3161"/>
      <c r="IWS44" s="3161"/>
      <c r="IWT44" s="3161"/>
      <c r="IWU44" s="3161"/>
      <c r="IWV44" s="3161"/>
      <c r="IWW44" s="3161"/>
      <c r="IWX44" s="3161"/>
      <c r="IWY44" s="3161"/>
      <c r="IWZ44" s="3161"/>
      <c r="IXA44" s="3161"/>
      <c r="IXB44" s="3161"/>
      <c r="IXC44" s="3161"/>
      <c r="IXD44" s="3161"/>
      <c r="IXE44" s="3161"/>
      <c r="IXF44" s="3161"/>
      <c r="IXG44" s="3161"/>
      <c r="IXH44" s="3161"/>
      <c r="IXI44" s="3161"/>
      <c r="IXJ44" s="3161"/>
      <c r="IXK44" s="3161"/>
      <c r="IXL44" s="3161"/>
      <c r="IXM44" s="3161"/>
      <c r="IXN44" s="3161"/>
      <c r="IXO44" s="3161"/>
      <c r="IXP44" s="3161"/>
      <c r="IXQ44" s="3161"/>
      <c r="IXR44" s="3161"/>
      <c r="IXS44" s="3161"/>
      <c r="IXT44" s="3161"/>
      <c r="IXU44" s="3161"/>
      <c r="IXV44" s="3161"/>
      <c r="IXW44" s="3161"/>
      <c r="IXX44" s="3161"/>
      <c r="IXY44" s="3161"/>
      <c r="IXZ44" s="3161"/>
      <c r="IYA44" s="3161"/>
      <c r="IYB44" s="3161"/>
      <c r="IYC44" s="3161"/>
      <c r="IYD44" s="3161"/>
      <c r="IYE44" s="3161"/>
      <c r="IYF44" s="3161"/>
      <c r="IYG44" s="3161"/>
      <c r="IYH44" s="3161"/>
      <c r="IYI44" s="3161"/>
      <c r="IYJ44" s="3161"/>
      <c r="IYK44" s="3161"/>
      <c r="IYL44" s="3161"/>
      <c r="IYM44" s="3161"/>
      <c r="IYN44" s="3161"/>
      <c r="IYO44" s="3161"/>
      <c r="IYP44" s="3161"/>
      <c r="IYQ44" s="3161"/>
      <c r="IYR44" s="3161"/>
      <c r="IYS44" s="3161"/>
      <c r="IYT44" s="3161"/>
      <c r="IYU44" s="3161"/>
      <c r="IYV44" s="3161"/>
      <c r="IYW44" s="3161"/>
      <c r="IYX44" s="3161"/>
      <c r="IYY44" s="3161"/>
      <c r="IYZ44" s="3161"/>
      <c r="IZA44" s="3161"/>
      <c r="IZB44" s="3161"/>
      <c r="IZC44" s="3161"/>
      <c r="IZD44" s="3161"/>
      <c r="IZE44" s="3161"/>
      <c r="IZF44" s="3161"/>
      <c r="IZG44" s="3161"/>
      <c r="IZH44" s="3161"/>
      <c r="IZI44" s="3161"/>
      <c r="IZJ44" s="3161"/>
      <c r="IZK44" s="3161"/>
      <c r="IZL44" s="3161"/>
      <c r="IZM44" s="3161"/>
      <c r="IZN44" s="3161"/>
      <c r="IZO44" s="3161"/>
      <c r="IZP44" s="3161"/>
      <c r="IZQ44" s="3161"/>
      <c r="IZR44" s="3161"/>
      <c r="IZS44" s="3161"/>
      <c r="IZT44" s="3161"/>
      <c r="IZU44" s="3161"/>
      <c r="IZV44" s="3161"/>
      <c r="IZW44" s="3161"/>
      <c r="IZX44" s="3161"/>
      <c r="IZY44" s="3161"/>
      <c r="IZZ44" s="3161"/>
      <c r="JAA44" s="3161"/>
      <c r="JAB44" s="3161"/>
      <c r="JAC44" s="3161"/>
      <c r="JAD44" s="3161"/>
      <c r="JAE44" s="3161"/>
      <c r="JAF44" s="3161"/>
      <c r="JAG44" s="3161"/>
      <c r="JAH44" s="3161"/>
      <c r="JAI44" s="3161"/>
      <c r="JAJ44" s="3161"/>
      <c r="JAK44" s="3161"/>
      <c r="JAL44" s="3161"/>
      <c r="JAM44" s="3161"/>
      <c r="JAN44" s="3161"/>
      <c r="JAO44" s="3161"/>
      <c r="JAP44" s="3161"/>
      <c r="JAQ44" s="3161"/>
      <c r="JAR44" s="3161"/>
      <c r="JAS44" s="3161"/>
      <c r="JAT44" s="3161"/>
      <c r="JAU44" s="3161"/>
      <c r="JAV44" s="3161"/>
      <c r="JAW44" s="3161"/>
      <c r="JAX44" s="3161"/>
      <c r="JAY44" s="3161"/>
      <c r="JAZ44" s="3161"/>
      <c r="JBA44" s="3161"/>
      <c r="JBB44" s="3161"/>
      <c r="JBC44" s="3161"/>
      <c r="JBD44" s="3161"/>
      <c r="JBE44" s="3161"/>
      <c r="JBF44" s="3161"/>
      <c r="JBG44" s="3161"/>
      <c r="JBH44" s="3161"/>
      <c r="JBI44" s="3161"/>
      <c r="JBJ44" s="3161"/>
      <c r="JBK44" s="3161"/>
      <c r="JBL44" s="3161"/>
      <c r="JBM44" s="3161"/>
      <c r="JBN44" s="3161"/>
      <c r="JBO44" s="3161"/>
      <c r="JBP44" s="3161"/>
      <c r="JBQ44" s="3161"/>
      <c r="JBR44" s="3161"/>
      <c r="JBS44" s="3161"/>
      <c r="JBT44" s="3161"/>
      <c r="JBU44" s="3161"/>
      <c r="JBV44" s="3161"/>
      <c r="JBW44" s="3161"/>
      <c r="JBX44" s="3161"/>
      <c r="JBY44" s="3161"/>
      <c r="JBZ44" s="3161"/>
      <c r="JCA44" s="3161"/>
      <c r="JCB44" s="3161"/>
      <c r="JCC44" s="3161"/>
      <c r="JCD44" s="3161"/>
      <c r="JCE44" s="3161"/>
      <c r="JCF44" s="3161"/>
      <c r="JCG44" s="3161"/>
      <c r="JCH44" s="3161"/>
      <c r="JCI44" s="3161"/>
      <c r="JCJ44" s="3161"/>
      <c r="JCK44" s="3161"/>
      <c r="JCL44" s="3161"/>
      <c r="JCM44" s="3161"/>
      <c r="JCN44" s="3161"/>
      <c r="JCO44" s="3161"/>
      <c r="JCP44" s="3161"/>
      <c r="JCQ44" s="3161"/>
      <c r="JCR44" s="3161"/>
      <c r="JCS44" s="3161"/>
      <c r="JCT44" s="3161"/>
      <c r="JCU44" s="3161"/>
      <c r="JCV44" s="3161"/>
      <c r="JCW44" s="3161"/>
      <c r="JCX44" s="3161"/>
      <c r="JCY44" s="3161"/>
      <c r="JCZ44" s="3161"/>
      <c r="JDA44" s="3161"/>
      <c r="JDB44" s="3161"/>
      <c r="JDC44" s="3161"/>
      <c r="JDD44" s="3161"/>
      <c r="JDE44" s="3161"/>
      <c r="JDF44" s="3161"/>
      <c r="JDG44" s="3161"/>
      <c r="JDH44" s="3161"/>
      <c r="JDI44" s="3161"/>
      <c r="JDJ44" s="3161"/>
      <c r="JDK44" s="3161"/>
      <c r="JDL44" s="3161"/>
      <c r="JDM44" s="3161"/>
      <c r="JDN44" s="3161"/>
      <c r="JDO44" s="3161"/>
      <c r="JDP44" s="3161"/>
      <c r="JDQ44" s="3161"/>
      <c r="JDR44" s="3161"/>
      <c r="JDS44" s="3161"/>
      <c r="JDT44" s="3161"/>
      <c r="JDU44" s="3161"/>
      <c r="JDV44" s="3161"/>
      <c r="JDW44" s="3161"/>
      <c r="JDX44" s="3161"/>
      <c r="JDY44" s="3161"/>
      <c r="JDZ44" s="3161"/>
      <c r="JEA44" s="3161"/>
      <c r="JEB44" s="3161"/>
      <c r="JEC44" s="3161"/>
      <c r="JED44" s="3161"/>
      <c r="JEE44" s="3161"/>
      <c r="JEF44" s="3161"/>
      <c r="JEG44" s="3161"/>
      <c r="JEH44" s="3161"/>
      <c r="JEI44" s="3161"/>
      <c r="JEJ44" s="3161"/>
      <c r="JEK44" s="3161"/>
      <c r="JEL44" s="3161"/>
      <c r="JEM44" s="3161"/>
      <c r="JEN44" s="3161"/>
      <c r="JEO44" s="3161"/>
      <c r="JEP44" s="3161"/>
      <c r="JEQ44" s="3161"/>
      <c r="JER44" s="3161"/>
      <c r="JES44" s="3161"/>
      <c r="JET44" s="3161"/>
      <c r="JEU44" s="3161"/>
      <c r="JEV44" s="3161"/>
      <c r="JEW44" s="3161"/>
      <c r="JEX44" s="3161"/>
      <c r="JEY44" s="3161"/>
      <c r="JEZ44" s="3161"/>
      <c r="JFA44" s="3161"/>
      <c r="JFB44" s="3161"/>
      <c r="JFC44" s="3161"/>
      <c r="JFD44" s="3161"/>
      <c r="JFE44" s="3161"/>
      <c r="JFF44" s="3161"/>
      <c r="JFG44" s="3161"/>
      <c r="JFH44" s="3161"/>
      <c r="JFI44" s="3161"/>
      <c r="JFJ44" s="3161"/>
      <c r="JFK44" s="3161"/>
      <c r="JFL44" s="3161"/>
      <c r="JFM44" s="3161"/>
      <c r="JFN44" s="3161"/>
      <c r="JFO44" s="3161"/>
      <c r="JFP44" s="3161"/>
      <c r="JFQ44" s="3161"/>
      <c r="JFR44" s="3161"/>
      <c r="JFS44" s="3161"/>
      <c r="JFT44" s="3161"/>
      <c r="JFU44" s="3161"/>
      <c r="JFV44" s="3161"/>
      <c r="JFW44" s="3161"/>
      <c r="JFX44" s="3161"/>
      <c r="JFY44" s="3161"/>
      <c r="JFZ44" s="3161"/>
      <c r="JGA44" s="3161"/>
      <c r="JGB44" s="3161"/>
      <c r="JGC44" s="3161"/>
      <c r="JGD44" s="3161"/>
      <c r="JGE44" s="3161"/>
      <c r="JGF44" s="3161"/>
      <c r="JGG44" s="3161"/>
      <c r="JGH44" s="3161"/>
      <c r="JGI44" s="3161"/>
      <c r="JGJ44" s="3161"/>
      <c r="JGK44" s="3161"/>
      <c r="JGL44" s="3161"/>
      <c r="JGM44" s="3161"/>
      <c r="JGN44" s="3161"/>
      <c r="JGO44" s="3161"/>
      <c r="JGP44" s="3161"/>
      <c r="JGQ44" s="3161"/>
      <c r="JGR44" s="3161"/>
      <c r="JGS44" s="3161"/>
      <c r="JGT44" s="3161"/>
      <c r="JGU44" s="3161"/>
      <c r="JGV44" s="3161"/>
      <c r="JGW44" s="3161"/>
      <c r="JGX44" s="3161"/>
      <c r="JGY44" s="3161"/>
      <c r="JGZ44" s="3161"/>
      <c r="JHA44" s="3161"/>
      <c r="JHB44" s="3161"/>
      <c r="JHC44" s="3161"/>
      <c r="JHD44" s="3161"/>
      <c r="JHE44" s="3161"/>
      <c r="JHF44" s="3161"/>
      <c r="JHG44" s="3161"/>
      <c r="JHH44" s="3161"/>
      <c r="JHI44" s="3161"/>
      <c r="JHJ44" s="3161"/>
      <c r="JHK44" s="3161"/>
      <c r="JHL44" s="3161"/>
      <c r="JHM44" s="3161"/>
      <c r="JHN44" s="3161"/>
      <c r="JHO44" s="3161"/>
      <c r="JHP44" s="3161"/>
      <c r="JHQ44" s="3161"/>
      <c r="JHR44" s="3161"/>
      <c r="JHS44" s="3161"/>
      <c r="JHT44" s="3161"/>
      <c r="JHU44" s="3161"/>
      <c r="JHV44" s="3161"/>
      <c r="JHW44" s="3161"/>
      <c r="JHX44" s="3161"/>
      <c r="JHY44" s="3161"/>
      <c r="JHZ44" s="3161"/>
      <c r="JIA44" s="3161"/>
      <c r="JIB44" s="3161"/>
      <c r="JIC44" s="3161"/>
      <c r="JID44" s="3161"/>
      <c r="JIE44" s="3161"/>
      <c r="JIF44" s="3161"/>
      <c r="JIG44" s="3161"/>
      <c r="JIH44" s="3161"/>
      <c r="JII44" s="3161"/>
      <c r="JIJ44" s="3161"/>
      <c r="JIK44" s="3161"/>
      <c r="JIL44" s="3161"/>
      <c r="JIM44" s="3161"/>
      <c r="JIN44" s="3161"/>
      <c r="JIO44" s="3161"/>
      <c r="JIP44" s="3161"/>
      <c r="JIQ44" s="3161"/>
      <c r="JIR44" s="3161"/>
      <c r="JIS44" s="3161"/>
      <c r="JIT44" s="3161"/>
      <c r="JIU44" s="3161"/>
      <c r="JIV44" s="3161"/>
      <c r="JIW44" s="3161"/>
      <c r="JIX44" s="3161"/>
      <c r="JIY44" s="3161"/>
      <c r="JIZ44" s="3161"/>
      <c r="JJA44" s="3161"/>
      <c r="JJB44" s="3161"/>
      <c r="JJC44" s="3161"/>
      <c r="JJD44" s="3161"/>
      <c r="JJE44" s="3161"/>
      <c r="JJF44" s="3161"/>
      <c r="JJG44" s="3161"/>
      <c r="JJH44" s="3161"/>
      <c r="JJI44" s="3161"/>
      <c r="JJJ44" s="3161"/>
      <c r="JJK44" s="3161"/>
      <c r="JJL44" s="3161"/>
      <c r="JJM44" s="3161"/>
      <c r="JJN44" s="3161"/>
      <c r="JJO44" s="3161"/>
      <c r="JJP44" s="3161"/>
      <c r="JJQ44" s="3161"/>
      <c r="JJR44" s="3161"/>
      <c r="JJS44" s="3161"/>
      <c r="JJT44" s="3161"/>
      <c r="JJU44" s="3161"/>
      <c r="JJV44" s="3161"/>
      <c r="JJW44" s="3161"/>
      <c r="JJX44" s="3161"/>
      <c r="JJY44" s="3161"/>
      <c r="JJZ44" s="3161"/>
      <c r="JKA44" s="3161"/>
      <c r="JKB44" s="3161"/>
      <c r="JKC44" s="3161"/>
      <c r="JKD44" s="3161"/>
      <c r="JKE44" s="3161"/>
      <c r="JKF44" s="3161"/>
      <c r="JKG44" s="3161"/>
      <c r="JKH44" s="3161"/>
      <c r="JKI44" s="3161"/>
      <c r="JKJ44" s="3161"/>
      <c r="JKK44" s="3161"/>
      <c r="JKL44" s="3161"/>
      <c r="JKM44" s="3161"/>
      <c r="JKN44" s="3161"/>
      <c r="JKO44" s="3161"/>
      <c r="JKP44" s="3161"/>
      <c r="JKQ44" s="3161"/>
      <c r="JKR44" s="3161"/>
      <c r="JKS44" s="3161"/>
      <c r="JKT44" s="3161"/>
      <c r="JKU44" s="3161"/>
      <c r="JKV44" s="3161"/>
      <c r="JKW44" s="3161"/>
      <c r="JKX44" s="3161"/>
      <c r="JKY44" s="3161"/>
      <c r="JKZ44" s="3161"/>
      <c r="JLA44" s="3161"/>
      <c r="JLB44" s="3161"/>
      <c r="JLC44" s="3161"/>
      <c r="JLD44" s="3161"/>
      <c r="JLE44" s="3161"/>
      <c r="JLF44" s="3161"/>
      <c r="JLG44" s="3161"/>
      <c r="JLH44" s="3161"/>
      <c r="JLI44" s="3161"/>
      <c r="JLJ44" s="3161"/>
      <c r="JLK44" s="3161"/>
      <c r="JLL44" s="3161"/>
      <c r="JLM44" s="3161"/>
      <c r="JLN44" s="3161"/>
      <c r="JLO44" s="3161"/>
      <c r="JLP44" s="3161"/>
      <c r="JLQ44" s="3161"/>
      <c r="JLR44" s="3161"/>
      <c r="JLS44" s="3161"/>
      <c r="JLT44" s="3161"/>
      <c r="JLU44" s="3161"/>
      <c r="JLV44" s="3161"/>
      <c r="JLW44" s="3161"/>
      <c r="JLX44" s="3161"/>
      <c r="JLY44" s="3161"/>
      <c r="JLZ44" s="3161"/>
      <c r="JMA44" s="3161"/>
      <c r="JMB44" s="3161"/>
      <c r="JMC44" s="3161"/>
      <c r="JMD44" s="3161"/>
      <c r="JME44" s="3161"/>
      <c r="JMF44" s="3161"/>
      <c r="JMG44" s="3161"/>
      <c r="JMH44" s="3161"/>
      <c r="JMI44" s="3161"/>
      <c r="JMJ44" s="3161"/>
      <c r="JMK44" s="3161"/>
      <c r="JML44" s="3161"/>
      <c r="JMM44" s="3161"/>
      <c r="JMN44" s="3161"/>
      <c r="JMO44" s="3161"/>
      <c r="JMP44" s="3161"/>
      <c r="JMQ44" s="3161"/>
      <c r="JMR44" s="3161"/>
      <c r="JMS44" s="3161"/>
      <c r="JMT44" s="3161"/>
      <c r="JMU44" s="3161"/>
      <c r="JMV44" s="3161"/>
      <c r="JMW44" s="3161"/>
      <c r="JMX44" s="3161"/>
      <c r="JMY44" s="3161"/>
      <c r="JMZ44" s="3161"/>
      <c r="JNA44" s="3161"/>
      <c r="JNB44" s="3161"/>
      <c r="JNC44" s="3161"/>
      <c r="JND44" s="3161"/>
      <c r="JNE44" s="3161"/>
      <c r="JNF44" s="3161"/>
      <c r="JNG44" s="3161"/>
      <c r="JNH44" s="3161"/>
      <c r="JNI44" s="3161"/>
      <c r="JNJ44" s="3161"/>
      <c r="JNK44" s="3161"/>
      <c r="JNL44" s="3161"/>
      <c r="JNM44" s="3161"/>
      <c r="JNN44" s="3161"/>
      <c r="JNO44" s="3161"/>
      <c r="JNP44" s="3161"/>
      <c r="JNQ44" s="3161"/>
      <c r="JNR44" s="3161"/>
      <c r="JNS44" s="3161"/>
      <c r="JNT44" s="3161"/>
      <c r="JNU44" s="3161"/>
      <c r="JNV44" s="3161"/>
      <c r="JNW44" s="3161"/>
      <c r="JNX44" s="3161"/>
      <c r="JNY44" s="3161"/>
      <c r="JNZ44" s="3161"/>
      <c r="JOA44" s="3161"/>
      <c r="JOB44" s="3161"/>
      <c r="JOC44" s="3161"/>
      <c r="JOD44" s="3161"/>
      <c r="JOE44" s="3161"/>
      <c r="JOF44" s="3161"/>
      <c r="JOG44" s="3161"/>
      <c r="JOH44" s="3161"/>
      <c r="JOI44" s="3161"/>
      <c r="JOJ44" s="3161"/>
      <c r="JOK44" s="3161"/>
      <c r="JOL44" s="3161"/>
      <c r="JOM44" s="3161"/>
      <c r="JON44" s="3161"/>
      <c r="JOO44" s="3161"/>
      <c r="JOP44" s="3161"/>
      <c r="JOQ44" s="3161"/>
      <c r="JOR44" s="3161"/>
      <c r="JOS44" s="3161"/>
      <c r="JOT44" s="3161"/>
      <c r="JOU44" s="3161"/>
      <c r="JOV44" s="3161"/>
      <c r="JOW44" s="3161"/>
      <c r="JOX44" s="3161"/>
      <c r="JOY44" s="3161"/>
      <c r="JOZ44" s="3161"/>
      <c r="JPA44" s="3161"/>
      <c r="JPB44" s="3161"/>
      <c r="JPC44" s="3161"/>
      <c r="JPD44" s="3161"/>
      <c r="JPE44" s="3161"/>
      <c r="JPF44" s="3161"/>
      <c r="JPG44" s="3161"/>
      <c r="JPH44" s="3161"/>
      <c r="JPI44" s="3161"/>
      <c r="JPJ44" s="3161"/>
      <c r="JPK44" s="3161"/>
      <c r="JPL44" s="3161"/>
      <c r="JPM44" s="3161"/>
      <c r="JPN44" s="3161"/>
      <c r="JPO44" s="3161"/>
      <c r="JPP44" s="3161"/>
      <c r="JPQ44" s="3161"/>
      <c r="JPR44" s="3161"/>
      <c r="JPS44" s="3161"/>
      <c r="JPT44" s="3161"/>
      <c r="JPU44" s="3161"/>
      <c r="JPV44" s="3161"/>
      <c r="JPW44" s="3161"/>
      <c r="JPX44" s="3161"/>
      <c r="JPY44" s="3161"/>
      <c r="JPZ44" s="3161"/>
      <c r="JQA44" s="3161"/>
      <c r="JQB44" s="3161"/>
      <c r="JQC44" s="3161"/>
      <c r="JQD44" s="3161"/>
      <c r="JQE44" s="3161"/>
      <c r="JQF44" s="3161"/>
      <c r="JQG44" s="3161"/>
      <c r="JQH44" s="3161"/>
      <c r="JQI44" s="3161"/>
      <c r="JQJ44" s="3161"/>
      <c r="JQK44" s="3161"/>
      <c r="JQL44" s="3161"/>
      <c r="JQM44" s="3161"/>
      <c r="JQN44" s="3161"/>
      <c r="JQO44" s="3161"/>
      <c r="JQP44" s="3161"/>
      <c r="JQQ44" s="3161"/>
      <c r="JQR44" s="3161"/>
      <c r="JQS44" s="3161"/>
      <c r="JQT44" s="3161"/>
      <c r="JQU44" s="3161"/>
      <c r="JQV44" s="3161"/>
      <c r="JQW44" s="3161"/>
      <c r="JQX44" s="3161"/>
      <c r="JQY44" s="3161"/>
      <c r="JQZ44" s="3161"/>
      <c r="JRA44" s="3161"/>
      <c r="JRB44" s="3161"/>
      <c r="JRC44" s="3161"/>
      <c r="JRD44" s="3161"/>
      <c r="JRE44" s="3161"/>
      <c r="JRF44" s="3161"/>
      <c r="JRG44" s="3161"/>
      <c r="JRH44" s="3161"/>
      <c r="JRI44" s="3161"/>
      <c r="JRJ44" s="3161"/>
      <c r="JRK44" s="3161"/>
      <c r="JRL44" s="3161"/>
      <c r="JRM44" s="3161"/>
      <c r="JRN44" s="3161"/>
      <c r="JRO44" s="3161"/>
      <c r="JRP44" s="3161"/>
      <c r="JRQ44" s="3161"/>
      <c r="JRR44" s="3161"/>
      <c r="JRS44" s="3161"/>
      <c r="JRT44" s="3161"/>
      <c r="JRU44" s="3161"/>
      <c r="JRV44" s="3161"/>
      <c r="JRW44" s="3161"/>
      <c r="JRX44" s="3161"/>
      <c r="JRY44" s="3161"/>
      <c r="JRZ44" s="3161"/>
      <c r="JSA44" s="3161"/>
      <c r="JSB44" s="3161"/>
      <c r="JSC44" s="3161"/>
      <c r="JSD44" s="3161"/>
      <c r="JSE44" s="3161"/>
      <c r="JSF44" s="3161"/>
      <c r="JSG44" s="3161"/>
      <c r="JSH44" s="3161"/>
      <c r="JSI44" s="3161"/>
      <c r="JSJ44" s="3161"/>
      <c r="JSK44" s="3161"/>
      <c r="JSL44" s="3161"/>
      <c r="JSM44" s="3161"/>
      <c r="JSN44" s="3161"/>
      <c r="JSO44" s="3161"/>
      <c r="JSP44" s="3161"/>
      <c r="JSQ44" s="3161"/>
      <c r="JSR44" s="3161"/>
      <c r="JSS44" s="3161"/>
      <c r="JST44" s="3161"/>
      <c r="JSU44" s="3161"/>
      <c r="JSV44" s="3161"/>
      <c r="JSW44" s="3161"/>
      <c r="JSX44" s="3161"/>
      <c r="JSY44" s="3161"/>
      <c r="JSZ44" s="3161"/>
      <c r="JTA44" s="3161"/>
      <c r="JTB44" s="3161"/>
      <c r="JTC44" s="3161"/>
      <c r="JTD44" s="3161"/>
      <c r="JTE44" s="3161"/>
      <c r="JTF44" s="3161"/>
      <c r="JTG44" s="3161"/>
      <c r="JTH44" s="3161"/>
      <c r="JTI44" s="3161"/>
      <c r="JTJ44" s="3161"/>
      <c r="JTK44" s="3161"/>
      <c r="JTL44" s="3161"/>
      <c r="JTM44" s="3161"/>
      <c r="JTN44" s="3161"/>
      <c r="JTO44" s="3161"/>
      <c r="JTP44" s="3161"/>
      <c r="JTQ44" s="3161"/>
      <c r="JTR44" s="3161"/>
      <c r="JTS44" s="3161"/>
      <c r="JTT44" s="3161"/>
      <c r="JTU44" s="3161"/>
      <c r="JTV44" s="3161"/>
      <c r="JTW44" s="3161"/>
      <c r="JTX44" s="3161"/>
      <c r="JTY44" s="3161"/>
      <c r="JTZ44" s="3161"/>
      <c r="JUA44" s="3161"/>
      <c r="JUB44" s="3161"/>
      <c r="JUC44" s="3161"/>
      <c r="JUD44" s="3161"/>
      <c r="JUE44" s="3161"/>
      <c r="JUF44" s="3161"/>
      <c r="JUG44" s="3161"/>
      <c r="JUH44" s="3161"/>
      <c r="JUI44" s="3161"/>
      <c r="JUJ44" s="3161"/>
      <c r="JUK44" s="3161"/>
      <c r="JUL44" s="3161"/>
      <c r="JUM44" s="3161"/>
      <c r="JUN44" s="3161"/>
      <c r="JUO44" s="3161"/>
      <c r="JUP44" s="3161"/>
      <c r="JUQ44" s="3161"/>
      <c r="JUR44" s="3161"/>
      <c r="JUS44" s="3161"/>
      <c r="JUT44" s="3161"/>
      <c r="JUU44" s="3161"/>
      <c r="JUV44" s="3161"/>
      <c r="JUW44" s="3161"/>
      <c r="JUX44" s="3161"/>
      <c r="JUY44" s="3161"/>
      <c r="JUZ44" s="3161"/>
      <c r="JVA44" s="3161"/>
      <c r="JVB44" s="3161"/>
      <c r="JVC44" s="3161"/>
      <c r="JVD44" s="3161"/>
      <c r="JVE44" s="3161"/>
      <c r="JVF44" s="3161"/>
      <c r="JVG44" s="3161"/>
      <c r="JVH44" s="3161"/>
      <c r="JVI44" s="3161"/>
      <c r="JVJ44" s="3161"/>
      <c r="JVK44" s="3161"/>
      <c r="JVL44" s="3161"/>
      <c r="JVM44" s="3161"/>
      <c r="JVN44" s="3161"/>
      <c r="JVO44" s="3161"/>
      <c r="JVP44" s="3161"/>
      <c r="JVQ44" s="3161"/>
      <c r="JVR44" s="3161"/>
      <c r="JVS44" s="3161"/>
      <c r="JVT44" s="3161"/>
      <c r="JVU44" s="3161"/>
      <c r="JVV44" s="3161"/>
      <c r="JVW44" s="3161"/>
      <c r="JVX44" s="3161"/>
      <c r="JVY44" s="3161"/>
      <c r="JVZ44" s="3161"/>
      <c r="JWA44" s="3161"/>
      <c r="JWB44" s="3161"/>
      <c r="JWC44" s="3161"/>
      <c r="JWD44" s="3161"/>
      <c r="JWE44" s="3161"/>
      <c r="JWF44" s="3161"/>
      <c r="JWG44" s="3161"/>
      <c r="JWH44" s="3161"/>
      <c r="JWI44" s="3161"/>
      <c r="JWJ44" s="3161"/>
      <c r="JWK44" s="3161"/>
      <c r="JWL44" s="3161"/>
      <c r="JWM44" s="3161"/>
      <c r="JWN44" s="3161"/>
      <c r="JWO44" s="3161"/>
      <c r="JWP44" s="3161"/>
      <c r="JWQ44" s="3161"/>
      <c r="JWR44" s="3161"/>
      <c r="JWS44" s="3161"/>
      <c r="JWT44" s="3161"/>
      <c r="JWU44" s="3161"/>
      <c r="JWV44" s="3161"/>
      <c r="JWW44" s="3161"/>
      <c r="JWX44" s="3161"/>
      <c r="JWY44" s="3161"/>
      <c r="JWZ44" s="3161"/>
      <c r="JXA44" s="3161"/>
      <c r="JXB44" s="3161"/>
      <c r="JXC44" s="3161"/>
      <c r="JXD44" s="3161"/>
      <c r="JXE44" s="3161"/>
      <c r="JXF44" s="3161"/>
      <c r="JXG44" s="3161"/>
      <c r="JXH44" s="3161"/>
      <c r="JXI44" s="3161"/>
      <c r="JXJ44" s="3161"/>
      <c r="JXK44" s="3161"/>
      <c r="JXL44" s="3161"/>
      <c r="JXM44" s="3161"/>
      <c r="JXN44" s="3161"/>
      <c r="JXO44" s="3161"/>
      <c r="JXP44" s="3161"/>
      <c r="JXQ44" s="3161"/>
      <c r="JXR44" s="3161"/>
      <c r="JXS44" s="3161"/>
      <c r="JXT44" s="3161"/>
      <c r="JXU44" s="3161"/>
      <c r="JXV44" s="3161"/>
      <c r="JXW44" s="3161"/>
      <c r="JXX44" s="3161"/>
      <c r="JXY44" s="3161"/>
      <c r="JXZ44" s="3161"/>
      <c r="JYA44" s="3161"/>
      <c r="JYB44" s="3161"/>
      <c r="JYC44" s="3161"/>
      <c r="JYD44" s="3161"/>
      <c r="JYE44" s="3161"/>
      <c r="JYF44" s="3161"/>
      <c r="JYG44" s="3161"/>
      <c r="JYH44" s="3161"/>
      <c r="JYI44" s="3161"/>
      <c r="JYJ44" s="3161"/>
      <c r="JYK44" s="3161"/>
      <c r="JYL44" s="3161"/>
      <c r="JYM44" s="3161"/>
      <c r="JYN44" s="3161"/>
      <c r="JYO44" s="3161"/>
      <c r="JYP44" s="3161"/>
      <c r="JYQ44" s="3161"/>
      <c r="JYR44" s="3161"/>
      <c r="JYS44" s="3161"/>
      <c r="JYT44" s="3161"/>
      <c r="JYU44" s="3161"/>
      <c r="JYV44" s="3161"/>
      <c r="JYW44" s="3161"/>
      <c r="JYX44" s="3161"/>
      <c r="JYY44" s="3161"/>
      <c r="JYZ44" s="3161"/>
      <c r="JZA44" s="3161"/>
      <c r="JZB44" s="3161"/>
      <c r="JZC44" s="3161"/>
      <c r="JZD44" s="3161"/>
      <c r="JZE44" s="3161"/>
      <c r="JZF44" s="3161"/>
      <c r="JZG44" s="3161"/>
      <c r="JZH44" s="3161"/>
      <c r="JZI44" s="3161"/>
      <c r="JZJ44" s="3161"/>
      <c r="JZK44" s="3161"/>
      <c r="JZL44" s="3161"/>
      <c r="JZM44" s="3161"/>
      <c r="JZN44" s="3161"/>
      <c r="JZO44" s="3161"/>
      <c r="JZP44" s="3161"/>
      <c r="JZQ44" s="3161"/>
      <c r="JZR44" s="3161"/>
      <c r="JZS44" s="3161"/>
      <c r="JZT44" s="3161"/>
      <c r="JZU44" s="3161"/>
      <c r="JZV44" s="3161"/>
      <c r="JZW44" s="3161"/>
      <c r="JZX44" s="3161"/>
      <c r="JZY44" s="3161"/>
      <c r="JZZ44" s="3161"/>
      <c r="KAA44" s="3161"/>
      <c r="KAB44" s="3161"/>
      <c r="KAC44" s="3161"/>
      <c r="KAD44" s="3161"/>
      <c r="KAE44" s="3161"/>
      <c r="KAF44" s="3161"/>
      <c r="KAG44" s="3161"/>
      <c r="KAH44" s="3161"/>
      <c r="KAI44" s="3161"/>
      <c r="KAJ44" s="3161"/>
      <c r="KAK44" s="3161"/>
      <c r="KAL44" s="3161"/>
      <c r="KAM44" s="3161"/>
      <c r="KAN44" s="3161"/>
      <c r="KAO44" s="3161"/>
      <c r="KAP44" s="3161"/>
      <c r="KAQ44" s="3161"/>
      <c r="KAR44" s="3161"/>
      <c r="KAS44" s="3161"/>
      <c r="KAT44" s="3161"/>
      <c r="KAU44" s="3161"/>
      <c r="KAV44" s="3161"/>
      <c r="KAW44" s="3161"/>
      <c r="KAX44" s="3161"/>
      <c r="KAY44" s="3161"/>
      <c r="KAZ44" s="3161"/>
      <c r="KBA44" s="3161"/>
      <c r="KBB44" s="3161"/>
      <c r="KBC44" s="3161"/>
      <c r="KBD44" s="3161"/>
      <c r="KBE44" s="3161"/>
      <c r="KBF44" s="3161"/>
      <c r="KBG44" s="3161"/>
      <c r="KBH44" s="3161"/>
      <c r="KBI44" s="3161"/>
      <c r="KBJ44" s="3161"/>
      <c r="KBK44" s="3161"/>
      <c r="KBL44" s="3161"/>
      <c r="KBM44" s="3161"/>
      <c r="KBN44" s="3161"/>
      <c r="KBO44" s="3161"/>
      <c r="KBP44" s="3161"/>
      <c r="KBQ44" s="3161"/>
      <c r="KBR44" s="3161"/>
      <c r="KBS44" s="3161"/>
      <c r="KBT44" s="3161"/>
      <c r="KBU44" s="3161"/>
      <c r="KBV44" s="3161"/>
      <c r="KBW44" s="3161"/>
      <c r="KBX44" s="3161"/>
      <c r="KBY44" s="3161"/>
      <c r="KBZ44" s="3161"/>
      <c r="KCA44" s="3161"/>
      <c r="KCB44" s="3161"/>
      <c r="KCC44" s="3161"/>
      <c r="KCD44" s="3161"/>
      <c r="KCE44" s="3161"/>
      <c r="KCF44" s="3161"/>
      <c r="KCG44" s="3161"/>
      <c r="KCH44" s="3161"/>
      <c r="KCI44" s="3161"/>
      <c r="KCJ44" s="3161"/>
      <c r="KCK44" s="3161"/>
      <c r="KCL44" s="3161"/>
      <c r="KCM44" s="3161"/>
      <c r="KCN44" s="3161"/>
      <c r="KCO44" s="3161"/>
      <c r="KCP44" s="3161"/>
      <c r="KCQ44" s="3161"/>
      <c r="KCR44" s="3161"/>
      <c r="KCS44" s="3161"/>
      <c r="KCT44" s="3161"/>
      <c r="KCU44" s="3161"/>
      <c r="KCV44" s="3161"/>
      <c r="KCW44" s="3161"/>
      <c r="KCX44" s="3161"/>
      <c r="KCY44" s="3161"/>
      <c r="KCZ44" s="3161"/>
      <c r="KDA44" s="3161"/>
      <c r="KDB44" s="3161"/>
      <c r="KDC44" s="3161"/>
      <c r="KDD44" s="3161"/>
      <c r="KDE44" s="3161"/>
      <c r="KDF44" s="3161"/>
      <c r="KDG44" s="3161"/>
      <c r="KDH44" s="3161"/>
      <c r="KDI44" s="3161"/>
      <c r="KDJ44" s="3161"/>
      <c r="KDK44" s="3161"/>
      <c r="KDL44" s="3161"/>
      <c r="KDM44" s="3161"/>
      <c r="KDN44" s="3161"/>
      <c r="KDO44" s="3161"/>
      <c r="KDP44" s="3161"/>
      <c r="KDQ44" s="3161"/>
      <c r="KDR44" s="3161"/>
      <c r="KDS44" s="3161"/>
      <c r="KDT44" s="3161"/>
      <c r="KDU44" s="3161"/>
      <c r="KDV44" s="3161"/>
      <c r="KDW44" s="3161"/>
      <c r="KDX44" s="3161"/>
      <c r="KDY44" s="3161"/>
      <c r="KDZ44" s="3161"/>
      <c r="KEA44" s="3161"/>
      <c r="KEB44" s="3161"/>
      <c r="KEC44" s="3161"/>
      <c r="KED44" s="3161"/>
      <c r="KEE44" s="3161"/>
      <c r="KEF44" s="3161"/>
      <c r="KEG44" s="3161"/>
      <c r="KEH44" s="3161"/>
      <c r="KEI44" s="3161"/>
      <c r="KEJ44" s="3161"/>
      <c r="KEK44" s="3161"/>
      <c r="KEL44" s="3161"/>
      <c r="KEM44" s="3161"/>
      <c r="KEN44" s="3161"/>
      <c r="KEO44" s="3161"/>
      <c r="KEP44" s="3161"/>
      <c r="KEQ44" s="3161"/>
      <c r="KER44" s="3161"/>
      <c r="KES44" s="3161"/>
      <c r="KET44" s="3161"/>
      <c r="KEU44" s="3161"/>
      <c r="KEV44" s="3161"/>
      <c r="KEW44" s="3161"/>
      <c r="KEX44" s="3161"/>
      <c r="KEY44" s="3161"/>
      <c r="KEZ44" s="3161"/>
      <c r="KFA44" s="3161"/>
      <c r="KFB44" s="3161"/>
      <c r="KFC44" s="3161"/>
      <c r="KFD44" s="3161"/>
      <c r="KFE44" s="3161"/>
      <c r="KFF44" s="3161"/>
      <c r="KFG44" s="3161"/>
      <c r="KFH44" s="3161"/>
      <c r="KFI44" s="3161"/>
      <c r="KFJ44" s="3161"/>
      <c r="KFK44" s="3161"/>
      <c r="KFL44" s="3161"/>
      <c r="KFM44" s="3161"/>
      <c r="KFN44" s="3161"/>
      <c r="KFO44" s="3161"/>
      <c r="KFP44" s="3161"/>
      <c r="KFQ44" s="3161"/>
      <c r="KFR44" s="3161"/>
      <c r="KFS44" s="3161"/>
      <c r="KFT44" s="3161"/>
      <c r="KFU44" s="3161"/>
      <c r="KFV44" s="3161"/>
      <c r="KFW44" s="3161"/>
      <c r="KFX44" s="3161"/>
      <c r="KFY44" s="3161"/>
      <c r="KFZ44" s="3161"/>
      <c r="KGA44" s="3161"/>
      <c r="KGB44" s="3161"/>
      <c r="KGC44" s="3161"/>
      <c r="KGD44" s="3161"/>
      <c r="KGE44" s="3161"/>
      <c r="KGF44" s="3161"/>
      <c r="KGG44" s="3161"/>
      <c r="KGH44" s="3161"/>
      <c r="KGI44" s="3161"/>
      <c r="KGJ44" s="3161"/>
      <c r="KGK44" s="3161"/>
      <c r="KGL44" s="3161"/>
      <c r="KGM44" s="3161"/>
      <c r="KGN44" s="3161"/>
      <c r="KGO44" s="3161"/>
      <c r="KGP44" s="3161"/>
      <c r="KGQ44" s="3161"/>
      <c r="KGR44" s="3161"/>
      <c r="KGS44" s="3161"/>
      <c r="KGT44" s="3161"/>
      <c r="KGU44" s="3161"/>
      <c r="KGV44" s="3161"/>
      <c r="KGW44" s="3161"/>
      <c r="KGX44" s="3161"/>
      <c r="KGY44" s="3161"/>
      <c r="KGZ44" s="3161"/>
      <c r="KHA44" s="3161"/>
      <c r="KHB44" s="3161"/>
      <c r="KHC44" s="3161"/>
      <c r="KHD44" s="3161"/>
      <c r="KHE44" s="3161"/>
      <c r="KHF44" s="3161"/>
      <c r="KHG44" s="3161"/>
      <c r="KHH44" s="3161"/>
      <c r="KHI44" s="3161"/>
      <c r="KHJ44" s="3161"/>
      <c r="KHK44" s="3161"/>
      <c r="KHL44" s="3161"/>
      <c r="KHM44" s="3161"/>
      <c r="KHN44" s="3161"/>
      <c r="KHO44" s="3161"/>
      <c r="KHP44" s="3161"/>
      <c r="KHQ44" s="3161"/>
      <c r="KHR44" s="3161"/>
      <c r="KHS44" s="3161"/>
      <c r="KHT44" s="3161"/>
      <c r="KHU44" s="3161"/>
      <c r="KHV44" s="3161"/>
      <c r="KHW44" s="3161"/>
      <c r="KHX44" s="3161"/>
      <c r="KHY44" s="3161"/>
      <c r="KHZ44" s="3161"/>
      <c r="KIA44" s="3161"/>
      <c r="KIB44" s="3161"/>
      <c r="KIC44" s="3161"/>
      <c r="KID44" s="3161"/>
      <c r="KIE44" s="3161"/>
      <c r="KIF44" s="3161"/>
      <c r="KIG44" s="3161"/>
      <c r="KIH44" s="3161"/>
      <c r="KII44" s="3161"/>
      <c r="KIJ44" s="3161"/>
      <c r="KIK44" s="3161"/>
      <c r="KIL44" s="3161"/>
      <c r="KIM44" s="3161"/>
      <c r="KIN44" s="3161"/>
      <c r="KIO44" s="3161"/>
      <c r="KIP44" s="3161"/>
      <c r="KIQ44" s="3161"/>
      <c r="KIR44" s="3161"/>
      <c r="KIS44" s="3161"/>
      <c r="KIT44" s="3161"/>
      <c r="KIU44" s="3161"/>
      <c r="KIV44" s="3161"/>
      <c r="KIW44" s="3161"/>
      <c r="KIX44" s="3161"/>
      <c r="KIY44" s="3161"/>
      <c r="KIZ44" s="3161"/>
      <c r="KJA44" s="3161"/>
      <c r="KJB44" s="3161"/>
      <c r="KJC44" s="3161"/>
      <c r="KJD44" s="3161"/>
      <c r="KJE44" s="3161"/>
      <c r="KJF44" s="3161"/>
      <c r="KJG44" s="3161"/>
      <c r="KJH44" s="3161"/>
      <c r="KJI44" s="3161"/>
      <c r="KJJ44" s="3161"/>
      <c r="KJK44" s="3161"/>
      <c r="KJL44" s="3161"/>
      <c r="KJM44" s="3161"/>
      <c r="KJN44" s="3161"/>
      <c r="KJO44" s="3161"/>
      <c r="KJP44" s="3161"/>
      <c r="KJQ44" s="3161"/>
      <c r="KJR44" s="3161"/>
      <c r="KJS44" s="3161"/>
      <c r="KJT44" s="3161"/>
      <c r="KJU44" s="3161"/>
      <c r="KJV44" s="3161"/>
      <c r="KJW44" s="3161"/>
      <c r="KJX44" s="3161"/>
      <c r="KJY44" s="3161"/>
      <c r="KJZ44" s="3161"/>
      <c r="KKA44" s="3161"/>
      <c r="KKB44" s="3161"/>
      <c r="KKC44" s="3161"/>
      <c r="KKD44" s="3161"/>
      <c r="KKE44" s="3161"/>
      <c r="KKF44" s="3161"/>
      <c r="KKG44" s="3161"/>
      <c r="KKH44" s="3161"/>
      <c r="KKI44" s="3161"/>
      <c r="KKJ44" s="3161"/>
      <c r="KKK44" s="3161"/>
      <c r="KKL44" s="3161"/>
      <c r="KKM44" s="3161"/>
      <c r="KKN44" s="3161"/>
      <c r="KKO44" s="3161"/>
      <c r="KKP44" s="3161"/>
      <c r="KKQ44" s="3161"/>
      <c r="KKR44" s="3161"/>
      <c r="KKS44" s="3161"/>
      <c r="KKT44" s="3161"/>
      <c r="KKU44" s="3161"/>
      <c r="KKV44" s="3161"/>
      <c r="KKW44" s="3161"/>
      <c r="KKX44" s="3161"/>
      <c r="KKY44" s="3161"/>
      <c r="KKZ44" s="3161"/>
      <c r="KLA44" s="3161"/>
      <c r="KLB44" s="3161"/>
      <c r="KLC44" s="3161"/>
      <c r="KLD44" s="3161"/>
      <c r="KLE44" s="3161"/>
      <c r="KLF44" s="3161"/>
      <c r="KLG44" s="3161"/>
      <c r="KLH44" s="3161"/>
      <c r="KLI44" s="3161"/>
      <c r="KLJ44" s="3161"/>
      <c r="KLK44" s="3161"/>
      <c r="KLL44" s="3161"/>
      <c r="KLM44" s="3161"/>
      <c r="KLN44" s="3161"/>
      <c r="KLO44" s="3161"/>
      <c r="KLP44" s="3161"/>
      <c r="KLQ44" s="3161"/>
      <c r="KLR44" s="3161"/>
      <c r="KLS44" s="3161"/>
      <c r="KLT44" s="3161"/>
      <c r="KLU44" s="3161"/>
      <c r="KLV44" s="3161"/>
      <c r="KLW44" s="3161"/>
      <c r="KLX44" s="3161"/>
      <c r="KLY44" s="3161"/>
      <c r="KLZ44" s="3161"/>
      <c r="KMA44" s="3161"/>
      <c r="KMB44" s="3161"/>
      <c r="KMC44" s="3161"/>
      <c r="KMD44" s="3161"/>
      <c r="KME44" s="3161"/>
      <c r="KMF44" s="3161"/>
      <c r="KMG44" s="3161"/>
      <c r="KMH44" s="3161"/>
      <c r="KMI44" s="3161"/>
      <c r="KMJ44" s="3161"/>
      <c r="KMK44" s="3161"/>
      <c r="KML44" s="3161"/>
      <c r="KMM44" s="3161"/>
      <c r="KMN44" s="3161"/>
      <c r="KMO44" s="3161"/>
      <c r="KMP44" s="3161"/>
      <c r="KMQ44" s="3161"/>
      <c r="KMR44" s="3161"/>
      <c r="KMS44" s="3161"/>
      <c r="KMT44" s="3161"/>
      <c r="KMU44" s="3161"/>
      <c r="KMV44" s="3161"/>
      <c r="KMW44" s="3161"/>
      <c r="KMX44" s="3161"/>
      <c r="KMY44" s="3161"/>
      <c r="KMZ44" s="3161"/>
      <c r="KNA44" s="3161"/>
      <c r="KNB44" s="3161"/>
      <c r="KNC44" s="3161"/>
      <c r="KND44" s="3161"/>
      <c r="KNE44" s="3161"/>
      <c r="KNF44" s="3161"/>
      <c r="KNG44" s="3161"/>
      <c r="KNH44" s="3161"/>
      <c r="KNI44" s="3161"/>
      <c r="KNJ44" s="3161"/>
      <c r="KNK44" s="3161"/>
      <c r="KNL44" s="3161"/>
      <c r="KNM44" s="3161"/>
      <c r="KNN44" s="3161"/>
      <c r="KNO44" s="3161"/>
      <c r="KNP44" s="3161"/>
      <c r="KNQ44" s="3161"/>
      <c r="KNR44" s="3161"/>
      <c r="KNS44" s="3161"/>
      <c r="KNT44" s="3161"/>
      <c r="KNU44" s="3161"/>
      <c r="KNV44" s="3161"/>
      <c r="KNW44" s="3161"/>
      <c r="KNX44" s="3161"/>
      <c r="KNY44" s="3161"/>
      <c r="KNZ44" s="3161"/>
      <c r="KOA44" s="3161"/>
      <c r="KOB44" s="3161"/>
      <c r="KOC44" s="3161"/>
      <c r="KOD44" s="3161"/>
      <c r="KOE44" s="3161"/>
      <c r="KOF44" s="3161"/>
      <c r="KOG44" s="3161"/>
      <c r="KOH44" s="3161"/>
      <c r="KOI44" s="3161"/>
      <c r="KOJ44" s="3161"/>
      <c r="KOK44" s="3161"/>
      <c r="KOL44" s="3161"/>
      <c r="KOM44" s="3161"/>
      <c r="KON44" s="3161"/>
      <c r="KOO44" s="3161"/>
      <c r="KOP44" s="3161"/>
      <c r="KOQ44" s="3161"/>
      <c r="KOR44" s="3161"/>
      <c r="KOS44" s="3161"/>
      <c r="KOT44" s="3161"/>
      <c r="KOU44" s="3161"/>
      <c r="KOV44" s="3161"/>
      <c r="KOW44" s="3161"/>
      <c r="KOX44" s="3161"/>
      <c r="KOY44" s="3161"/>
      <c r="KOZ44" s="3161"/>
      <c r="KPA44" s="3161"/>
      <c r="KPB44" s="3161"/>
      <c r="KPC44" s="3161"/>
      <c r="KPD44" s="3161"/>
      <c r="KPE44" s="3161"/>
      <c r="KPF44" s="3161"/>
      <c r="KPG44" s="3161"/>
      <c r="KPH44" s="3161"/>
      <c r="KPI44" s="3161"/>
      <c r="KPJ44" s="3161"/>
      <c r="KPK44" s="3161"/>
      <c r="KPL44" s="3161"/>
      <c r="KPM44" s="3161"/>
      <c r="KPN44" s="3161"/>
      <c r="KPO44" s="3161"/>
      <c r="KPP44" s="3161"/>
      <c r="KPQ44" s="3161"/>
      <c r="KPR44" s="3161"/>
      <c r="KPS44" s="3161"/>
      <c r="KPT44" s="3161"/>
      <c r="KPU44" s="3161"/>
      <c r="KPV44" s="3161"/>
      <c r="KPW44" s="3161"/>
      <c r="KPX44" s="3161"/>
      <c r="KPY44" s="3161"/>
      <c r="KPZ44" s="3161"/>
      <c r="KQA44" s="3161"/>
      <c r="KQB44" s="3161"/>
      <c r="KQC44" s="3161"/>
      <c r="KQD44" s="3161"/>
      <c r="KQE44" s="3161"/>
      <c r="KQF44" s="3161"/>
      <c r="KQG44" s="3161"/>
      <c r="KQH44" s="3161"/>
      <c r="KQI44" s="3161"/>
      <c r="KQJ44" s="3161"/>
      <c r="KQK44" s="3161"/>
      <c r="KQL44" s="3161"/>
      <c r="KQM44" s="3161"/>
      <c r="KQN44" s="3161"/>
      <c r="KQO44" s="3161"/>
      <c r="KQP44" s="3161"/>
      <c r="KQQ44" s="3161"/>
      <c r="KQR44" s="3161"/>
      <c r="KQS44" s="3161"/>
      <c r="KQT44" s="3161"/>
      <c r="KQU44" s="3161"/>
      <c r="KQV44" s="3161"/>
      <c r="KQW44" s="3161"/>
      <c r="KQX44" s="3161"/>
      <c r="KQY44" s="3161"/>
      <c r="KQZ44" s="3161"/>
      <c r="KRA44" s="3161"/>
      <c r="KRB44" s="3161"/>
      <c r="KRC44" s="3161"/>
      <c r="KRD44" s="3161"/>
      <c r="KRE44" s="3161"/>
      <c r="KRF44" s="3161"/>
      <c r="KRG44" s="3161"/>
      <c r="KRH44" s="3161"/>
      <c r="KRI44" s="3161"/>
      <c r="KRJ44" s="3161"/>
      <c r="KRK44" s="3161"/>
      <c r="KRL44" s="3161"/>
      <c r="KRM44" s="3161"/>
      <c r="KRN44" s="3161"/>
      <c r="KRO44" s="3161"/>
      <c r="KRP44" s="3161"/>
      <c r="KRQ44" s="3161"/>
      <c r="KRR44" s="3161"/>
      <c r="KRS44" s="3161"/>
      <c r="KRT44" s="3161"/>
      <c r="KRU44" s="3161"/>
      <c r="KRV44" s="3161"/>
      <c r="KRW44" s="3161"/>
      <c r="KRX44" s="3161"/>
      <c r="KRY44" s="3161"/>
      <c r="KRZ44" s="3161"/>
      <c r="KSA44" s="3161"/>
      <c r="KSB44" s="3161"/>
      <c r="KSC44" s="3161"/>
      <c r="KSD44" s="3161"/>
      <c r="KSE44" s="3161"/>
      <c r="KSF44" s="3161"/>
      <c r="KSG44" s="3161"/>
      <c r="KSH44" s="3161"/>
      <c r="KSI44" s="3161"/>
      <c r="KSJ44" s="3161"/>
      <c r="KSK44" s="3161"/>
      <c r="KSL44" s="3161"/>
      <c r="KSM44" s="3161"/>
      <c r="KSN44" s="3161"/>
      <c r="KSO44" s="3161"/>
      <c r="KSP44" s="3161"/>
      <c r="KSQ44" s="3161"/>
      <c r="KSR44" s="3161"/>
      <c r="KSS44" s="3161"/>
      <c r="KST44" s="3161"/>
      <c r="KSU44" s="3161"/>
      <c r="KSV44" s="3161"/>
      <c r="KSW44" s="3161"/>
      <c r="KSX44" s="3161"/>
      <c r="KSY44" s="3161"/>
      <c r="KSZ44" s="3161"/>
      <c r="KTA44" s="3161"/>
      <c r="KTB44" s="3161"/>
      <c r="KTC44" s="3161"/>
      <c r="KTD44" s="3161"/>
      <c r="KTE44" s="3161"/>
      <c r="KTF44" s="3161"/>
      <c r="KTG44" s="3161"/>
      <c r="KTH44" s="3161"/>
      <c r="KTI44" s="3161"/>
      <c r="KTJ44" s="3161"/>
      <c r="KTK44" s="3161"/>
      <c r="KTL44" s="3161"/>
      <c r="KTM44" s="3161"/>
      <c r="KTN44" s="3161"/>
      <c r="KTO44" s="3161"/>
      <c r="KTP44" s="3161"/>
      <c r="KTQ44" s="3161"/>
      <c r="KTR44" s="3161"/>
      <c r="KTS44" s="3161"/>
      <c r="KTT44" s="3161"/>
      <c r="KTU44" s="3161"/>
      <c r="KTV44" s="3161"/>
      <c r="KTW44" s="3161"/>
      <c r="KTX44" s="3161"/>
      <c r="KTY44" s="3161"/>
      <c r="KTZ44" s="3161"/>
      <c r="KUA44" s="3161"/>
      <c r="KUB44" s="3161"/>
      <c r="KUC44" s="3161"/>
      <c r="KUD44" s="3161"/>
      <c r="KUE44" s="3161"/>
      <c r="KUF44" s="3161"/>
      <c r="KUG44" s="3161"/>
      <c r="KUH44" s="3161"/>
      <c r="KUI44" s="3161"/>
      <c r="KUJ44" s="3161"/>
      <c r="KUK44" s="3161"/>
      <c r="KUL44" s="3161"/>
      <c r="KUM44" s="3161"/>
      <c r="KUN44" s="3161"/>
      <c r="KUO44" s="3161"/>
      <c r="KUP44" s="3161"/>
      <c r="KUQ44" s="3161"/>
      <c r="KUR44" s="3161"/>
      <c r="KUS44" s="3161"/>
      <c r="KUT44" s="3161"/>
      <c r="KUU44" s="3161"/>
      <c r="KUV44" s="3161"/>
      <c r="KUW44" s="3161"/>
      <c r="KUX44" s="3161"/>
      <c r="KUY44" s="3161"/>
      <c r="KUZ44" s="3161"/>
      <c r="KVA44" s="3161"/>
      <c r="KVB44" s="3161"/>
      <c r="KVC44" s="3161"/>
      <c r="KVD44" s="3161"/>
      <c r="KVE44" s="3161"/>
      <c r="KVF44" s="3161"/>
      <c r="KVG44" s="3161"/>
      <c r="KVH44" s="3161"/>
      <c r="KVI44" s="3161"/>
      <c r="KVJ44" s="3161"/>
      <c r="KVK44" s="3161"/>
      <c r="KVL44" s="3161"/>
      <c r="KVM44" s="3161"/>
      <c r="KVN44" s="3161"/>
      <c r="KVO44" s="3161"/>
      <c r="KVP44" s="3161"/>
      <c r="KVQ44" s="3161"/>
      <c r="KVR44" s="3161"/>
      <c r="KVS44" s="3161"/>
      <c r="KVT44" s="3161"/>
      <c r="KVU44" s="3161"/>
      <c r="KVV44" s="3161"/>
      <c r="KVW44" s="3161"/>
      <c r="KVX44" s="3161"/>
      <c r="KVY44" s="3161"/>
      <c r="KVZ44" s="3161"/>
      <c r="KWA44" s="3161"/>
      <c r="KWB44" s="3161"/>
      <c r="KWC44" s="3161"/>
      <c r="KWD44" s="3161"/>
      <c r="KWE44" s="3161"/>
      <c r="KWF44" s="3161"/>
      <c r="KWG44" s="3161"/>
      <c r="KWH44" s="3161"/>
      <c r="KWI44" s="3161"/>
      <c r="KWJ44" s="3161"/>
      <c r="KWK44" s="3161"/>
      <c r="KWL44" s="3161"/>
      <c r="KWM44" s="3161"/>
      <c r="KWN44" s="3161"/>
      <c r="KWO44" s="3161"/>
      <c r="KWP44" s="3161"/>
      <c r="KWQ44" s="3161"/>
      <c r="KWR44" s="3161"/>
      <c r="KWS44" s="3161"/>
      <c r="KWT44" s="3161"/>
      <c r="KWU44" s="3161"/>
      <c r="KWV44" s="3161"/>
      <c r="KWW44" s="3161"/>
      <c r="KWX44" s="3161"/>
      <c r="KWY44" s="3161"/>
      <c r="KWZ44" s="3161"/>
      <c r="KXA44" s="3161"/>
      <c r="KXB44" s="3161"/>
      <c r="KXC44" s="3161"/>
      <c r="KXD44" s="3161"/>
      <c r="KXE44" s="3161"/>
      <c r="KXF44" s="3161"/>
      <c r="KXG44" s="3161"/>
      <c r="KXH44" s="3161"/>
      <c r="KXI44" s="3161"/>
      <c r="KXJ44" s="3161"/>
      <c r="KXK44" s="3161"/>
      <c r="KXL44" s="3161"/>
      <c r="KXM44" s="3161"/>
      <c r="KXN44" s="3161"/>
      <c r="KXO44" s="3161"/>
      <c r="KXP44" s="3161"/>
      <c r="KXQ44" s="3161"/>
      <c r="KXR44" s="3161"/>
      <c r="KXS44" s="3161"/>
      <c r="KXT44" s="3161"/>
      <c r="KXU44" s="3161"/>
      <c r="KXV44" s="3161"/>
      <c r="KXW44" s="3161"/>
      <c r="KXX44" s="3161"/>
      <c r="KXY44" s="3161"/>
      <c r="KXZ44" s="3161"/>
      <c r="KYA44" s="3161"/>
      <c r="KYB44" s="3161"/>
      <c r="KYC44" s="3161"/>
      <c r="KYD44" s="3161"/>
      <c r="KYE44" s="3161"/>
      <c r="KYF44" s="3161"/>
      <c r="KYG44" s="3161"/>
      <c r="KYH44" s="3161"/>
      <c r="KYI44" s="3161"/>
      <c r="KYJ44" s="3161"/>
      <c r="KYK44" s="3161"/>
      <c r="KYL44" s="3161"/>
      <c r="KYM44" s="3161"/>
      <c r="KYN44" s="3161"/>
      <c r="KYO44" s="3161"/>
      <c r="KYP44" s="3161"/>
      <c r="KYQ44" s="3161"/>
      <c r="KYR44" s="3161"/>
      <c r="KYS44" s="3161"/>
      <c r="KYT44" s="3161"/>
      <c r="KYU44" s="3161"/>
      <c r="KYV44" s="3161"/>
      <c r="KYW44" s="3161"/>
      <c r="KYX44" s="3161"/>
      <c r="KYY44" s="3161"/>
      <c r="KYZ44" s="3161"/>
      <c r="KZA44" s="3161"/>
      <c r="KZB44" s="3161"/>
      <c r="KZC44" s="3161"/>
      <c r="KZD44" s="3161"/>
      <c r="KZE44" s="3161"/>
      <c r="KZF44" s="3161"/>
      <c r="KZG44" s="3161"/>
      <c r="KZH44" s="3161"/>
      <c r="KZI44" s="3161"/>
      <c r="KZJ44" s="3161"/>
      <c r="KZK44" s="3161"/>
      <c r="KZL44" s="3161"/>
      <c r="KZM44" s="3161"/>
      <c r="KZN44" s="3161"/>
      <c r="KZO44" s="3161"/>
      <c r="KZP44" s="3161"/>
      <c r="KZQ44" s="3161"/>
      <c r="KZR44" s="3161"/>
      <c r="KZS44" s="3161"/>
      <c r="KZT44" s="3161"/>
      <c r="KZU44" s="3161"/>
      <c r="KZV44" s="3161"/>
      <c r="KZW44" s="3161"/>
      <c r="KZX44" s="3161"/>
      <c r="KZY44" s="3161"/>
      <c r="KZZ44" s="3161"/>
      <c r="LAA44" s="3161"/>
      <c r="LAB44" s="3161"/>
      <c r="LAC44" s="3161"/>
      <c r="LAD44" s="3161"/>
      <c r="LAE44" s="3161"/>
      <c r="LAF44" s="3161"/>
      <c r="LAG44" s="3161"/>
      <c r="LAH44" s="3161"/>
      <c r="LAI44" s="3161"/>
      <c r="LAJ44" s="3161"/>
      <c r="LAK44" s="3161"/>
      <c r="LAL44" s="3161"/>
      <c r="LAM44" s="3161"/>
      <c r="LAN44" s="3161"/>
      <c r="LAO44" s="3161"/>
      <c r="LAP44" s="3161"/>
      <c r="LAQ44" s="3161"/>
      <c r="LAR44" s="3161"/>
      <c r="LAS44" s="3161"/>
      <c r="LAT44" s="3161"/>
      <c r="LAU44" s="3161"/>
      <c r="LAV44" s="3161"/>
      <c r="LAW44" s="3161"/>
      <c r="LAX44" s="3161"/>
      <c r="LAY44" s="3161"/>
      <c r="LAZ44" s="3161"/>
      <c r="LBA44" s="3161"/>
      <c r="LBB44" s="3161"/>
      <c r="LBC44" s="3161"/>
      <c r="LBD44" s="3161"/>
      <c r="LBE44" s="3161"/>
      <c r="LBF44" s="3161"/>
      <c r="LBG44" s="3161"/>
      <c r="LBH44" s="3161"/>
      <c r="LBI44" s="3161"/>
      <c r="LBJ44" s="3161"/>
      <c r="LBK44" s="3161"/>
      <c r="LBL44" s="3161"/>
      <c r="LBM44" s="3161"/>
      <c r="LBN44" s="3161"/>
      <c r="LBO44" s="3161"/>
      <c r="LBP44" s="3161"/>
      <c r="LBQ44" s="3161"/>
      <c r="LBR44" s="3161"/>
      <c r="LBS44" s="3161"/>
      <c r="LBT44" s="3161"/>
      <c r="LBU44" s="3161"/>
      <c r="LBV44" s="3161"/>
      <c r="LBW44" s="3161"/>
      <c r="LBX44" s="3161"/>
      <c r="LBY44" s="3161"/>
      <c r="LBZ44" s="3161"/>
      <c r="LCA44" s="3161"/>
      <c r="LCB44" s="3161"/>
      <c r="LCC44" s="3161"/>
      <c r="LCD44" s="3161"/>
      <c r="LCE44" s="3161"/>
      <c r="LCF44" s="3161"/>
      <c r="LCG44" s="3161"/>
      <c r="LCH44" s="3161"/>
      <c r="LCI44" s="3161"/>
      <c r="LCJ44" s="3161"/>
      <c r="LCK44" s="3161"/>
      <c r="LCL44" s="3161"/>
      <c r="LCM44" s="3161"/>
      <c r="LCN44" s="3161"/>
      <c r="LCO44" s="3161"/>
      <c r="LCP44" s="3161"/>
      <c r="LCQ44" s="3161"/>
      <c r="LCR44" s="3161"/>
      <c r="LCS44" s="3161"/>
      <c r="LCT44" s="3161"/>
      <c r="LCU44" s="3161"/>
      <c r="LCV44" s="3161"/>
      <c r="LCW44" s="3161"/>
      <c r="LCX44" s="3161"/>
      <c r="LCY44" s="3161"/>
      <c r="LCZ44" s="3161"/>
      <c r="LDA44" s="3161"/>
      <c r="LDB44" s="3161"/>
      <c r="LDC44" s="3161"/>
      <c r="LDD44" s="3161"/>
      <c r="LDE44" s="3161"/>
      <c r="LDF44" s="3161"/>
      <c r="LDG44" s="3161"/>
      <c r="LDH44" s="3161"/>
      <c r="LDI44" s="3161"/>
      <c r="LDJ44" s="3161"/>
      <c r="LDK44" s="3161"/>
      <c r="LDL44" s="3161"/>
      <c r="LDM44" s="3161"/>
      <c r="LDN44" s="3161"/>
      <c r="LDO44" s="3161"/>
      <c r="LDP44" s="3161"/>
      <c r="LDQ44" s="3161"/>
      <c r="LDR44" s="3161"/>
      <c r="LDS44" s="3161"/>
      <c r="LDT44" s="3161"/>
      <c r="LDU44" s="3161"/>
      <c r="LDV44" s="3161"/>
      <c r="LDW44" s="3161"/>
      <c r="LDX44" s="3161"/>
      <c r="LDY44" s="3161"/>
      <c r="LDZ44" s="3161"/>
      <c r="LEA44" s="3161"/>
      <c r="LEB44" s="3161"/>
      <c r="LEC44" s="3161"/>
      <c r="LED44" s="3161"/>
      <c r="LEE44" s="3161"/>
      <c r="LEF44" s="3161"/>
      <c r="LEG44" s="3161"/>
      <c r="LEH44" s="3161"/>
      <c r="LEI44" s="3161"/>
      <c r="LEJ44" s="3161"/>
      <c r="LEK44" s="3161"/>
      <c r="LEL44" s="3161"/>
      <c r="LEM44" s="3161"/>
      <c r="LEN44" s="3161"/>
      <c r="LEO44" s="3161"/>
      <c r="LEP44" s="3161"/>
      <c r="LEQ44" s="3161"/>
      <c r="LER44" s="3161"/>
      <c r="LES44" s="3161"/>
      <c r="LET44" s="3161"/>
      <c r="LEU44" s="3161"/>
      <c r="LEV44" s="3161"/>
      <c r="LEW44" s="3161"/>
      <c r="LEX44" s="3161"/>
      <c r="LEY44" s="3161"/>
      <c r="LEZ44" s="3161"/>
      <c r="LFA44" s="3161"/>
      <c r="LFB44" s="3161"/>
      <c r="LFC44" s="3161"/>
      <c r="LFD44" s="3161"/>
      <c r="LFE44" s="3161"/>
      <c r="LFF44" s="3161"/>
      <c r="LFG44" s="3161"/>
      <c r="LFH44" s="3161"/>
      <c r="LFI44" s="3161"/>
      <c r="LFJ44" s="3161"/>
      <c r="LFK44" s="3161"/>
      <c r="LFL44" s="3161"/>
      <c r="LFM44" s="3161"/>
      <c r="LFN44" s="3161"/>
      <c r="LFO44" s="3161"/>
      <c r="LFP44" s="3161"/>
      <c r="LFQ44" s="3161"/>
      <c r="LFR44" s="3161"/>
      <c r="LFS44" s="3161"/>
      <c r="LFT44" s="3161"/>
      <c r="LFU44" s="3161"/>
      <c r="LFV44" s="3161"/>
      <c r="LFW44" s="3161"/>
      <c r="LFX44" s="3161"/>
      <c r="LFY44" s="3161"/>
      <c r="LFZ44" s="3161"/>
      <c r="LGA44" s="3161"/>
      <c r="LGB44" s="3161"/>
      <c r="LGC44" s="3161"/>
      <c r="LGD44" s="3161"/>
      <c r="LGE44" s="3161"/>
      <c r="LGF44" s="3161"/>
      <c r="LGG44" s="3161"/>
      <c r="LGH44" s="3161"/>
      <c r="LGI44" s="3161"/>
      <c r="LGJ44" s="3161"/>
      <c r="LGK44" s="3161"/>
      <c r="LGL44" s="3161"/>
      <c r="LGM44" s="3161"/>
      <c r="LGN44" s="3161"/>
      <c r="LGO44" s="3161"/>
      <c r="LGP44" s="3161"/>
      <c r="LGQ44" s="3161"/>
      <c r="LGR44" s="3161"/>
      <c r="LGS44" s="3161"/>
      <c r="LGT44" s="3161"/>
      <c r="LGU44" s="3161"/>
      <c r="LGV44" s="3161"/>
      <c r="LGW44" s="3161"/>
      <c r="LGX44" s="3161"/>
      <c r="LGY44" s="3161"/>
      <c r="LGZ44" s="3161"/>
      <c r="LHA44" s="3161"/>
      <c r="LHB44" s="3161"/>
      <c r="LHC44" s="3161"/>
      <c r="LHD44" s="3161"/>
      <c r="LHE44" s="3161"/>
      <c r="LHF44" s="3161"/>
      <c r="LHG44" s="3161"/>
      <c r="LHH44" s="3161"/>
      <c r="LHI44" s="3161"/>
      <c r="LHJ44" s="3161"/>
      <c r="LHK44" s="3161"/>
      <c r="LHL44" s="3161"/>
      <c r="LHM44" s="3161"/>
      <c r="LHN44" s="3161"/>
      <c r="LHO44" s="3161"/>
      <c r="LHP44" s="3161"/>
      <c r="LHQ44" s="3161"/>
      <c r="LHR44" s="3161"/>
      <c r="LHS44" s="3161"/>
      <c r="LHT44" s="3161"/>
      <c r="LHU44" s="3161"/>
      <c r="LHV44" s="3161"/>
      <c r="LHW44" s="3161"/>
      <c r="LHX44" s="3161"/>
      <c r="LHY44" s="3161"/>
      <c r="LHZ44" s="3161"/>
      <c r="LIA44" s="3161"/>
      <c r="LIB44" s="3161"/>
      <c r="LIC44" s="3161"/>
      <c r="LID44" s="3161"/>
      <c r="LIE44" s="3161"/>
      <c r="LIF44" s="3161"/>
      <c r="LIG44" s="3161"/>
      <c r="LIH44" s="3161"/>
      <c r="LII44" s="3161"/>
      <c r="LIJ44" s="3161"/>
      <c r="LIK44" s="3161"/>
      <c r="LIL44" s="3161"/>
      <c r="LIM44" s="3161"/>
      <c r="LIN44" s="3161"/>
      <c r="LIO44" s="3161"/>
      <c r="LIP44" s="3161"/>
      <c r="LIQ44" s="3161"/>
      <c r="LIR44" s="3161"/>
      <c r="LIS44" s="3161"/>
      <c r="LIT44" s="3161"/>
      <c r="LIU44" s="3161"/>
      <c r="LIV44" s="3161"/>
      <c r="LIW44" s="3161"/>
      <c r="LIX44" s="3161"/>
      <c r="LIY44" s="3161"/>
      <c r="LIZ44" s="3161"/>
      <c r="LJA44" s="3161"/>
      <c r="LJB44" s="3161"/>
      <c r="LJC44" s="3161"/>
      <c r="LJD44" s="3161"/>
      <c r="LJE44" s="3161"/>
      <c r="LJF44" s="3161"/>
      <c r="LJG44" s="3161"/>
      <c r="LJH44" s="3161"/>
      <c r="LJI44" s="3161"/>
      <c r="LJJ44" s="3161"/>
      <c r="LJK44" s="3161"/>
      <c r="LJL44" s="3161"/>
      <c r="LJM44" s="3161"/>
      <c r="LJN44" s="3161"/>
      <c r="LJO44" s="3161"/>
      <c r="LJP44" s="3161"/>
      <c r="LJQ44" s="3161"/>
      <c r="LJR44" s="3161"/>
      <c r="LJS44" s="3161"/>
      <c r="LJT44" s="3161"/>
      <c r="LJU44" s="3161"/>
      <c r="LJV44" s="3161"/>
      <c r="LJW44" s="3161"/>
      <c r="LJX44" s="3161"/>
      <c r="LJY44" s="3161"/>
      <c r="LJZ44" s="3161"/>
      <c r="LKA44" s="3161"/>
      <c r="LKB44" s="3161"/>
      <c r="LKC44" s="3161"/>
      <c r="LKD44" s="3161"/>
      <c r="LKE44" s="3161"/>
      <c r="LKF44" s="3161"/>
      <c r="LKG44" s="3161"/>
      <c r="LKH44" s="3161"/>
      <c r="LKI44" s="3161"/>
      <c r="LKJ44" s="3161"/>
      <c r="LKK44" s="3161"/>
      <c r="LKL44" s="3161"/>
      <c r="LKM44" s="3161"/>
      <c r="LKN44" s="3161"/>
      <c r="LKO44" s="3161"/>
      <c r="LKP44" s="3161"/>
      <c r="LKQ44" s="3161"/>
      <c r="LKR44" s="3161"/>
      <c r="LKS44" s="3161"/>
      <c r="LKT44" s="3161"/>
      <c r="LKU44" s="3161"/>
      <c r="LKV44" s="3161"/>
      <c r="LKW44" s="3161"/>
      <c r="LKX44" s="3161"/>
      <c r="LKY44" s="3161"/>
      <c r="LKZ44" s="3161"/>
      <c r="LLA44" s="3161"/>
      <c r="LLB44" s="3161"/>
      <c r="LLC44" s="3161"/>
      <c r="LLD44" s="3161"/>
      <c r="LLE44" s="3161"/>
      <c r="LLF44" s="3161"/>
      <c r="LLG44" s="3161"/>
      <c r="LLH44" s="3161"/>
      <c r="LLI44" s="3161"/>
      <c r="LLJ44" s="3161"/>
      <c r="LLK44" s="3161"/>
      <c r="LLL44" s="3161"/>
      <c r="LLM44" s="3161"/>
      <c r="LLN44" s="3161"/>
      <c r="LLO44" s="3161"/>
      <c r="LLP44" s="3161"/>
      <c r="LLQ44" s="3161"/>
      <c r="LLR44" s="3161"/>
      <c r="LLS44" s="3161"/>
      <c r="LLT44" s="3161"/>
      <c r="LLU44" s="3161"/>
      <c r="LLV44" s="3161"/>
      <c r="LLW44" s="3161"/>
      <c r="LLX44" s="3161"/>
      <c r="LLY44" s="3161"/>
      <c r="LLZ44" s="3161"/>
      <c r="LMA44" s="3161"/>
      <c r="LMB44" s="3161"/>
      <c r="LMC44" s="3161"/>
      <c r="LMD44" s="3161"/>
      <c r="LME44" s="3161"/>
      <c r="LMF44" s="3161"/>
      <c r="LMG44" s="3161"/>
      <c r="LMH44" s="3161"/>
      <c r="LMI44" s="3161"/>
      <c r="LMJ44" s="3161"/>
      <c r="LMK44" s="3161"/>
      <c r="LML44" s="3161"/>
      <c r="LMM44" s="3161"/>
      <c r="LMN44" s="3161"/>
      <c r="LMO44" s="3161"/>
      <c r="LMP44" s="3161"/>
      <c r="LMQ44" s="3161"/>
      <c r="LMR44" s="3161"/>
      <c r="LMS44" s="3161"/>
      <c r="LMT44" s="3161"/>
      <c r="LMU44" s="3161"/>
      <c r="LMV44" s="3161"/>
      <c r="LMW44" s="3161"/>
      <c r="LMX44" s="3161"/>
      <c r="LMY44" s="3161"/>
      <c r="LMZ44" s="3161"/>
      <c r="LNA44" s="3161"/>
      <c r="LNB44" s="3161"/>
      <c r="LNC44" s="3161"/>
      <c r="LND44" s="3161"/>
      <c r="LNE44" s="3161"/>
      <c r="LNF44" s="3161"/>
      <c r="LNG44" s="3161"/>
      <c r="LNH44" s="3161"/>
      <c r="LNI44" s="3161"/>
      <c r="LNJ44" s="3161"/>
      <c r="LNK44" s="3161"/>
      <c r="LNL44" s="3161"/>
      <c r="LNM44" s="3161"/>
      <c r="LNN44" s="3161"/>
      <c r="LNO44" s="3161"/>
      <c r="LNP44" s="3161"/>
      <c r="LNQ44" s="3161"/>
      <c r="LNR44" s="3161"/>
      <c r="LNS44" s="3161"/>
      <c r="LNT44" s="3161"/>
      <c r="LNU44" s="3161"/>
      <c r="LNV44" s="3161"/>
      <c r="LNW44" s="3161"/>
      <c r="LNX44" s="3161"/>
      <c r="LNY44" s="3161"/>
      <c r="LNZ44" s="3161"/>
      <c r="LOA44" s="3161"/>
      <c r="LOB44" s="3161"/>
      <c r="LOC44" s="3161"/>
      <c r="LOD44" s="3161"/>
      <c r="LOE44" s="3161"/>
      <c r="LOF44" s="3161"/>
      <c r="LOG44" s="3161"/>
      <c r="LOH44" s="3161"/>
      <c r="LOI44" s="3161"/>
      <c r="LOJ44" s="3161"/>
      <c r="LOK44" s="3161"/>
      <c r="LOL44" s="3161"/>
      <c r="LOM44" s="3161"/>
      <c r="LON44" s="3161"/>
      <c r="LOO44" s="3161"/>
      <c r="LOP44" s="3161"/>
      <c r="LOQ44" s="3161"/>
      <c r="LOR44" s="3161"/>
      <c r="LOS44" s="3161"/>
      <c r="LOT44" s="3161"/>
      <c r="LOU44" s="3161"/>
      <c r="LOV44" s="3161"/>
      <c r="LOW44" s="3161"/>
      <c r="LOX44" s="3161"/>
      <c r="LOY44" s="3161"/>
      <c r="LOZ44" s="3161"/>
      <c r="LPA44" s="3161"/>
      <c r="LPB44" s="3161"/>
      <c r="LPC44" s="3161"/>
      <c r="LPD44" s="3161"/>
      <c r="LPE44" s="3161"/>
      <c r="LPF44" s="3161"/>
      <c r="LPG44" s="3161"/>
      <c r="LPH44" s="3161"/>
      <c r="LPI44" s="3161"/>
      <c r="LPJ44" s="3161"/>
      <c r="LPK44" s="3161"/>
      <c r="LPL44" s="3161"/>
      <c r="LPM44" s="3161"/>
      <c r="LPN44" s="3161"/>
      <c r="LPO44" s="3161"/>
      <c r="LPP44" s="3161"/>
      <c r="LPQ44" s="3161"/>
      <c r="LPR44" s="3161"/>
      <c r="LPS44" s="3161"/>
      <c r="LPT44" s="3161"/>
      <c r="LPU44" s="3161"/>
      <c r="LPV44" s="3161"/>
      <c r="LPW44" s="3161"/>
      <c r="LPX44" s="3161"/>
      <c r="LPY44" s="3161"/>
      <c r="LPZ44" s="3161"/>
      <c r="LQA44" s="3161"/>
      <c r="LQB44" s="3161"/>
      <c r="LQC44" s="3161"/>
      <c r="LQD44" s="3161"/>
      <c r="LQE44" s="3161"/>
      <c r="LQF44" s="3161"/>
      <c r="LQG44" s="3161"/>
      <c r="LQH44" s="3161"/>
      <c r="LQI44" s="3161"/>
      <c r="LQJ44" s="3161"/>
      <c r="LQK44" s="3161"/>
      <c r="LQL44" s="3161"/>
      <c r="LQM44" s="3161"/>
      <c r="LQN44" s="3161"/>
      <c r="LQO44" s="3161"/>
      <c r="LQP44" s="3161"/>
      <c r="LQQ44" s="3161"/>
      <c r="LQR44" s="3161"/>
      <c r="LQS44" s="3161"/>
      <c r="LQT44" s="3161"/>
      <c r="LQU44" s="3161"/>
      <c r="LQV44" s="3161"/>
      <c r="LQW44" s="3161"/>
      <c r="LQX44" s="3161"/>
      <c r="LQY44" s="3161"/>
      <c r="LQZ44" s="3161"/>
      <c r="LRA44" s="3161"/>
      <c r="LRB44" s="3161"/>
      <c r="LRC44" s="3161"/>
      <c r="LRD44" s="3161"/>
      <c r="LRE44" s="3161"/>
      <c r="LRF44" s="3161"/>
      <c r="LRG44" s="3161"/>
      <c r="LRH44" s="3161"/>
      <c r="LRI44" s="3161"/>
      <c r="LRJ44" s="3161"/>
      <c r="LRK44" s="3161"/>
      <c r="LRL44" s="3161"/>
      <c r="LRM44" s="3161"/>
      <c r="LRN44" s="3161"/>
      <c r="LRO44" s="3161"/>
      <c r="LRP44" s="3161"/>
      <c r="LRQ44" s="3161"/>
      <c r="LRR44" s="3161"/>
      <c r="LRS44" s="3161"/>
      <c r="LRT44" s="3161"/>
      <c r="LRU44" s="3161"/>
      <c r="LRV44" s="3161"/>
      <c r="LRW44" s="3161"/>
      <c r="LRX44" s="3161"/>
      <c r="LRY44" s="3161"/>
      <c r="LRZ44" s="3161"/>
      <c r="LSA44" s="3161"/>
      <c r="LSB44" s="3161"/>
      <c r="LSC44" s="3161"/>
      <c r="LSD44" s="3161"/>
      <c r="LSE44" s="3161"/>
      <c r="LSF44" s="3161"/>
      <c r="LSG44" s="3161"/>
      <c r="LSH44" s="3161"/>
      <c r="LSI44" s="3161"/>
      <c r="LSJ44" s="3161"/>
      <c r="LSK44" s="3161"/>
      <c r="LSL44" s="3161"/>
      <c r="LSM44" s="3161"/>
      <c r="LSN44" s="3161"/>
      <c r="LSO44" s="3161"/>
      <c r="LSP44" s="3161"/>
      <c r="LSQ44" s="3161"/>
      <c r="LSR44" s="3161"/>
      <c r="LSS44" s="3161"/>
      <c r="LST44" s="3161"/>
      <c r="LSU44" s="3161"/>
      <c r="LSV44" s="3161"/>
      <c r="LSW44" s="3161"/>
      <c r="LSX44" s="3161"/>
      <c r="LSY44" s="3161"/>
      <c r="LSZ44" s="3161"/>
      <c r="LTA44" s="3161"/>
      <c r="LTB44" s="3161"/>
      <c r="LTC44" s="3161"/>
      <c r="LTD44" s="3161"/>
      <c r="LTE44" s="3161"/>
      <c r="LTF44" s="3161"/>
      <c r="LTG44" s="3161"/>
      <c r="LTH44" s="3161"/>
      <c r="LTI44" s="3161"/>
      <c r="LTJ44" s="3161"/>
      <c r="LTK44" s="3161"/>
      <c r="LTL44" s="3161"/>
      <c r="LTM44" s="3161"/>
      <c r="LTN44" s="3161"/>
      <c r="LTO44" s="3161"/>
      <c r="LTP44" s="3161"/>
      <c r="LTQ44" s="3161"/>
      <c r="LTR44" s="3161"/>
      <c r="LTS44" s="3161"/>
      <c r="LTT44" s="3161"/>
      <c r="LTU44" s="3161"/>
      <c r="LTV44" s="3161"/>
      <c r="LTW44" s="3161"/>
      <c r="LTX44" s="3161"/>
      <c r="LTY44" s="3161"/>
      <c r="LTZ44" s="3161"/>
      <c r="LUA44" s="3161"/>
      <c r="LUB44" s="3161"/>
      <c r="LUC44" s="3161"/>
      <c r="LUD44" s="3161"/>
      <c r="LUE44" s="3161"/>
      <c r="LUF44" s="3161"/>
      <c r="LUG44" s="3161"/>
      <c r="LUH44" s="3161"/>
      <c r="LUI44" s="3161"/>
      <c r="LUJ44" s="3161"/>
      <c r="LUK44" s="3161"/>
      <c r="LUL44" s="3161"/>
      <c r="LUM44" s="3161"/>
      <c r="LUN44" s="3161"/>
      <c r="LUO44" s="3161"/>
      <c r="LUP44" s="3161"/>
      <c r="LUQ44" s="3161"/>
      <c r="LUR44" s="3161"/>
      <c r="LUS44" s="3161"/>
      <c r="LUT44" s="3161"/>
      <c r="LUU44" s="3161"/>
      <c r="LUV44" s="3161"/>
      <c r="LUW44" s="3161"/>
      <c r="LUX44" s="3161"/>
      <c r="LUY44" s="3161"/>
      <c r="LUZ44" s="3161"/>
      <c r="LVA44" s="3161"/>
      <c r="LVB44" s="3161"/>
      <c r="LVC44" s="3161"/>
      <c r="LVD44" s="3161"/>
      <c r="LVE44" s="3161"/>
      <c r="LVF44" s="3161"/>
      <c r="LVG44" s="3161"/>
      <c r="LVH44" s="3161"/>
      <c r="LVI44" s="3161"/>
      <c r="LVJ44" s="3161"/>
      <c r="LVK44" s="3161"/>
      <c r="LVL44" s="3161"/>
      <c r="LVM44" s="3161"/>
      <c r="LVN44" s="3161"/>
      <c r="LVO44" s="3161"/>
      <c r="LVP44" s="3161"/>
      <c r="LVQ44" s="3161"/>
      <c r="LVR44" s="3161"/>
      <c r="LVS44" s="3161"/>
      <c r="LVT44" s="3161"/>
      <c r="LVU44" s="3161"/>
      <c r="LVV44" s="3161"/>
      <c r="LVW44" s="3161"/>
      <c r="LVX44" s="3161"/>
      <c r="LVY44" s="3161"/>
      <c r="LVZ44" s="3161"/>
      <c r="LWA44" s="3161"/>
      <c r="LWB44" s="3161"/>
      <c r="LWC44" s="3161"/>
      <c r="LWD44" s="3161"/>
      <c r="LWE44" s="3161"/>
      <c r="LWF44" s="3161"/>
      <c r="LWG44" s="3161"/>
      <c r="LWH44" s="3161"/>
      <c r="LWI44" s="3161"/>
      <c r="LWJ44" s="3161"/>
      <c r="LWK44" s="3161"/>
      <c r="LWL44" s="3161"/>
      <c r="LWM44" s="3161"/>
      <c r="LWN44" s="3161"/>
      <c r="LWO44" s="3161"/>
      <c r="LWP44" s="3161"/>
      <c r="LWQ44" s="3161"/>
      <c r="LWR44" s="3161"/>
      <c r="LWS44" s="3161"/>
      <c r="LWT44" s="3161"/>
      <c r="LWU44" s="3161"/>
      <c r="LWV44" s="3161"/>
      <c r="LWW44" s="3161"/>
      <c r="LWX44" s="3161"/>
      <c r="LWY44" s="3161"/>
      <c r="LWZ44" s="3161"/>
      <c r="LXA44" s="3161"/>
      <c r="LXB44" s="3161"/>
      <c r="LXC44" s="3161"/>
      <c r="LXD44" s="3161"/>
      <c r="LXE44" s="3161"/>
      <c r="LXF44" s="3161"/>
      <c r="LXG44" s="3161"/>
      <c r="LXH44" s="3161"/>
      <c r="LXI44" s="3161"/>
      <c r="LXJ44" s="3161"/>
      <c r="LXK44" s="3161"/>
      <c r="LXL44" s="3161"/>
      <c r="LXM44" s="3161"/>
      <c r="LXN44" s="3161"/>
      <c r="LXO44" s="3161"/>
      <c r="LXP44" s="3161"/>
      <c r="LXQ44" s="3161"/>
      <c r="LXR44" s="3161"/>
      <c r="LXS44" s="3161"/>
      <c r="LXT44" s="3161"/>
      <c r="LXU44" s="3161"/>
      <c r="LXV44" s="3161"/>
      <c r="LXW44" s="3161"/>
      <c r="LXX44" s="3161"/>
      <c r="LXY44" s="3161"/>
      <c r="LXZ44" s="3161"/>
      <c r="LYA44" s="3161"/>
      <c r="LYB44" s="3161"/>
      <c r="LYC44" s="3161"/>
      <c r="LYD44" s="3161"/>
      <c r="LYE44" s="3161"/>
      <c r="LYF44" s="3161"/>
      <c r="LYG44" s="3161"/>
      <c r="LYH44" s="3161"/>
      <c r="LYI44" s="3161"/>
      <c r="LYJ44" s="3161"/>
      <c r="LYK44" s="3161"/>
      <c r="LYL44" s="3161"/>
      <c r="LYM44" s="3161"/>
      <c r="LYN44" s="3161"/>
      <c r="LYO44" s="3161"/>
      <c r="LYP44" s="3161"/>
      <c r="LYQ44" s="3161"/>
      <c r="LYR44" s="3161"/>
      <c r="LYS44" s="3161"/>
      <c r="LYT44" s="3161"/>
      <c r="LYU44" s="3161"/>
      <c r="LYV44" s="3161"/>
      <c r="LYW44" s="3161"/>
      <c r="LYX44" s="3161"/>
      <c r="LYY44" s="3161"/>
      <c r="LYZ44" s="3161"/>
      <c r="LZA44" s="3161"/>
      <c r="LZB44" s="3161"/>
      <c r="LZC44" s="3161"/>
      <c r="LZD44" s="3161"/>
      <c r="LZE44" s="3161"/>
      <c r="LZF44" s="3161"/>
      <c r="LZG44" s="3161"/>
      <c r="LZH44" s="3161"/>
      <c r="LZI44" s="3161"/>
      <c r="LZJ44" s="3161"/>
      <c r="LZK44" s="3161"/>
      <c r="LZL44" s="3161"/>
      <c r="LZM44" s="3161"/>
      <c r="LZN44" s="3161"/>
      <c r="LZO44" s="3161"/>
      <c r="LZP44" s="3161"/>
      <c r="LZQ44" s="3161"/>
      <c r="LZR44" s="3161"/>
      <c r="LZS44" s="3161"/>
      <c r="LZT44" s="3161"/>
      <c r="LZU44" s="3161"/>
      <c r="LZV44" s="3161"/>
      <c r="LZW44" s="3161"/>
      <c r="LZX44" s="3161"/>
      <c r="LZY44" s="3161"/>
      <c r="LZZ44" s="3161"/>
      <c r="MAA44" s="3161"/>
      <c r="MAB44" s="3161"/>
      <c r="MAC44" s="3161"/>
      <c r="MAD44" s="3161"/>
      <c r="MAE44" s="3161"/>
      <c r="MAF44" s="3161"/>
      <c r="MAG44" s="3161"/>
      <c r="MAH44" s="3161"/>
      <c r="MAI44" s="3161"/>
      <c r="MAJ44" s="3161"/>
      <c r="MAK44" s="3161"/>
      <c r="MAL44" s="3161"/>
      <c r="MAM44" s="3161"/>
      <c r="MAN44" s="3161"/>
      <c r="MAO44" s="3161"/>
      <c r="MAP44" s="3161"/>
      <c r="MAQ44" s="3161"/>
      <c r="MAR44" s="3161"/>
      <c r="MAS44" s="3161"/>
      <c r="MAT44" s="3161"/>
      <c r="MAU44" s="3161"/>
      <c r="MAV44" s="3161"/>
      <c r="MAW44" s="3161"/>
      <c r="MAX44" s="3161"/>
      <c r="MAY44" s="3161"/>
      <c r="MAZ44" s="3161"/>
      <c r="MBA44" s="3161"/>
      <c r="MBB44" s="3161"/>
      <c r="MBC44" s="3161"/>
      <c r="MBD44" s="3161"/>
      <c r="MBE44" s="3161"/>
      <c r="MBF44" s="3161"/>
      <c r="MBG44" s="3161"/>
      <c r="MBH44" s="3161"/>
      <c r="MBI44" s="3161"/>
      <c r="MBJ44" s="3161"/>
      <c r="MBK44" s="3161"/>
      <c r="MBL44" s="3161"/>
      <c r="MBM44" s="3161"/>
      <c r="MBN44" s="3161"/>
      <c r="MBO44" s="3161"/>
      <c r="MBP44" s="3161"/>
      <c r="MBQ44" s="3161"/>
      <c r="MBR44" s="3161"/>
      <c r="MBS44" s="3161"/>
      <c r="MBT44" s="3161"/>
      <c r="MBU44" s="3161"/>
      <c r="MBV44" s="3161"/>
      <c r="MBW44" s="3161"/>
      <c r="MBX44" s="3161"/>
      <c r="MBY44" s="3161"/>
      <c r="MBZ44" s="3161"/>
      <c r="MCA44" s="3161"/>
      <c r="MCB44" s="3161"/>
      <c r="MCC44" s="3161"/>
      <c r="MCD44" s="3161"/>
      <c r="MCE44" s="3161"/>
      <c r="MCF44" s="3161"/>
      <c r="MCG44" s="3161"/>
      <c r="MCH44" s="3161"/>
      <c r="MCI44" s="3161"/>
      <c r="MCJ44" s="3161"/>
      <c r="MCK44" s="3161"/>
      <c r="MCL44" s="3161"/>
      <c r="MCM44" s="3161"/>
      <c r="MCN44" s="3161"/>
      <c r="MCO44" s="3161"/>
      <c r="MCP44" s="3161"/>
      <c r="MCQ44" s="3161"/>
      <c r="MCR44" s="3161"/>
      <c r="MCS44" s="3161"/>
      <c r="MCT44" s="3161"/>
      <c r="MCU44" s="3161"/>
      <c r="MCV44" s="3161"/>
      <c r="MCW44" s="3161"/>
      <c r="MCX44" s="3161"/>
      <c r="MCY44" s="3161"/>
      <c r="MCZ44" s="3161"/>
      <c r="MDA44" s="3161"/>
      <c r="MDB44" s="3161"/>
      <c r="MDC44" s="3161"/>
      <c r="MDD44" s="3161"/>
      <c r="MDE44" s="3161"/>
      <c r="MDF44" s="3161"/>
      <c r="MDG44" s="3161"/>
      <c r="MDH44" s="3161"/>
      <c r="MDI44" s="3161"/>
      <c r="MDJ44" s="3161"/>
      <c r="MDK44" s="3161"/>
      <c r="MDL44" s="3161"/>
      <c r="MDM44" s="3161"/>
      <c r="MDN44" s="3161"/>
      <c r="MDO44" s="3161"/>
      <c r="MDP44" s="3161"/>
      <c r="MDQ44" s="3161"/>
      <c r="MDR44" s="3161"/>
      <c r="MDS44" s="3161"/>
      <c r="MDT44" s="3161"/>
      <c r="MDU44" s="3161"/>
      <c r="MDV44" s="3161"/>
      <c r="MDW44" s="3161"/>
      <c r="MDX44" s="3161"/>
      <c r="MDY44" s="3161"/>
      <c r="MDZ44" s="3161"/>
      <c r="MEA44" s="3161"/>
      <c r="MEB44" s="3161"/>
      <c r="MEC44" s="3161"/>
      <c r="MED44" s="3161"/>
      <c r="MEE44" s="3161"/>
      <c r="MEF44" s="3161"/>
      <c r="MEG44" s="3161"/>
      <c r="MEH44" s="3161"/>
      <c r="MEI44" s="3161"/>
      <c r="MEJ44" s="3161"/>
      <c r="MEK44" s="3161"/>
      <c r="MEL44" s="3161"/>
      <c r="MEM44" s="3161"/>
      <c r="MEN44" s="3161"/>
      <c r="MEO44" s="3161"/>
      <c r="MEP44" s="3161"/>
      <c r="MEQ44" s="3161"/>
      <c r="MER44" s="3161"/>
      <c r="MES44" s="3161"/>
      <c r="MET44" s="3161"/>
      <c r="MEU44" s="3161"/>
      <c r="MEV44" s="3161"/>
      <c r="MEW44" s="3161"/>
      <c r="MEX44" s="3161"/>
      <c r="MEY44" s="3161"/>
      <c r="MEZ44" s="3161"/>
      <c r="MFA44" s="3161"/>
      <c r="MFB44" s="3161"/>
      <c r="MFC44" s="3161"/>
      <c r="MFD44" s="3161"/>
      <c r="MFE44" s="3161"/>
      <c r="MFF44" s="3161"/>
      <c r="MFG44" s="3161"/>
      <c r="MFH44" s="3161"/>
      <c r="MFI44" s="3161"/>
      <c r="MFJ44" s="3161"/>
      <c r="MFK44" s="3161"/>
      <c r="MFL44" s="3161"/>
      <c r="MFM44" s="3161"/>
      <c r="MFN44" s="3161"/>
      <c r="MFO44" s="3161"/>
      <c r="MFP44" s="3161"/>
      <c r="MFQ44" s="3161"/>
      <c r="MFR44" s="3161"/>
      <c r="MFS44" s="3161"/>
      <c r="MFT44" s="3161"/>
      <c r="MFU44" s="3161"/>
      <c r="MFV44" s="3161"/>
      <c r="MFW44" s="3161"/>
      <c r="MFX44" s="3161"/>
      <c r="MFY44" s="3161"/>
      <c r="MFZ44" s="3161"/>
      <c r="MGA44" s="3161"/>
      <c r="MGB44" s="3161"/>
      <c r="MGC44" s="3161"/>
      <c r="MGD44" s="3161"/>
      <c r="MGE44" s="3161"/>
      <c r="MGF44" s="3161"/>
      <c r="MGG44" s="3161"/>
      <c r="MGH44" s="3161"/>
      <c r="MGI44" s="3161"/>
      <c r="MGJ44" s="3161"/>
      <c r="MGK44" s="3161"/>
      <c r="MGL44" s="3161"/>
      <c r="MGM44" s="3161"/>
      <c r="MGN44" s="3161"/>
      <c r="MGO44" s="3161"/>
      <c r="MGP44" s="3161"/>
      <c r="MGQ44" s="3161"/>
      <c r="MGR44" s="3161"/>
      <c r="MGS44" s="3161"/>
      <c r="MGT44" s="3161"/>
      <c r="MGU44" s="3161"/>
      <c r="MGV44" s="3161"/>
      <c r="MGW44" s="3161"/>
      <c r="MGX44" s="3161"/>
      <c r="MGY44" s="3161"/>
      <c r="MGZ44" s="3161"/>
      <c r="MHA44" s="3161"/>
      <c r="MHB44" s="3161"/>
      <c r="MHC44" s="3161"/>
      <c r="MHD44" s="3161"/>
      <c r="MHE44" s="3161"/>
      <c r="MHF44" s="3161"/>
      <c r="MHG44" s="3161"/>
      <c r="MHH44" s="3161"/>
      <c r="MHI44" s="3161"/>
      <c r="MHJ44" s="3161"/>
      <c r="MHK44" s="3161"/>
      <c r="MHL44" s="3161"/>
      <c r="MHM44" s="3161"/>
      <c r="MHN44" s="3161"/>
      <c r="MHO44" s="3161"/>
      <c r="MHP44" s="3161"/>
      <c r="MHQ44" s="3161"/>
      <c r="MHR44" s="3161"/>
      <c r="MHS44" s="3161"/>
      <c r="MHT44" s="3161"/>
      <c r="MHU44" s="3161"/>
      <c r="MHV44" s="3161"/>
      <c r="MHW44" s="3161"/>
      <c r="MHX44" s="3161"/>
      <c r="MHY44" s="3161"/>
      <c r="MHZ44" s="3161"/>
      <c r="MIA44" s="3161"/>
      <c r="MIB44" s="3161"/>
      <c r="MIC44" s="3161"/>
      <c r="MID44" s="3161"/>
      <c r="MIE44" s="3161"/>
      <c r="MIF44" s="3161"/>
      <c r="MIG44" s="3161"/>
      <c r="MIH44" s="3161"/>
      <c r="MII44" s="3161"/>
      <c r="MIJ44" s="3161"/>
      <c r="MIK44" s="3161"/>
      <c r="MIL44" s="3161"/>
      <c r="MIM44" s="3161"/>
      <c r="MIN44" s="3161"/>
      <c r="MIO44" s="3161"/>
      <c r="MIP44" s="3161"/>
      <c r="MIQ44" s="3161"/>
      <c r="MIR44" s="3161"/>
      <c r="MIS44" s="3161"/>
      <c r="MIT44" s="3161"/>
      <c r="MIU44" s="3161"/>
      <c r="MIV44" s="3161"/>
      <c r="MIW44" s="3161"/>
      <c r="MIX44" s="3161"/>
      <c r="MIY44" s="3161"/>
      <c r="MIZ44" s="3161"/>
      <c r="MJA44" s="3161"/>
      <c r="MJB44" s="3161"/>
      <c r="MJC44" s="3161"/>
      <c r="MJD44" s="3161"/>
      <c r="MJE44" s="3161"/>
      <c r="MJF44" s="3161"/>
      <c r="MJG44" s="3161"/>
      <c r="MJH44" s="3161"/>
      <c r="MJI44" s="3161"/>
      <c r="MJJ44" s="3161"/>
      <c r="MJK44" s="3161"/>
      <c r="MJL44" s="3161"/>
      <c r="MJM44" s="3161"/>
      <c r="MJN44" s="3161"/>
      <c r="MJO44" s="3161"/>
      <c r="MJP44" s="3161"/>
      <c r="MJQ44" s="3161"/>
      <c r="MJR44" s="3161"/>
      <c r="MJS44" s="3161"/>
      <c r="MJT44" s="3161"/>
      <c r="MJU44" s="3161"/>
      <c r="MJV44" s="3161"/>
      <c r="MJW44" s="3161"/>
      <c r="MJX44" s="3161"/>
      <c r="MJY44" s="3161"/>
      <c r="MJZ44" s="3161"/>
      <c r="MKA44" s="3161"/>
      <c r="MKB44" s="3161"/>
      <c r="MKC44" s="3161"/>
      <c r="MKD44" s="3161"/>
      <c r="MKE44" s="3161"/>
      <c r="MKF44" s="3161"/>
      <c r="MKG44" s="3161"/>
      <c r="MKH44" s="3161"/>
      <c r="MKI44" s="3161"/>
      <c r="MKJ44" s="3161"/>
      <c r="MKK44" s="3161"/>
      <c r="MKL44" s="3161"/>
      <c r="MKM44" s="3161"/>
      <c r="MKN44" s="3161"/>
      <c r="MKO44" s="3161"/>
      <c r="MKP44" s="3161"/>
      <c r="MKQ44" s="3161"/>
      <c r="MKR44" s="3161"/>
      <c r="MKS44" s="3161"/>
      <c r="MKT44" s="3161"/>
      <c r="MKU44" s="3161"/>
      <c r="MKV44" s="3161"/>
      <c r="MKW44" s="3161"/>
      <c r="MKX44" s="3161"/>
      <c r="MKY44" s="3161"/>
      <c r="MKZ44" s="3161"/>
      <c r="MLA44" s="3161"/>
      <c r="MLB44" s="3161"/>
      <c r="MLC44" s="3161"/>
      <c r="MLD44" s="3161"/>
      <c r="MLE44" s="3161"/>
      <c r="MLF44" s="3161"/>
      <c r="MLG44" s="3161"/>
      <c r="MLH44" s="3161"/>
      <c r="MLI44" s="3161"/>
      <c r="MLJ44" s="3161"/>
      <c r="MLK44" s="3161"/>
      <c r="MLL44" s="3161"/>
      <c r="MLM44" s="3161"/>
      <c r="MLN44" s="3161"/>
      <c r="MLO44" s="3161"/>
      <c r="MLP44" s="3161"/>
      <c r="MLQ44" s="3161"/>
      <c r="MLR44" s="3161"/>
      <c r="MLS44" s="3161"/>
      <c r="MLT44" s="3161"/>
      <c r="MLU44" s="3161"/>
      <c r="MLV44" s="3161"/>
      <c r="MLW44" s="3161"/>
      <c r="MLX44" s="3161"/>
      <c r="MLY44" s="3161"/>
      <c r="MLZ44" s="3161"/>
      <c r="MMA44" s="3161"/>
      <c r="MMB44" s="3161"/>
      <c r="MMC44" s="3161"/>
      <c r="MMD44" s="3161"/>
      <c r="MME44" s="3161"/>
      <c r="MMF44" s="3161"/>
      <c r="MMG44" s="3161"/>
      <c r="MMH44" s="3161"/>
      <c r="MMI44" s="3161"/>
      <c r="MMJ44" s="3161"/>
      <c r="MMK44" s="3161"/>
      <c r="MML44" s="3161"/>
      <c r="MMM44" s="3161"/>
      <c r="MMN44" s="3161"/>
      <c r="MMO44" s="3161"/>
      <c r="MMP44" s="3161"/>
      <c r="MMQ44" s="3161"/>
      <c r="MMR44" s="3161"/>
      <c r="MMS44" s="3161"/>
      <c r="MMT44" s="3161"/>
      <c r="MMU44" s="3161"/>
      <c r="MMV44" s="3161"/>
      <c r="MMW44" s="3161"/>
      <c r="MMX44" s="3161"/>
      <c r="MMY44" s="3161"/>
      <c r="MMZ44" s="3161"/>
      <c r="MNA44" s="3161"/>
      <c r="MNB44" s="3161"/>
      <c r="MNC44" s="3161"/>
      <c r="MND44" s="3161"/>
      <c r="MNE44" s="3161"/>
      <c r="MNF44" s="3161"/>
      <c r="MNG44" s="3161"/>
      <c r="MNH44" s="3161"/>
      <c r="MNI44" s="3161"/>
      <c r="MNJ44" s="3161"/>
      <c r="MNK44" s="3161"/>
      <c r="MNL44" s="3161"/>
      <c r="MNM44" s="3161"/>
      <c r="MNN44" s="3161"/>
      <c r="MNO44" s="3161"/>
      <c r="MNP44" s="3161"/>
      <c r="MNQ44" s="3161"/>
      <c r="MNR44" s="3161"/>
      <c r="MNS44" s="3161"/>
      <c r="MNT44" s="3161"/>
      <c r="MNU44" s="3161"/>
      <c r="MNV44" s="3161"/>
      <c r="MNW44" s="3161"/>
      <c r="MNX44" s="3161"/>
      <c r="MNY44" s="3161"/>
      <c r="MNZ44" s="3161"/>
      <c r="MOA44" s="3161"/>
      <c r="MOB44" s="3161"/>
      <c r="MOC44" s="3161"/>
      <c r="MOD44" s="3161"/>
      <c r="MOE44" s="3161"/>
      <c r="MOF44" s="3161"/>
      <c r="MOG44" s="3161"/>
      <c r="MOH44" s="3161"/>
      <c r="MOI44" s="3161"/>
      <c r="MOJ44" s="3161"/>
      <c r="MOK44" s="3161"/>
      <c r="MOL44" s="3161"/>
      <c r="MOM44" s="3161"/>
      <c r="MON44" s="3161"/>
      <c r="MOO44" s="3161"/>
      <c r="MOP44" s="3161"/>
      <c r="MOQ44" s="3161"/>
      <c r="MOR44" s="3161"/>
      <c r="MOS44" s="3161"/>
      <c r="MOT44" s="3161"/>
      <c r="MOU44" s="3161"/>
      <c r="MOV44" s="3161"/>
      <c r="MOW44" s="3161"/>
      <c r="MOX44" s="3161"/>
      <c r="MOY44" s="3161"/>
      <c r="MOZ44" s="3161"/>
      <c r="MPA44" s="3161"/>
      <c r="MPB44" s="3161"/>
      <c r="MPC44" s="3161"/>
      <c r="MPD44" s="3161"/>
      <c r="MPE44" s="3161"/>
      <c r="MPF44" s="3161"/>
      <c r="MPG44" s="3161"/>
      <c r="MPH44" s="3161"/>
      <c r="MPI44" s="3161"/>
      <c r="MPJ44" s="3161"/>
      <c r="MPK44" s="3161"/>
      <c r="MPL44" s="3161"/>
      <c r="MPM44" s="3161"/>
      <c r="MPN44" s="3161"/>
      <c r="MPO44" s="3161"/>
      <c r="MPP44" s="3161"/>
      <c r="MPQ44" s="3161"/>
      <c r="MPR44" s="3161"/>
      <c r="MPS44" s="3161"/>
      <c r="MPT44" s="3161"/>
      <c r="MPU44" s="3161"/>
      <c r="MPV44" s="3161"/>
      <c r="MPW44" s="3161"/>
      <c r="MPX44" s="3161"/>
      <c r="MPY44" s="3161"/>
      <c r="MPZ44" s="3161"/>
      <c r="MQA44" s="3161"/>
      <c r="MQB44" s="3161"/>
      <c r="MQC44" s="3161"/>
      <c r="MQD44" s="3161"/>
      <c r="MQE44" s="3161"/>
      <c r="MQF44" s="3161"/>
      <c r="MQG44" s="3161"/>
      <c r="MQH44" s="3161"/>
      <c r="MQI44" s="3161"/>
      <c r="MQJ44" s="3161"/>
      <c r="MQK44" s="3161"/>
      <c r="MQL44" s="3161"/>
      <c r="MQM44" s="3161"/>
      <c r="MQN44" s="3161"/>
      <c r="MQO44" s="3161"/>
      <c r="MQP44" s="3161"/>
      <c r="MQQ44" s="3161"/>
      <c r="MQR44" s="3161"/>
      <c r="MQS44" s="3161"/>
      <c r="MQT44" s="3161"/>
      <c r="MQU44" s="3161"/>
      <c r="MQV44" s="3161"/>
      <c r="MQW44" s="3161"/>
      <c r="MQX44" s="3161"/>
      <c r="MQY44" s="3161"/>
      <c r="MQZ44" s="3161"/>
      <c r="MRA44" s="3161"/>
      <c r="MRB44" s="3161"/>
      <c r="MRC44" s="3161"/>
      <c r="MRD44" s="3161"/>
      <c r="MRE44" s="3161"/>
      <c r="MRF44" s="3161"/>
      <c r="MRG44" s="3161"/>
      <c r="MRH44" s="3161"/>
      <c r="MRI44" s="3161"/>
      <c r="MRJ44" s="3161"/>
      <c r="MRK44" s="3161"/>
      <c r="MRL44" s="3161"/>
      <c r="MRM44" s="3161"/>
      <c r="MRN44" s="3161"/>
      <c r="MRO44" s="3161"/>
      <c r="MRP44" s="3161"/>
      <c r="MRQ44" s="3161"/>
      <c r="MRR44" s="3161"/>
      <c r="MRS44" s="3161"/>
      <c r="MRT44" s="3161"/>
      <c r="MRU44" s="3161"/>
      <c r="MRV44" s="3161"/>
      <c r="MRW44" s="3161"/>
      <c r="MRX44" s="3161"/>
      <c r="MRY44" s="3161"/>
      <c r="MRZ44" s="3161"/>
      <c r="MSA44" s="3161"/>
      <c r="MSB44" s="3161"/>
      <c r="MSC44" s="3161"/>
      <c r="MSD44" s="3161"/>
      <c r="MSE44" s="3161"/>
      <c r="MSF44" s="3161"/>
      <c r="MSG44" s="3161"/>
      <c r="MSH44" s="3161"/>
      <c r="MSI44" s="3161"/>
      <c r="MSJ44" s="3161"/>
      <c r="MSK44" s="3161"/>
      <c r="MSL44" s="3161"/>
      <c r="MSM44" s="3161"/>
      <c r="MSN44" s="3161"/>
      <c r="MSO44" s="3161"/>
      <c r="MSP44" s="3161"/>
      <c r="MSQ44" s="3161"/>
      <c r="MSR44" s="3161"/>
      <c r="MSS44" s="3161"/>
      <c r="MST44" s="3161"/>
      <c r="MSU44" s="3161"/>
      <c r="MSV44" s="3161"/>
      <c r="MSW44" s="3161"/>
      <c r="MSX44" s="3161"/>
      <c r="MSY44" s="3161"/>
      <c r="MSZ44" s="3161"/>
      <c r="MTA44" s="3161"/>
      <c r="MTB44" s="3161"/>
      <c r="MTC44" s="3161"/>
      <c r="MTD44" s="3161"/>
      <c r="MTE44" s="3161"/>
      <c r="MTF44" s="3161"/>
      <c r="MTG44" s="3161"/>
      <c r="MTH44" s="3161"/>
      <c r="MTI44" s="3161"/>
      <c r="MTJ44" s="3161"/>
      <c r="MTK44" s="3161"/>
      <c r="MTL44" s="3161"/>
      <c r="MTM44" s="3161"/>
      <c r="MTN44" s="3161"/>
      <c r="MTO44" s="3161"/>
      <c r="MTP44" s="3161"/>
      <c r="MTQ44" s="3161"/>
      <c r="MTR44" s="3161"/>
      <c r="MTS44" s="3161"/>
      <c r="MTT44" s="3161"/>
      <c r="MTU44" s="3161"/>
      <c r="MTV44" s="3161"/>
      <c r="MTW44" s="3161"/>
      <c r="MTX44" s="3161"/>
      <c r="MTY44" s="3161"/>
      <c r="MTZ44" s="3161"/>
      <c r="MUA44" s="3161"/>
      <c r="MUB44" s="3161"/>
      <c r="MUC44" s="3161"/>
      <c r="MUD44" s="3161"/>
      <c r="MUE44" s="3161"/>
      <c r="MUF44" s="3161"/>
      <c r="MUG44" s="3161"/>
      <c r="MUH44" s="3161"/>
      <c r="MUI44" s="3161"/>
      <c r="MUJ44" s="3161"/>
      <c r="MUK44" s="3161"/>
      <c r="MUL44" s="3161"/>
      <c r="MUM44" s="3161"/>
      <c r="MUN44" s="3161"/>
      <c r="MUO44" s="3161"/>
      <c r="MUP44" s="3161"/>
      <c r="MUQ44" s="3161"/>
      <c r="MUR44" s="3161"/>
      <c r="MUS44" s="3161"/>
      <c r="MUT44" s="3161"/>
      <c r="MUU44" s="3161"/>
      <c r="MUV44" s="3161"/>
      <c r="MUW44" s="3161"/>
      <c r="MUX44" s="3161"/>
      <c r="MUY44" s="3161"/>
      <c r="MUZ44" s="3161"/>
      <c r="MVA44" s="3161"/>
      <c r="MVB44" s="3161"/>
      <c r="MVC44" s="3161"/>
      <c r="MVD44" s="3161"/>
      <c r="MVE44" s="3161"/>
      <c r="MVF44" s="3161"/>
      <c r="MVG44" s="3161"/>
      <c r="MVH44" s="3161"/>
      <c r="MVI44" s="3161"/>
      <c r="MVJ44" s="3161"/>
      <c r="MVK44" s="3161"/>
      <c r="MVL44" s="3161"/>
      <c r="MVM44" s="3161"/>
      <c r="MVN44" s="3161"/>
      <c r="MVO44" s="3161"/>
      <c r="MVP44" s="3161"/>
      <c r="MVQ44" s="3161"/>
      <c r="MVR44" s="3161"/>
      <c r="MVS44" s="3161"/>
      <c r="MVT44" s="3161"/>
      <c r="MVU44" s="3161"/>
      <c r="MVV44" s="3161"/>
      <c r="MVW44" s="3161"/>
      <c r="MVX44" s="3161"/>
      <c r="MVY44" s="3161"/>
      <c r="MVZ44" s="3161"/>
      <c r="MWA44" s="3161"/>
      <c r="MWB44" s="3161"/>
      <c r="MWC44" s="3161"/>
      <c r="MWD44" s="3161"/>
      <c r="MWE44" s="3161"/>
      <c r="MWF44" s="3161"/>
      <c r="MWG44" s="3161"/>
      <c r="MWH44" s="3161"/>
      <c r="MWI44" s="3161"/>
      <c r="MWJ44" s="3161"/>
      <c r="MWK44" s="3161"/>
      <c r="MWL44" s="3161"/>
      <c r="MWM44" s="3161"/>
      <c r="MWN44" s="3161"/>
      <c r="MWO44" s="3161"/>
      <c r="MWP44" s="3161"/>
      <c r="MWQ44" s="3161"/>
      <c r="MWR44" s="3161"/>
      <c r="MWS44" s="3161"/>
      <c r="MWT44" s="3161"/>
      <c r="MWU44" s="3161"/>
      <c r="MWV44" s="3161"/>
      <c r="MWW44" s="3161"/>
      <c r="MWX44" s="3161"/>
      <c r="MWY44" s="3161"/>
      <c r="MWZ44" s="3161"/>
      <c r="MXA44" s="3161"/>
      <c r="MXB44" s="3161"/>
      <c r="MXC44" s="3161"/>
      <c r="MXD44" s="3161"/>
      <c r="MXE44" s="3161"/>
      <c r="MXF44" s="3161"/>
      <c r="MXG44" s="3161"/>
      <c r="MXH44" s="3161"/>
      <c r="MXI44" s="3161"/>
      <c r="MXJ44" s="3161"/>
      <c r="MXK44" s="3161"/>
      <c r="MXL44" s="3161"/>
      <c r="MXM44" s="3161"/>
      <c r="MXN44" s="3161"/>
      <c r="MXO44" s="3161"/>
      <c r="MXP44" s="3161"/>
      <c r="MXQ44" s="3161"/>
      <c r="MXR44" s="3161"/>
      <c r="MXS44" s="3161"/>
      <c r="MXT44" s="3161"/>
      <c r="MXU44" s="3161"/>
      <c r="MXV44" s="3161"/>
      <c r="MXW44" s="3161"/>
      <c r="MXX44" s="3161"/>
      <c r="MXY44" s="3161"/>
      <c r="MXZ44" s="3161"/>
      <c r="MYA44" s="3161"/>
      <c r="MYB44" s="3161"/>
      <c r="MYC44" s="3161"/>
      <c r="MYD44" s="3161"/>
      <c r="MYE44" s="3161"/>
      <c r="MYF44" s="3161"/>
      <c r="MYG44" s="3161"/>
      <c r="MYH44" s="3161"/>
      <c r="MYI44" s="3161"/>
      <c r="MYJ44" s="3161"/>
      <c r="MYK44" s="3161"/>
      <c r="MYL44" s="3161"/>
      <c r="MYM44" s="3161"/>
      <c r="MYN44" s="3161"/>
      <c r="MYO44" s="3161"/>
      <c r="MYP44" s="3161"/>
      <c r="MYQ44" s="3161"/>
      <c r="MYR44" s="3161"/>
      <c r="MYS44" s="3161"/>
      <c r="MYT44" s="3161"/>
      <c r="MYU44" s="3161"/>
      <c r="MYV44" s="3161"/>
      <c r="MYW44" s="3161"/>
      <c r="MYX44" s="3161"/>
      <c r="MYY44" s="3161"/>
      <c r="MYZ44" s="3161"/>
      <c r="MZA44" s="3161"/>
      <c r="MZB44" s="3161"/>
      <c r="MZC44" s="3161"/>
      <c r="MZD44" s="3161"/>
      <c r="MZE44" s="3161"/>
      <c r="MZF44" s="3161"/>
      <c r="MZG44" s="3161"/>
      <c r="MZH44" s="3161"/>
      <c r="MZI44" s="3161"/>
      <c r="MZJ44" s="3161"/>
      <c r="MZK44" s="3161"/>
      <c r="MZL44" s="3161"/>
      <c r="MZM44" s="3161"/>
      <c r="MZN44" s="3161"/>
      <c r="MZO44" s="3161"/>
      <c r="MZP44" s="3161"/>
      <c r="MZQ44" s="3161"/>
      <c r="MZR44" s="3161"/>
      <c r="MZS44" s="3161"/>
      <c r="MZT44" s="3161"/>
      <c r="MZU44" s="3161"/>
      <c r="MZV44" s="3161"/>
      <c r="MZW44" s="3161"/>
      <c r="MZX44" s="3161"/>
      <c r="MZY44" s="3161"/>
      <c r="MZZ44" s="3161"/>
      <c r="NAA44" s="3161"/>
      <c r="NAB44" s="3161"/>
      <c r="NAC44" s="3161"/>
      <c r="NAD44" s="3161"/>
      <c r="NAE44" s="3161"/>
      <c r="NAF44" s="3161"/>
      <c r="NAG44" s="3161"/>
      <c r="NAH44" s="3161"/>
      <c r="NAI44" s="3161"/>
      <c r="NAJ44" s="3161"/>
      <c r="NAK44" s="3161"/>
      <c r="NAL44" s="3161"/>
      <c r="NAM44" s="3161"/>
      <c r="NAN44" s="3161"/>
      <c r="NAO44" s="3161"/>
      <c r="NAP44" s="3161"/>
      <c r="NAQ44" s="3161"/>
      <c r="NAR44" s="3161"/>
      <c r="NAS44" s="3161"/>
      <c r="NAT44" s="3161"/>
      <c r="NAU44" s="3161"/>
      <c r="NAV44" s="3161"/>
      <c r="NAW44" s="3161"/>
      <c r="NAX44" s="3161"/>
      <c r="NAY44" s="3161"/>
      <c r="NAZ44" s="3161"/>
      <c r="NBA44" s="3161"/>
      <c r="NBB44" s="3161"/>
      <c r="NBC44" s="3161"/>
      <c r="NBD44" s="3161"/>
      <c r="NBE44" s="3161"/>
      <c r="NBF44" s="3161"/>
      <c r="NBG44" s="3161"/>
      <c r="NBH44" s="3161"/>
      <c r="NBI44" s="3161"/>
      <c r="NBJ44" s="3161"/>
      <c r="NBK44" s="3161"/>
      <c r="NBL44" s="3161"/>
      <c r="NBM44" s="3161"/>
      <c r="NBN44" s="3161"/>
      <c r="NBO44" s="3161"/>
      <c r="NBP44" s="3161"/>
      <c r="NBQ44" s="3161"/>
      <c r="NBR44" s="3161"/>
      <c r="NBS44" s="3161"/>
      <c r="NBT44" s="3161"/>
      <c r="NBU44" s="3161"/>
      <c r="NBV44" s="3161"/>
      <c r="NBW44" s="3161"/>
      <c r="NBX44" s="3161"/>
      <c r="NBY44" s="3161"/>
      <c r="NBZ44" s="3161"/>
      <c r="NCA44" s="3161"/>
      <c r="NCB44" s="3161"/>
      <c r="NCC44" s="3161"/>
      <c r="NCD44" s="3161"/>
      <c r="NCE44" s="3161"/>
      <c r="NCF44" s="3161"/>
      <c r="NCG44" s="3161"/>
      <c r="NCH44" s="3161"/>
      <c r="NCI44" s="3161"/>
      <c r="NCJ44" s="3161"/>
      <c r="NCK44" s="3161"/>
      <c r="NCL44" s="3161"/>
      <c r="NCM44" s="3161"/>
      <c r="NCN44" s="3161"/>
      <c r="NCO44" s="3161"/>
      <c r="NCP44" s="3161"/>
      <c r="NCQ44" s="3161"/>
      <c r="NCR44" s="3161"/>
      <c r="NCS44" s="3161"/>
      <c r="NCT44" s="3161"/>
      <c r="NCU44" s="3161"/>
      <c r="NCV44" s="3161"/>
      <c r="NCW44" s="3161"/>
      <c r="NCX44" s="3161"/>
      <c r="NCY44" s="3161"/>
      <c r="NCZ44" s="3161"/>
      <c r="NDA44" s="3161"/>
      <c r="NDB44" s="3161"/>
      <c r="NDC44" s="3161"/>
      <c r="NDD44" s="3161"/>
      <c r="NDE44" s="3161"/>
      <c r="NDF44" s="3161"/>
      <c r="NDG44" s="3161"/>
      <c r="NDH44" s="3161"/>
      <c r="NDI44" s="3161"/>
      <c r="NDJ44" s="3161"/>
      <c r="NDK44" s="3161"/>
      <c r="NDL44" s="3161"/>
      <c r="NDM44" s="3161"/>
      <c r="NDN44" s="3161"/>
      <c r="NDO44" s="3161"/>
      <c r="NDP44" s="3161"/>
      <c r="NDQ44" s="3161"/>
      <c r="NDR44" s="3161"/>
      <c r="NDS44" s="3161"/>
      <c r="NDT44" s="3161"/>
      <c r="NDU44" s="3161"/>
      <c r="NDV44" s="3161"/>
      <c r="NDW44" s="3161"/>
      <c r="NDX44" s="3161"/>
      <c r="NDY44" s="3161"/>
      <c r="NDZ44" s="3161"/>
      <c r="NEA44" s="3161"/>
      <c r="NEB44" s="3161"/>
      <c r="NEC44" s="3161"/>
      <c r="NED44" s="3161"/>
      <c r="NEE44" s="3161"/>
      <c r="NEF44" s="3161"/>
      <c r="NEG44" s="3161"/>
      <c r="NEH44" s="3161"/>
      <c r="NEI44" s="3161"/>
      <c r="NEJ44" s="3161"/>
      <c r="NEK44" s="3161"/>
      <c r="NEL44" s="3161"/>
      <c r="NEM44" s="3161"/>
      <c r="NEN44" s="3161"/>
      <c r="NEO44" s="3161"/>
      <c r="NEP44" s="3161"/>
      <c r="NEQ44" s="3161"/>
      <c r="NER44" s="3161"/>
      <c r="NES44" s="3161"/>
      <c r="NET44" s="3161"/>
      <c r="NEU44" s="3161"/>
      <c r="NEV44" s="3161"/>
      <c r="NEW44" s="3161"/>
      <c r="NEX44" s="3161"/>
      <c r="NEY44" s="3161"/>
      <c r="NEZ44" s="3161"/>
      <c r="NFA44" s="3161"/>
      <c r="NFB44" s="3161"/>
      <c r="NFC44" s="3161"/>
      <c r="NFD44" s="3161"/>
      <c r="NFE44" s="3161"/>
      <c r="NFF44" s="3161"/>
      <c r="NFG44" s="3161"/>
      <c r="NFH44" s="3161"/>
      <c r="NFI44" s="3161"/>
      <c r="NFJ44" s="3161"/>
      <c r="NFK44" s="3161"/>
      <c r="NFL44" s="3161"/>
      <c r="NFM44" s="3161"/>
      <c r="NFN44" s="3161"/>
      <c r="NFO44" s="3161"/>
      <c r="NFP44" s="3161"/>
      <c r="NFQ44" s="3161"/>
      <c r="NFR44" s="3161"/>
      <c r="NFS44" s="3161"/>
      <c r="NFT44" s="3161"/>
      <c r="NFU44" s="3161"/>
      <c r="NFV44" s="3161"/>
      <c r="NFW44" s="3161"/>
      <c r="NFX44" s="3161"/>
      <c r="NFY44" s="3161"/>
      <c r="NFZ44" s="3161"/>
      <c r="NGA44" s="3161"/>
      <c r="NGB44" s="3161"/>
      <c r="NGC44" s="3161"/>
      <c r="NGD44" s="3161"/>
      <c r="NGE44" s="3161"/>
      <c r="NGF44" s="3161"/>
      <c r="NGG44" s="3161"/>
      <c r="NGH44" s="3161"/>
      <c r="NGI44" s="3161"/>
      <c r="NGJ44" s="3161"/>
      <c r="NGK44" s="3161"/>
      <c r="NGL44" s="3161"/>
      <c r="NGM44" s="3161"/>
      <c r="NGN44" s="3161"/>
      <c r="NGO44" s="3161"/>
      <c r="NGP44" s="3161"/>
      <c r="NGQ44" s="3161"/>
      <c r="NGR44" s="3161"/>
      <c r="NGS44" s="3161"/>
      <c r="NGT44" s="3161"/>
      <c r="NGU44" s="3161"/>
      <c r="NGV44" s="3161"/>
      <c r="NGW44" s="3161"/>
      <c r="NGX44" s="3161"/>
      <c r="NGY44" s="3161"/>
      <c r="NGZ44" s="3161"/>
      <c r="NHA44" s="3161"/>
      <c r="NHB44" s="3161"/>
      <c r="NHC44" s="3161"/>
      <c r="NHD44" s="3161"/>
      <c r="NHE44" s="3161"/>
      <c r="NHF44" s="3161"/>
      <c r="NHG44" s="3161"/>
      <c r="NHH44" s="3161"/>
      <c r="NHI44" s="3161"/>
      <c r="NHJ44" s="3161"/>
      <c r="NHK44" s="3161"/>
      <c r="NHL44" s="3161"/>
      <c r="NHM44" s="3161"/>
      <c r="NHN44" s="3161"/>
      <c r="NHO44" s="3161"/>
      <c r="NHP44" s="3161"/>
      <c r="NHQ44" s="3161"/>
      <c r="NHR44" s="3161"/>
      <c r="NHS44" s="3161"/>
      <c r="NHT44" s="3161"/>
      <c r="NHU44" s="3161"/>
      <c r="NHV44" s="3161"/>
      <c r="NHW44" s="3161"/>
      <c r="NHX44" s="3161"/>
      <c r="NHY44" s="3161"/>
      <c r="NHZ44" s="3161"/>
      <c r="NIA44" s="3161"/>
      <c r="NIB44" s="3161"/>
      <c r="NIC44" s="3161"/>
      <c r="NID44" s="3161"/>
      <c r="NIE44" s="3161"/>
      <c r="NIF44" s="3161"/>
      <c r="NIG44" s="3161"/>
      <c r="NIH44" s="3161"/>
      <c r="NII44" s="3161"/>
      <c r="NIJ44" s="3161"/>
      <c r="NIK44" s="3161"/>
      <c r="NIL44" s="3161"/>
      <c r="NIM44" s="3161"/>
      <c r="NIN44" s="3161"/>
      <c r="NIO44" s="3161"/>
      <c r="NIP44" s="3161"/>
      <c r="NIQ44" s="3161"/>
      <c r="NIR44" s="3161"/>
      <c r="NIS44" s="3161"/>
      <c r="NIT44" s="3161"/>
      <c r="NIU44" s="3161"/>
      <c r="NIV44" s="3161"/>
      <c r="NIW44" s="3161"/>
      <c r="NIX44" s="3161"/>
      <c r="NIY44" s="3161"/>
      <c r="NIZ44" s="3161"/>
      <c r="NJA44" s="3161"/>
      <c r="NJB44" s="3161"/>
      <c r="NJC44" s="3161"/>
      <c r="NJD44" s="3161"/>
      <c r="NJE44" s="3161"/>
      <c r="NJF44" s="3161"/>
      <c r="NJG44" s="3161"/>
      <c r="NJH44" s="3161"/>
      <c r="NJI44" s="3161"/>
      <c r="NJJ44" s="3161"/>
      <c r="NJK44" s="3161"/>
      <c r="NJL44" s="3161"/>
      <c r="NJM44" s="3161"/>
      <c r="NJN44" s="3161"/>
      <c r="NJO44" s="3161"/>
      <c r="NJP44" s="3161"/>
      <c r="NJQ44" s="3161"/>
      <c r="NJR44" s="3161"/>
      <c r="NJS44" s="3161"/>
      <c r="NJT44" s="3161"/>
      <c r="NJU44" s="3161"/>
      <c r="NJV44" s="3161"/>
      <c r="NJW44" s="3161"/>
      <c r="NJX44" s="3161"/>
      <c r="NJY44" s="3161"/>
      <c r="NJZ44" s="3161"/>
      <c r="NKA44" s="3161"/>
      <c r="NKB44" s="3161"/>
      <c r="NKC44" s="3161"/>
      <c r="NKD44" s="3161"/>
      <c r="NKE44" s="3161"/>
      <c r="NKF44" s="3161"/>
      <c r="NKG44" s="3161"/>
      <c r="NKH44" s="3161"/>
      <c r="NKI44" s="3161"/>
      <c r="NKJ44" s="3161"/>
      <c r="NKK44" s="3161"/>
      <c r="NKL44" s="3161"/>
      <c r="NKM44" s="3161"/>
      <c r="NKN44" s="3161"/>
      <c r="NKO44" s="3161"/>
      <c r="NKP44" s="3161"/>
      <c r="NKQ44" s="3161"/>
      <c r="NKR44" s="3161"/>
      <c r="NKS44" s="3161"/>
      <c r="NKT44" s="3161"/>
      <c r="NKU44" s="3161"/>
      <c r="NKV44" s="3161"/>
      <c r="NKW44" s="3161"/>
      <c r="NKX44" s="3161"/>
      <c r="NKY44" s="3161"/>
      <c r="NKZ44" s="3161"/>
      <c r="NLA44" s="3161"/>
      <c r="NLB44" s="3161"/>
      <c r="NLC44" s="3161"/>
      <c r="NLD44" s="3161"/>
      <c r="NLE44" s="3161"/>
      <c r="NLF44" s="3161"/>
      <c r="NLG44" s="3161"/>
      <c r="NLH44" s="3161"/>
      <c r="NLI44" s="3161"/>
      <c r="NLJ44" s="3161"/>
      <c r="NLK44" s="3161"/>
      <c r="NLL44" s="3161"/>
      <c r="NLM44" s="3161"/>
      <c r="NLN44" s="3161"/>
      <c r="NLO44" s="3161"/>
      <c r="NLP44" s="3161"/>
      <c r="NLQ44" s="3161"/>
      <c r="NLR44" s="3161"/>
      <c r="NLS44" s="3161"/>
      <c r="NLT44" s="3161"/>
      <c r="NLU44" s="3161"/>
      <c r="NLV44" s="3161"/>
      <c r="NLW44" s="3161"/>
      <c r="NLX44" s="3161"/>
      <c r="NLY44" s="3161"/>
      <c r="NLZ44" s="3161"/>
      <c r="NMA44" s="3161"/>
      <c r="NMB44" s="3161"/>
      <c r="NMC44" s="3161"/>
      <c r="NMD44" s="3161"/>
      <c r="NME44" s="3161"/>
      <c r="NMF44" s="3161"/>
      <c r="NMG44" s="3161"/>
      <c r="NMH44" s="3161"/>
      <c r="NMI44" s="3161"/>
      <c r="NMJ44" s="3161"/>
      <c r="NMK44" s="3161"/>
      <c r="NML44" s="3161"/>
      <c r="NMM44" s="3161"/>
      <c r="NMN44" s="3161"/>
      <c r="NMO44" s="3161"/>
      <c r="NMP44" s="3161"/>
      <c r="NMQ44" s="3161"/>
      <c r="NMR44" s="3161"/>
      <c r="NMS44" s="3161"/>
      <c r="NMT44" s="3161"/>
      <c r="NMU44" s="3161"/>
      <c r="NMV44" s="3161"/>
      <c r="NMW44" s="3161"/>
      <c r="NMX44" s="3161"/>
      <c r="NMY44" s="3161"/>
      <c r="NMZ44" s="3161"/>
      <c r="NNA44" s="3161"/>
      <c r="NNB44" s="3161"/>
      <c r="NNC44" s="3161"/>
      <c r="NND44" s="3161"/>
      <c r="NNE44" s="3161"/>
      <c r="NNF44" s="3161"/>
      <c r="NNG44" s="3161"/>
      <c r="NNH44" s="3161"/>
      <c r="NNI44" s="3161"/>
      <c r="NNJ44" s="3161"/>
      <c r="NNK44" s="3161"/>
      <c r="NNL44" s="3161"/>
      <c r="NNM44" s="3161"/>
      <c r="NNN44" s="3161"/>
      <c r="NNO44" s="3161"/>
      <c r="NNP44" s="3161"/>
      <c r="NNQ44" s="3161"/>
      <c r="NNR44" s="3161"/>
      <c r="NNS44" s="3161"/>
      <c r="NNT44" s="3161"/>
      <c r="NNU44" s="3161"/>
      <c r="NNV44" s="3161"/>
      <c r="NNW44" s="3161"/>
      <c r="NNX44" s="3161"/>
      <c r="NNY44" s="3161"/>
      <c r="NNZ44" s="3161"/>
      <c r="NOA44" s="3161"/>
      <c r="NOB44" s="3161"/>
      <c r="NOC44" s="3161"/>
      <c r="NOD44" s="3161"/>
      <c r="NOE44" s="3161"/>
      <c r="NOF44" s="3161"/>
      <c r="NOG44" s="3161"/>
      <c r="NOH44" s="3161"/>
      <c r="NOI44" s="3161"/>
      <c r="NOJ44" s="3161"/>
      <c r="NOK44" s="3161"/>
      <c r="NOL44" s="3161"/>
      <c r="NOM44" s="3161"/>
      <c r="NON44" s="3161"/>
      <c r="NOO44" s="3161"/>
      <c r="NOP44" s="3161"/>
      <c r="NOQ44" s="3161"/>
      <c r="NOR44" s="3161"/>
      <c r="NOS44" s="3161"/>
      <c r="NOT44" s="3161"/>
      <c r="NOU44" s="3161"/>
      <c r="NOV44" s="3161"/>
      <c r="NOW44" s="3161"/>
      <c r="NOX44" s="3161"/>
      <c r="NOY44" s="3161"/>
      <c r="NOZ44" s="3161"/>
      <c r="NPA44" s="3161"/>
      <c r="NPB44" s="3161"/>
      <c r="NPC44" s="3161"/>
      <c r="NPD44" s="3161"/>
      <c r="NPE44" s="3161"/>
      <c r="NPF44" s="3161"/>
      <c r="NPG44" s="3161"/>
      <c r="NPH44" s="3161"/>
      <c r="NPI44" s="3161"/>
      <c r="NPJ44" s="3161"/>
      <c r="NPK44" s="3161"/>
      <c r="NPL44" s="3161"/>
      <c r="NPM44" s="3161"/>
      <c r="NPN44" s="3161"/>
      <c r="NPO44" s="3161"/>
      <c r="NPP44" s="3161"/>
      <c r="NPQ44" s="3161"/>
      <c r="NPR44" s="3161"/>
      <c r="NPS44" s="3161"/>
      <c r="NPT44" s="3161"/>
      <c r="NPU44" s="3161"/>
      <c r="NPV44" s="3161"/>
      <c r="NPW44" s="3161"/>
      <c r="NPX44" s="3161"/>
      <c r="NPY44" s="3161"/>
      <c r="NPZ44" s="3161"/>
      <c r="NQA44" s="3161"/>
      <c r="NQB44" s="3161"/>
      <c r="NQC44" s="3161"/>
      <c r="NQD44" s="3161"/>
      <c r="NQE44" s="3161"/>
      <c r="NQF44" s="3161"/>
      <c r="NQG44" s="3161"/>
      <c r="NQH44" s="3161"/>
      <c r="NQI44" s="3161"/>
      <c r="NQJ44" s="3161"/>
      <c r="NQK44" s="3161"/>
      <c r="NQL44" s="3161"/>
      <c r="NQM44" s="3161"/>
      <c r="NQN44" s="3161"/>
      <c r="NQO44" s="3161"/>
      <c r="NQP44" s="3161"/>
      <c r="NQQ44" s="3161"/>
      <c r="NQR44" s="3161"/>
      <c r="NQS44" s="3161"/>
      <c r="NQT44" s="3161"/>
      <c r="NQU44" s="3161"/>
      <c r="NQV44" s="3161"/>
      <c r="NQW44" s="3161"/>
      <c r="NQX44" s="3161"/>
      <c r="NQY44" s="3161"/>
      <c r="NQZ44" s="3161"/>
      <c r="NRA44" s="3161"/>
      <c r="NRB44" s="3161"/>
      <c r="NRC44" s="3161"/>
      <c r="NRD44" s="3161"/>
      <c r="NRE44" s="3161"/>
      <c r="NRF44" s="3161"/>
      <c r="NRG44" s="3161"/>
      <c r="NRH44" s="3161"/>
      <c r="NRI44" s="3161"/>
      <c r="NRJ44" s="3161"/>
      <c r="NRK44" s="3161"/>
      <c r="NRL44" s="3161"/>
      <c r="NRM44" s="3161"/>
      <c r="NRN44" s="3161"/>
      <c r="NRO44" s="3161"/>
      <c r="NRP44" s="3161"/>
      <c r="NRQ44" s="3161"/>
      <c r="NRR44" s="3161"/>
      <c r="NRS44" s="3161"/>
      <c r="NRT44" s="3161"/>
      <c r="NRU44" s="3161"/>
      <c r="NRV44" s="3161"/>
      <c r="NRW44" s="3161"/>
      <c r="NRX44" s="3161"/>
      <c r="NRY44" s="3161"/>
      <c r="NRZ44" s="3161"/>
      <c r="NSA44" s="3161"/>
      <c r="NSB44" s="3161"/>
      <c r="NSC44" s="3161"/>
      <c r="NSD44" s="3161"/>
      <c r="NSE44" s="3161"/>
      <c r="NSF44" s="3161"/>
      <c r="NSG44" s="3161"/>
      <c r="NSH44" s="3161"/>
      <c r="NSI44" s="3161"/>
      <c r="NSJ44" s="3161"/>
      <c r="NSK44" s="3161"/>
      <c r="NSL44" s="3161"/>
      <c r="NSM44" s="3161"/>
      <c r="NSN44" s="3161"/>
      <c r="NSO44" s="3161"/>
      <c r="NSP44" s="3161"/>
      <c r="NSQ44" s="3161"/>
      <c r="NSR44" s="3161"/>
      <c r="NSS44" s="3161"/>
      <c r="NST44" s="3161"/>
      <c r="NSU44" s="3161"/>
      <c r="NSV44" s="3161"/>
      <c r="NSW44" s="3161"/>
      <c r="NSX44" s="3161"/>
      <c r="NSY44" s="3161"/>
      <c r="NSZ44" s="3161"/>
      <c r="NTA44" s="3161"/>
      <c r="NTB44" s="3161"/>
      <c r="NTC44" s="3161"/>
      <c r="NTD44" s="3161"/>
      <c r="NTE44" s="3161"/>
      <c r="NTF44" s="3161"/>
      <c r="NTG44" s="3161"/>
      <c r="NTH44" s="3161"/>
      <c r="NTI44" s="3161"/>
      <c r="NTJ44" s="3161"/>
      <c r="NTK44" s="3161"/>
      <c r="NTL44" s="3161"/>
      <c r="NTM44" s="3161"/>
      <c r="NTN44" s="3161"/>
      <c r="NTO44" s="3161"/>
      <c r="NTP44" s="3161"/>
      <c r="NTQ44" s="3161"/>
      <c r="NTR44" s="3161"/>
      <c r="NTS44" s="3161"/>
      <c r="NTT44" s="3161"/>
      <c r="NTU44" s="3161"/>
      <c r="NTV44" s="3161"/>
      <c r="NTW44" s="3161"/>
      <c r="NTX44" s="3161"/>
      <c r="NTY44" s="3161"/>
      <c r="NTZ44" s="3161"/>
      <c r="NUA44" s="3161"/>
      <c r="NUB44" s="3161"/>
      <c r="NUC44" s="3161"/>
      <c r="NUD44" s="3161"/>
      <c r="NUE44" s="3161"/>
      <c r="NUF44" s="3161"/>
      <c r="NUG44" s="3161"/>
      <c r="NUH44" s="3161"/>
      <c r="NUI44" s="3161"/>
      <c r="NUJ44" s="3161"/>
      <c r="NUK44" s="3161"/>
      <c r="NUL44" s="3161"/>
      <c r="NUM44" s="3161"/>
      <c r="NUN44" s="3161"/>
      <c r="NUO44" s="3161"/>
      <c r="NUP44" s="3161"/>
      <c r="NUQ44" s="3161"/>
      <c r="NUR44" s="3161"/>
      <c r="NUS44" s="3161"/>
      <c r="NUT44" s="3161"/>
      <c r="NUU44" s="3161"/>
      <c r="NUV44" s="3161"/>
      <c r="NUW44" s="3161"/>
      <c r="NUX44" s="3161"/>
      <c r="NUY44" s="3161"/>
      <c r="NUZ44" s="3161"/>
      <c r="NVA44" s="3161"/>
      <c r="NVB44" s="3161"/>
      <c r="NVC44" s="3161"/>
      <c r="NVD44" s="3161"/>
      <c r="NVE44" s="3161"/>
      <c r="NVF44" s="3161"/>
      <c r="NVG44" s="3161"/>
      <c r="NVH44" s="3161"/>
      <c r="NVI44" s="3161"/>
      <c r="NVJ44" s="3161"/>
      <c r="NVK44" s="3161"/>
      <c r="NVL44" s="3161"/>
      <c r="NVM44" s="3161"/>
      <c r="NVN44" s="3161"/>
      <c r="NVO44" s="3161"/>
      <c r="NVP44" s="3161"/>
      <c r="NVQ44" s="3161"/>
      <c r="NVR44" s="3161"/>
      <c r="NVS44" s="3161"/>
      <c r="NVT44" s="3161"/>
      <c r="NVU44" s="3161"/>
      <c r="NVV44" s="3161"/>
      <c r="NVW44" s="3161"/>
      <c r="NVX44" s="3161"/>
      <c r="NVY44" s="3161"/>
      <c r="NVZ44" s="3161"/>
      <c r="NWA44" s="3161"/>
      <c r="NWB44" s="3161"/>
      <c r="NWC44" s="3161"/>
      <c r="NWD44" s="3161"/>
      <c r="NWE44" s="3161"/>
      <c r="NWF44" s="3161"/>
      <c r="NWG44" s="3161"/>
      <c r="NWH44" s="3161"/>
      <c r="NWI44" s="3161"/>
      <c r="NWJ44" s="3161"/>
      <c r="NWK44" s="3161"/>
      <c r="NWL44" s="3161"/>
      <c r="NWM44" s="3161"/>
      <c r="NWN44" s="3161"/>
      <c r="NWO44" s="3161"/>
      <c r="NWP44" s="3161"/>
      <c r="NWQ44" s="3161"/>
      <c r="NWR44" s="3161"/>
      <c r="NWS44" s="3161"/>
      <c r="NWT44" s="3161"/>
      <c r="NWU44" s="3161"/>
      <c r="NWV44" s="3161"/>
      <c r="NWW44" s="3161"/>
      <c r="NWX44" s="3161"/>
      <c r="NWY44" s="3161"/>
      <c r="NWZ44" s="3161"/>
      <c r="NXA44" s="3161"/>
      <c r="NXB44" s="3161"/>
      <c r="NXC44" s="3161"/>
      <c r="NXD44" s="3161"/>
      <c r="NXE44" s="3161"/>
      <c r="NXF44" s="3161"/>
      <c r="NXG44" s="3161"/>
      <c r="NXH44" s="3161"/>
      <c r="NXI44" s="3161"/>
      <c r="NXJ44" s="3161"/>
      <c r="NXK44" s="3161"/>
      <c r="NXL44" s="3161"/>
      <c r="NXM44" s="3161"/>
      <c r="NXN44" s="3161"/>
      <c r="NXO44" s="3161"/>
      <c r="NXP44" s="3161"/>
      <c r="NXQ44" s="3161"/>
      <c r="NXR44" s="3161"/>
      <c r="NXS44" s="3161"/>
      <c r="NXT44" s="3161"/>
      <c r="NXU44" s="3161"/>
      <c r="NXV44" s="3161"/>
      <c r="NXW44" s="3161"/>
      <c r="NXX44" s="3161"/>
      <c r="NXY44" s="3161"/>
      <c r="NXZ44" s="3161"/>
      <c r="NYA44" s="3161"/>
      <c r="NYB44" s="3161"/>
      <c r="NYC44" s="3161"/>
      <c r="NYD44" s="3161"/>
      <c r="NYE44" s="3161"/>
      <c r="NYF44" s="3161"/>
      <c r="NYG44" s="3161"/>
      <c r="NYH44" s="3161"/>
      <c r="NYI44" s="3161"/>
      <c r="NYJ44" s="3161"/>
      <c r="NYK44" s="3161"/>
      <c r="NYL44" s="3161"/>
      <c r="NYM44" s="3161"/>
      <c r="NYN44" s="3161"/>
      <c r="NYO44" s="3161"/>
      <c r="NYP44" s="3161"/>
      <c r="NYQ44" s="3161"/>
      <c r="NYR44" s="3161"/>
      <c r="NYS44" s="3161"/>
      <c r="NYT44" s="3161"/>
      <c r="NYU44" s="3161"/>
      <c r="NYV44" s="3161"/>
      <c r="NYW44" s="3161"/>
      <c r="NYX44" s="3161"/>
      <c r="NYY44" s="3161"/>
      <c r="NYZ44" s="3161"/>
      <c r="NZA44" s="3161"/>
      <c r="NZB44" s="3161"/>
      <c r="NZC44" s="3161"/>
      <c r="NZD44" s="3161"/>
      <c r="NZE44" s="3161"/>
      <c r="NZF44" s="3161"/>
      <c r="NZG44" s="3161"/>
      <c r="NZH44" s="3161"/>
      <c r="NZI44" s="3161"/>
      <c r="NZJ44" s="3161"/>
      <c r="NZK44" s="3161"/>
      <c r="NZL44" s="3161"/>
      <c r="NZM44" s="3161"/>
      <c r="NZN44" s="3161"/>
      <c r="NZO44" s="3161"/>
      <c r="NZP44" s="3161"/>
      <c r="NZQ44" s="3161"/>
      <c r="NZR44" s="3161"/>
      <c r="NZS44" s="3161"/>
      <c r="NZT44" s="3161"/>
      <c r="NZU44" s="3161"/>
      <c r="NZV44" s="3161"/>
      <c r="NZW44" s="3161"/>
      <c r="NZX44" s="3161"/>
      <c r="NZY44" s="3161"/>
      <c r="NZZ44" s="3161"/>
      <c r="OAA44" s="3161"/>
      <c r="OAB44" s="3161"/>
      <c r="OAC44" s="3161"/>
      <c r="OAD44" s="3161"/>
      <c r="OAE44" s="3161"/>
      <c r="OAF44" s="3161"/>
      <c r="OAG44" s="3161"/>
      <c r="OAH44" s="3161"/>
      <c r="OAI44" s="3161"/>
      <c r="OAJ44" s="3161"/>
      <c r="OAK44" s="3161"/>
      <c r="OAL44" s="3161"/>
      <c r="OAM44" s="3161"/>
      <c r="OAN44" s="3161"/>
      <c r="OAO44" s="3161"/>
      <c r="OAP44" s="3161"/>
      <c r="OAQ44" s="3161"/>
      <c r="OAR44" s="3161"/>
      <c r="OAS44" s="3161"/>
      <c r="OAT44" s="3161"/>
      <c r="OAU44" s="3161"/>
      <c r="OAV44" s="3161"/>
      <c r="OAW44" s="3161"/>
      <c r="OAX44" s="3161"/>
      <c r="OAY44" s="3161"/>
      <c r="OAZ44" s="3161"/>
      <c r="OBA44" s="3161"/>
      <c r="OBB44" s="3161"/>
      <c r="OBC44" s="3161"/>
      <c r="OBD44" s="3161"/>
      <c r="OBE44" s="3161"/>
      <c r="OBF44" s="3161"/>
      <c r="OBG44" s="3161"/>
      <c r="OBH44" s="3161"/>
      <c r="OBI44" s="3161"/>
      <c r="OBJ44" s="3161"/>
      <c r="OBK44" s="3161"/>
      <c r="OBL44" s="3161"/>
      <c r="OBM44" s="3161"/>
      <c r="OBN44" s="3161"/>
      <c r="OBO44" s="3161"/>
      <c r="OBP44" s="3161"/>
      <c r="OBQ44" s="3161"/>
      <c r="OBR44" s="3161"/>
      <c r="OBS44" s="3161"/>
      <c r="OBT44" s="3161"/>
      <c r="OBU44" s="3161"/>
      <c r="OBV44" s="3161"/>
      <c r="OBW44" s="3161"/>
      <c r="OBX44" s="3161"/>
      <c r="OBY44" s="3161"/>
      <c r="OBZ44" s="3161"/>
      <c r="OCA44" s="3161"/>
      <c r="OCB44" s="3161"/>
      <c r="OCC44" s="3161"/>
      <c r="OCD44" s="3161"/>
      <c r="OCE44" s="3161"/>
      <c r="OCF44" s="3161"/>
      <c r="OCG44" s="3161"/>
      <c r="OCH44" s="3161"/>
      <c r="OCI44" s="3161"/>
      <c r="OCJ44" s="3161"/>
      <c r="OCK44" s="3161"/>
      <c r="OCL44" s="3161"/>
      <c r="OCM44" s="3161"/>
      <c r="OCN44" s="3161"/>
      <c r="OCO44" s="3161"/>
      <c r="OCP44" s="3161"/>
      <c r="OCQ44" s="3161"/>
      <c r="OCR44" s="3161"/>
      <c r="OCS44" s="3161"/>
      <c r="OCT44" s="3161"/>
      <c r="OCU44" s="3161"/>
      <c r="OCV44" s="3161"/>
      <c r="OCW44" s="3161"/>
      <c r="OCX44" s="3161"/>
      <c r="OCY44" s="3161"/>
      <c r="OCZ44" s="3161"/>
      <c r="ODA44" s="3161"/>
      <c r="ODB44" s="3161"/>
      <c r="ODC44" s="3161"/>
      <c r="ODD44" s="3161"/>
      <c r="ODE44" s="3161"/>
      <c r="ODF44" s="3161"/>
      <c r="ODG44" s="3161"/>
      <c r="ODH44" s="3161"/>
      <c r="ODI44" s="3161"/>
      <c r="ODJ44" s="3161"/>
      <c r="ODK44" s="3161"/>
      <c r="ODL44" s="3161"/>
      <c r="ODM44" s="3161"/>
      <c r="ODN44" s="3161"/>
      <c r="ODO44" s="3161"/>
      <c r="ODP44" s="3161"/>
      <c r="ODQ44" s="3161"/>
      <c r="ODR44" s="3161"/>
      <c r="ODS44" s="3161"/>
      <c r="ODT44" s="3161"/>
      <c r="ODU44" s="3161"/>
      <c r="ODV44" s="3161"/>
      <c r="ODW44" s="3161"/>
      <c r="ODX44" s="3161"/>
      <c r="ODY44" s="3161"/>
      <c r="ODZ44" s="3161"/>
      <c r="OEA44" s="3161"/>
      <c r="OEB44" s="3161"/>
      <c r="OEC44" s="3161"/>
      <c r="OED44" s="3161"/>
      <c r="OEE44" s="3161"/>
      <c r="OEF44" s="3161"/>
      <c r="OEG44" s="3161"/>
      <c r="OEH44" s="3161"/>
      <c r="OEI44" s="3161"/>
      <c r="OEJ44" s="3161"/>
      <c r="OEK44" s="3161"/>
      <c r="OEL44" s="3161"/>
      <c r="OEM44" s="3161"/>
      <c r="OEN44" s="3161"/>
      <c r="OEO44" s="3161"/>
      <c r="OEP44" s="3161"/>
      <c r="OEQ44" s="3161"/>
      <c r="OER44" s="3161"/>
      <c r="OES44" s="3161"/>
      <c r="OET44" s="3161"/>
      <c r="OEU44" s="3161"/>
      <c r="OEV44" s="3161"/>
      <c r="OEW44" s="3161"/>
      <c r="OEX44" s="3161"/>
      <c r="OEY44" s="3161"/>
      <c r="OEZ44" s="3161"/>
      <c r="OFA44" s="3161"/>
      <c r="OFB44" s="3161"/>
      <c r="OFC44" s="3161"/>
      <c r="OFD44" s="3161"/>
      <c r="OFE44" s="3161"/>
      <c r="OFF44" s="3161"/>
      <c r="OFG44" s="3161"/>
      <c r="OFH44" s="3161"/>
      <c r="OFI44" s="3161"/>
      <c r="OFJ44" s="3161"/>
      <c r="OFK44" s="3161"/>
      <c r="OFL44" s="3161"/>
      <c r="OFM44" s="3161"/>
      <c r="OFN44" s="3161"/>
      <c r="OFO44" s="3161"/>
      <c r="OFP44" s="3161"/>
      <c r="OFQ44" s="3161"/>
      <c r="OFR44" s="3161"/>
      <c r="OFS44" s="3161"/>
      <c r="OFT44" s="3161"/>
      <c r="OFU44" s="3161"/>
      <c r="OFV44" s="3161"/>
      <c r="OFW44" s="3161"/>
      <c r="OFX44" s="3161"/>
      <c r="OFY44" s="3161"/>
      <c r="OFZ44" s="3161"/>
      <c r="OGA44" s="3161"/>
      <c r="OGB44" s="3161"/>
      <c r="OGC44" s="3161"/>
      <c r="OGD44" s="3161"/>
      <c r="OGE44" s="3161"/>
      <c r="OGF44" s="3161"/>
      <c r="OGG44" s="3161"/>
      <c r="OGH44" s="3161"/>
      <c r="OGI44" s="3161"/>
      <c r="OGJ44" s="3161"/>
      <c r="OGK44" s="3161"/>
      <c r="OGL44" s="3161"/>
      <c r="OGM44" s="3161"/>
      <c r="OGN44" s="3161"/>
      <c r="OGO44" s="3161"/>
      <c r="OGP44" s="3161"/>
      <c r="OGQ44" s="3161"/>
      <c r="OGR44" s="3161"/>
      <c r="OGS44" s="3161"/>
      <c r="OGT44" s="3161"/>
      <c r="OGU44" s="3161"/>
      <c r="OGV44" s="3161"/>
      <c r="OGW44" s="3161"/>
      <c r="OGX44" s="3161"/>
      <c r="OGY44" s="3161"/>
      <c r="OGZ44" s="3161"/>
      <c r="OHA44" s="3161"/>
      <c r="OHB44" s="3161"/>
      <c r="OHC44" s="3161"/>
      <c r="OHD44" s="3161"/>
      <c r="OHE44" s="3161"/>
      <c r="OHF44" s="3161"/>
      <c r="OHG44" s="3161"/>
      <c r="OHH44" s="3161"/>
      <c r="OHI44" s="3161"/>
      <c r="OHJ44" s="3161"/>
      <c r="OHK44" s="3161"/>
      <c r="OHL44" s="3161"/>
      <c r="OHM44" s="3161"/>
      <c r="OHN44" s="3161"/>
      <c r="OHO44" s="3161"/>
      <c r="OHP44" s="3161"/>
      <c r="OHQ44" s="3161"/>
      <c r="OHR44" s="3161"/>
      <c r="OHS44" s="3161"/>
      <c r="OHT44" s="3161"/>
      <c r="OHU44" s="3161"/>
      <c r="OHV44" s="3161"/>
      <c r="OHW44" s="3161"/>
      <c r="OHX44" s="3161"/>
      <c r="OHY44" s="3161"/>
      <c r="OHZ44" s="3161"/>
      <c r="OIA44" s="3161"/>
      <c r="OIB44" s="3161"/>
      <c r="OIC44" s="3161"/>
      <c r="OID44" s="3161"/>
      <c r="OIE44" s="3161"/>
      <c r="OIF44" s="3161"/>
      <c r="OIG44" s="3161"/>
      <c r="OIH44" s="3161"/>
      <c r="OII44" s="3161"/>
      <c r="OIJ44" s="3161"/>
      <c r="OIK44" s="3161"/>
      <c r="OIL44" s="3161"/>
      <c r="OIM44" s="3161"/>
      <c r="OIN44" s="3161"/>
      <c r="OIO44" s="3161"/>
      <c r="OIP44" s="3161"/>
      <c r="OIQ44" s="3161"/>
      <c r="OIR44" s="3161"/>
      <c r="OIS44" s="3161"/>
      <c r="OIT44" s="3161"/>
      <c r="OIU44" s="3161"/>
      <c r="OIV44" s="3161"/>
      <c r="OIW44" s="3161"/>
      <c r="OIX44" s="3161"/>
      <c r="OIY44" s="3161"/>
      <c r="OIZ44" s="3161"/>
      <c r="OJA44" s="3161"/>
      <c r="OJB44" s="3161"/>
      <c r="OJC44" s="3161"/>
      <c r="OJD44" s="3161"/>
      <c r="OJE44" s="3161"/>
      <c r="OJF44" s="3161"/>
      <c r="OJG44" s="3161"/>
      <c r="OJH44" s="3161"/>
      <c r="OJI44" s="3161"/>
      <c r="OJJ44" s="3161"/>
      <c r="OJK44" s="3161"/>
      <c r="OJL44" s="3161"/>
      <c r="OJM44" s="3161"/>
      <c r="OJN44" s="3161"/>
      <c r="OJO44" s="3161"/>
      <c r="OJP44" s="3161"/>
      <c r="OJQ44" s="3161"/>
      <c r="OJR44" s="3161"/>
      <c r="OJS44" s="3161"/>
      <c r="OJT44" s="3161"/>
      <c r="OJU44" s="3161"/>
      <c r="OJV44" s="3161"/>
      <c r="OJW44" s="3161"/>
      <c r="OJX44" s="3161"/>
      <c r="OJY44" s="3161"/>
      <c r="OJZ44" s="3161"/>
      <c r="OKA44" s="3161"/>
      <c r="OKB44" s="3161"/>
      <c r="OKC44" s="3161"/>
      <c r="OKD44" s="3161"/>
      <c r="OKE44" s="3161"/>
      <c r="OKF44" s="3161"/>
      <c r="OKG44" s="3161"/>
      <c r="OKH44" s="3161"/>
      <c r="OKI44" s="3161"/>
      <c r="OKJ44" s="3161"/>
      <c r="OKK44" s="3161"/>
      <c r="OKL44" s="3161"/>
      <c r="OKM44" s="3161"/>
      <c r="OKN44" s="3161"/>
      <c r="OKO44" s="3161"/>
      <c r="OKP44" s="3161"/>
      <c r="OKQ44" s="3161"/>
      <c r="OKR44" s="3161"/>
      <c r="OKS44" s="3161"/>
      <c r="OKT44" s="3161"/>
      <c r="OKU44" s="3161"/>
      <c r="OKV44" s="3161"/>
      <c r="OKW44" s="3161"/>
      <c r="OKX44" s="3161"/>
      <c r="OKY44" s="3161"/>
      <c r="OKZ44" s="3161"/>
      <c r="OLA44" s="3161"/>
      <c r="OLB44" s="3161"/>
      <c r="OLC44" s="3161"/>
      <c r="OLD44" s="3161"/>
      <c r="OLE44" s="3161"/>
      <c r="OLF44" s="3161"/>
      <c r="OLG44" s="3161"/>
      <c r="OLH44" s="3161"/>
      <c r="OLI44" s="3161"/>
      <c r="OLJ44" s="3161"/>
      <c r="OLK44" s="3161"/>
      <c r="OLL44" s="3161"/>
      <c r="OLM44" s="3161"/>
      <c r="OLN44" s="3161"/>
      <c r="OLO44" s="3161"/>
      <c r="OLP44" s="3161"/>
      <c r="OLQ44" s="3161"/>
      <c r="OLR44" s="3161"/>
      <c r="OLS44" s="3161"/>
      <c r="OLT44" s="3161"/>
      <c r="OLU44" s="3161"/>
      <c r="OLV44" s="3161"/>
      <c r="OLW44" s="3161"/>
      <c r="OLX44" s="3161"/>
      <c r="OLY44" s="3161"/>
      <c r="OLZ44" s="3161"/>
      <c r="OMA44" s="3161"/>
      <c r="OMB44" s="3161"/>
      <c r="OMC44" s="3161"/>
      <c r="OMD44" s="3161"/>
      <c r="OME44" s="3161"/>
      <c r="OMF44" s="3161"/>
      <c r="OMG44" s="3161"/>
      <c r="OMH44" s="3161"/>
      <c r="OMI44" s="3161"/>
      <c r="OMJ44" s="3161"/>
      <c r="OMK44" s="3161"/>
      <c r="OML44" s="3161"/>
      <c r="OMM44" s="3161"/>
      <c r="OMN44" s="3161"/>
      <c r="OMO44" s="3161"/>
      <c r="OMP44" s="3161"/>
      <c r="OMQ44" s="3161"/>
      <c r="OMR44" s="3161"/>
      <c r="OMS44" s="3161"/>
      <c r="OMT44" s="3161"/>
      <c r="OMU44" s="3161"/>
      <c r="OMV44" s="3161"/>
      <c r="OMW44" s="3161"/>
      <c r="OMX44" s="3161"/>
      <c r="OMY44" s="3161"/>
      <c r="OMZ44" s="3161"/>
      <c r="ONA44" s="3161"/>
      <c r="ONB44" s="3161"/>
      <c r="ONC44" s="3161"/>
      <c r="OND44" s="3161"/>
      <c r="ONE44" s="3161"/>
      <c r="ONF44" s="3161"/>
      <c r="ONG44" s="3161"/>
      <c r="ONH44" s="3161"/>
      <c r="ONI44" s="3161"/>
      <c r="ONJ44" s="3161"/>
      <c r="ONK44" s="3161"/>
      <c r="ONL44" s="3161"/>
      <c r="ONM44" s="3161"/>
      <c r="ONN44" s="3161"/>
      <c r="ONO44" s="3161"/>
      <c r="ONP44" s="3161"/>
      <c r="ONQ44" s="3161"/>
      <c r="ONR44" s="3161"/>
      <c r="ONS44" s="3161"/>
      <c r="ONT44" s="3161"/>
      <c r="ONU44" s="3161"/>
      <c r="ONV44" s="3161"/>
      <c r="ONW44" s="3161"/>
      <c r="ONX44" s="3161"/>
      <c r="ONY44" s="3161"/>
      <c r="ONZ44" s="3161"/>
      <c r="OOA44" s="3161"/>
      <c r="OOB44" s="3161"/>
      <c r="OOC44" s="3161"/>
      <c r="OOD44" s="3161"/>
      <c r="OOE44" s="3161"/>
      <c r="OOF44" s="3161"/>
      <c r="OOG44" s="3161"/>
      <c r="OOH44" s="3161"/>
      <c r="OOI44" s="3161"/>
      <c r="OOJ44" s="3161"/>
      <c r="OOK44" s="3161"/>
      <c r="OOL44" s="3161"/>
      <c r="OOM44" s="3161"/>
      <c r="OON44" s="3161"/>
      <c r="OOO44" s="3161"/>
      <c r="OOP44" s="3161"/>
      <c r="OOQ44" s="3161"/>
      <c r="OOR44" s="3161"/>
      <c r="OOS44" s="3161"/>
      <c r="OOT44" s="3161"/>
      <c r="OOU44" s="3161"/>
      <c r="OOV44" s="3161"/>
      <c r="OOW44" s="3161"/>
      <c r="OOX44" s="3161"/>
      <c r="OOY44" s="3161"/>
      <c r="OOZ44" s="3161"/>
      <c r="OPA44" s="3161"/>
      <c r="OPB44" s="3161"/>
      <c r="OPC44" s="3161"/>
      <c r="OPD44" s="3161"/>
      <c r="OPE44" s="3161"/>
      <c r="OPF44" s="3161"/>
      <c r="OPG44" s="3161"/>
      <c r="OPH44" s="3161"/>
      <c r="OPI44" s="3161"/>
      <c r="OPJ44" s="3161"/>
      <c r="OPK44" s="3161"/>
      <c r="OPL44" s="3161"/>
      <c r="OPM44" s="3161"/>
      <c r="OPN44" s="3161"/>
      <c r="OPO44" s="3161"/>
      <c r="OPP44" s="3161"/>
      <c r="OPQ44" s="3161"/>
      <c r="OPR44" s="3161"/>
      <c r="OPS44" s="3161"/>
      <c r="OPT44" s="3161"/>
      <c r="OPU44" s="3161"/>
      <c r="OPV44" s="3161"/>
      <c r="OPW44" s="3161"/>
      <c r="OPX44" s="3161"/>
      <c r="OPY44" s="3161"/>
      <c r="OPZ44" s="3161"/>
      <c r="OQA44" s="3161"/>
      <c r="OQB44" s="3161"/>
      <c r="OQC44" s="3161"/>
      <c r="OQD44" s="3161"/>
      <c r="OQE44" s="3161"/>
      <c r="OQF44" s="3161"/>
      <c r="OQG44" s="3161"/>
      <c r="OQH44" s="3161"/>
      <c r="OQI44" s="3161"/>
      <c r="OQJ44" s="3161"/>
      <c r="OQK44" s="3161"/>
      <c r="OQL44" s="3161"/>
      <c r="OQM44" s="3161"/>
      <c r="OQN44" s="3161"/>
      <c r="OQO44" s="3161"/>
      <c r="OQP44" s="3161"/>
      <c r="OQQ44" s="3161"/>
      <c r="OQR44" s="3161"/>
      <c r="OQS44" s="3161"/>
      <c r="OQT44" s="3161"/>
      <c r="OQU44" s="3161"/>
      <c r="OQV44" s="3161"/>
      <c r="OQW44" s="3161"/>
      <c r="OQX44" s="3161"/>
      <c r="OQY44" s="3161"/>
      <c r="OQZ44" s="3161"/>
      <c r="ORA44" s="3161"/>
      <c r="ORB44" s="3161"/>
      <c r="ORC44" s="3161"/>
      <c r="ORD44" s="3161"/>
      <c r="ORE44" s="3161"/>
      <c r="ORF44" s="3161"/>
      <c r="ORG44" s="3161"/>
      <c r="ORH44" s="3161"/>
      <c r="ORI44" s="3161"/>
      <c r="ORJ44" s="3161"/>
      <c r="ORK44" s="3161"/>
      <c r="ORL44" s="3161"/>
      <c r="ORM44" s="3161"/>
      <c r="ORN44" s="3161"/>
      <c r="ORO44" s="3161"/>
      <c r="ORP44" s="3161"/>
      <c r="ORQ44" s="3161"/>
      <c r="ORR44" s="3161"/>
      <c r="ORS44" s="3161"/>
      <c r="ORT44" s="3161"/>
      <c r="ORU44" s="3161"/>
      <c r="ORV44" s="3161"/>
      <c r="ORW44" s="3161"/>
      <c r="ORX44" s="3161"/>
      <c r="ORY44" s="3161"/>
      <c r="ORZ44" s="3161"/>
      <c r="OSA44" s="3161"/>
      <c r="OSB44" s="3161"/>
      <c r="OSC44" s="3161"/>
      <c r="OSD44" s="3161"/>
      <c r="OSE44" s="3161"/>
      <c r="OSF44" s="3161"/>
      <c r="OSG44" s="3161"/>
      <c r="OSH44" s="3161"/>
      <c r="OSI44" s="3161"/>
      <c r="OSJ44" s="3161"/>
      <c r="OSK44" s="3161"/>
      <c r="OSL44" s="3161"/>
      <c r="OSM44" s="3161"/>
      <c r="OSN44" s="3161"/>
      <c r="OSO44" s="3161"/>
      <c r="OSP44" s="3161"/>
      <c r="OSQ44" s="3161"/>
      <c r="OSR44" s="3161"/>
      <c r="OSS44" s="3161"/>
      <c r="OST44" s="3161"/>
      <c r="OSU44" s="3161"/>
      <c r="OSV44" s="3161"/>
      <c r="OSW44" s="3161"/>
      <c r="OSX44" s="3161"/>
      <c r="OSY44" s="3161"/>
      <c r="OSZ44" s="3161"/>
      <c r="OTA44" s="3161"/>
      <c r="OTB44" s="3161"/>
      <c r="OTC44" s="3161"/>
      <c r="OTD44" s="3161"/>
      <c r="OTE44" s="3161"/>
      <c r="OTF44" s="3161"/>
      <c r="OTG44" s="3161"/>
      <c r="OTH44" s="3161"/>
      <c r="OTI44" s="3161"/>
      <c r="OTJ44" s="3161"/>
      <c r="OTK44" s="3161"/>
      <c r="OTL44" s="3161"/>
      <c r="OTM44" s="3161"/>
      <c r="OTN44" s="3161"/>
      <c r="OTO44" s="3161"/>
      <c r="OTP44" s="3161"/>
      <c r="OTQ44" s="3161"/>
      <c r="OTR44" s="3161"/>
      <c r="OTS44" s="3161"/>
      <c r="OTT44" s="3161"/>
      <c r="OTU44" s="3161"/>
      <c r="OTV44" s="3161"/>
      <c r="OTW44" s="3161"/>
      <c r="OTX44" s="3161"/>
      <c r="OTY44" s="3161"/>
      <c r="OTZ44" s="3161"/>
      <c r="OUA44" s="3161"/>
      <c r="OUB44" s="3161"/>
      <c r="OUC44" s="3161"/>
      <c r="OUD44" s="3161"/>
      <c r="OUE44" s="3161"/>
      <c r="OUF44" s="3161"/>
      <c r="OUG44" s="3161"/>
      <c r="OUH44" s="3161"/>
      <c r="OUI44" s="3161"/>
      <c r="OUJ44" s="3161"/>
      <c r="OUK44" s="3161"/>
      <c r="OUL44" s="3161"/>
      <c r="OUM44" s="3161"/>
      <c r="OUN44" s="3161"/>
      <c r="OUO44" s="3161"/>
      <c r="OUP44" s="3161"/>
      <c r="OUQ44" s="3161"/>
      <c r="OUR44" s="3161"/>
      <c r="OUS44" s="3161"/>
      <c r="OUT44" s="3161"/>
      <c r="OUU44" s="3161"/>
      <c r="OUV44" s="3161"/>
      <c r="OUW44" s="3161"/>
      <c r="OUX44" s="3161"/>
      <c r="OUY44" s="3161"/>
      <c r="OUZ44" s="3161"/>
      <c r="OVA44" s="3161"/>
      <c r="OVB44" s="3161"/>
      <c r="OVC44" s="3161"/>
      <c r="OVD44" s="3161"/>
      <c r="OVE44" s="3161"/>
      <c r="OVF44" s="3161"/>
      <c r="OVG44" s="3161"/>
      <c r="OVH44" s="3161"/>
      <c r="OVI44" s="3161"/>
      <c r="OVJ44" s="3161"/>
      <c r="OVK44" s="3161"/>
      <c r="OVL44" s="3161"/>
      <c r="OVM44" s="3161"/>
      <c r="OVN44" s="3161"/>
      <c r="OVO44" s="3161"/>
      <c r="OVP44" s="3161"/>
      <c r="OVQ44" s="3161"/>
      <c r="OVR44" s="3161"/>
      <c r="OVS44" s="3161"/>
      <c r="OVT44" s="3161"/>
      <c r="OVU44" s="3161"/>
      <c r="OVV44" s="3161"/>
      <c r="OVW44" s="3161"/>
      <c r="OVX44" s="3161"/>
      <c r="OVY44" s="3161"/>
      <c r="OVZ44" s="3161"/>
      <c r="OWA44" s="3161"/>
      <c r="OWB44" s="3161"/>
      <c r="OWC44" s="3161"/>
      <c r="OWD44" s="3161"/>
      <c r="OWE44" s="3161"/>
      <c r="OWF44" s="3161"/>
      <c r="OWG44" s="3161"/>
      <c r="OWH44" s="3161"/>
      <c r="OWI44" s="3161"/>
      <c r="OWJ44" s="3161"/>
      <c r="OWK44" s="3161"/>
      <c r="OWL44" s="3161"/>
      <c r="OWM44" s="3161"/>
      <c r="OWN44" s="3161"/>
      <c r="OWO44" s="3161"/>
      <c r="OWP44" s="3161"/>
      <c r="OWQ44" s="3161"/>
      <c r="OWR44" s="3161"/>
      <c r="OWS44" s="3161"/>
      <c r="OWT44" s="3161"/>
      <c r="OWU44" s="3161"/>
      <c r="OWV44" s="3161"/>
      <c r="OWW44" s="3161"/>
      <c r="OWX44" s="3161"/>
      <c r="OWY44" s="3161"/>
      <c r="OWZ44" s="3161"/>
      <c r="OXA44" s="3161"/>
      <c r="OXB44" s="3161"/>
      <c r="OXC44" s="3161"/>
      <c r="OXD44" s="3161"/>
      <c r="OXE44" s="3161"/>
      <c r="OXF44" s="3161"/>
      <c r="OXG44" s="3161"/>
      <c r="OXH44" s="3161"/>
      <c r="OXI44" s="3161"/>
      <c r="OXJ44" s="3161"/>
      <c r="OXK44" s="3161"/>
      <c r="OXL44" s="3161"/>
      <c r="OXM44" s="3161"/>
      <c r="OXN44" s="3161"/>
      <c r="OXO44" s="3161"/>
      <c r="OXP44" s="3161"/>
      <c r="OXQ44" s="3161"/>
      <c r="OXR44" s="3161"/>
      <c r="OXS44" s="3161"/>
      <c r="OXT44" s="3161"/>
      <c r="OXU44" s="3161"/>
      <c r="OXV44" s="3161"/>
      <c r="OXW44" s="3161"/>
      <c r="OXX44" s="3161"/>
      <c r="OXY44" s="3161"/>
      <c r="OXZ44" s="3161"/>
      <c r="OYA44" s="3161"/>
      <c r="OYB44" s="3161"/>
      <c r="OYC44" s="3161"/>
      <c r="OYD44" s="3161"/>
      <c r="OYE44" s="3161"/>
      <c r="OYF44" s="3161"/>
      <c r="OYG44" s="3161"/>
      <c r="OYH44" s="3161"/>
      <c r="OYI44" s="3161"/>
      <c r="OYJ44" s="3161"/>
      <c r="OYK44" s="3161"/>
      <c r="OYL44" s="3161"/>
      <c r="OYM44" s="3161"/>
      <c r="OYN44" s="3161"/>
      <c r="OYO44" s="3161"/>
      <c r="OYP44" s="3161"/>
      <c r="OYQ44" s="3161"/>
      <c r="OYR44" s="3161"/>
      <c r="OYS44" s="3161"/>
      <c r="OYT44" s="3161"/>
      <c r="OYU44" s="3161"/>
      <c r="OYV44" s="3161"/>
      <c r="OYW44" s="3161"/>
      <c r="OYX44" s="3161"/>
      <c r="OYY44" s="3161"/>
      <c r="OYZ44" s="3161"/>
      <c r="OZA44" s="3161"/>
      <c r="OZB44" s="3161"/>
      <c r="OZC44" s="3161"/>
      <c r="OZD44" s="3161"/>
      <c r="OZE44" s="3161"/>
      <c r="OZF44" s="3161"/>
      <c r="OZG44" s="3161"/>
      <c r="OZH44" s="3161"/>
      <c r="OZI44" s="3161"/>
      <c r="OZJ44" s="3161"/>
      <c r="OZK44" s="3161"/>
      <c r="OZL44" s="3161"/>
      <c r="OZM44" s="3161"/>
      <c r="OZN44" s="3161"/>
      <c r="OZO44" s="3161"/>
      <c r="OZP44" s="3161"/>
      <c r="OZQ44" s="3161"/>
      <c r="OZR44" s="3161"/>
      <c r="OZS44" s="3161"/>
      <c r="OZT44" s="3161"/>
      <c r="OZU44" s="3161"/>
      <c r="OZV44" s="3161"/>
      <c r="OZW44" s="3161"/>
      <c r="OZX44" s="3161"/>
      <c r="OZY44" s="3161"/>
      <c r="OZZ44" s="3161"/>
      <c r="PAA44" s="3161"/>
      <c r="PAB44" s="3161"/>
      <c r="PAC44" s="3161"/>
      <c r="PAD44" s="3161"/>
      <c r="PAE44" s="3161"/>
      <c r="PAF44" s="3161"/>
      <c r="PAG44" s="3161"/>
      <c r="PAH44" s="3161"/>
      <c r="PAI44" s="3161"/>
      <c r="PAJ44" s="3161"/>
      <c r="PAK44" s="3161"/>
      <c r="PAL44" s="3161"/>
      <c r="PAM44" s="3161"/>
      <c r="PAN44" s="3161"/>
      <c r="PAO44" s="3161"/>
      <c r="PAP44" s="3161"/>
      <c r="PAQ44" s="3161"/>
      <c r="PAR44" s="3161"/>
      <c r="PAS44" s="3161"/>
      <c r="PAT44" s="3161"/>
      <c r="PAU44" s="3161"/>
      <c r="PAV44" s="3161"/>
      <c r="PAW44" s="3161"/>
      <c r="PAX44" s="3161"/>
      <c r="PAY44" s="3161"/>
      <c r="PAZ44" s="3161"/>
      <c r="PBA44" s="3161"/>
      <c r="PBB44" s="3161"/>
      <c r="PBC44" s="3161"/>
      <c r="PBD44" s="3161"/>
      <c r="PBE44" s="3161"/>
      <c r="PBF44" s="3161"/>
      <c r="PBG44" s="3161"/>
      <c r="PBH44" s="3161"/>
      <c r="PBI44" s="3161"/>
      <c r="PBJ44" s="3161"/>
      <c r="PBK44" s="3161"/>
      <c r="PBL44" s="3161"/>
      <c r="PBM44" s="3161"/>
      <c r="PBN44" s="3161"/>
      <c r="PBO44" s="3161"/>
      <c r="PBP44" s="3161"/>
      <c r="PBQ44" s="3161"/>
      <c r="PBR44" s="3161"/>
      <c r="PBS44" s="3161"/>
      <c r="PBT44" s="3161"/>
      <c r="PBU44" s="3161"/>
      <c r="PBV44" s="3161"/>
      <c r="PBW44" s="3161"/>
      <c r="PBX44" s="3161"/>
      <c r="PBY44" s="3161"/>
      <c r="PBZ44" s="3161"/>
      <c r="PCA44" s="3161"/>
      <c r="PCB44" s="3161"/>
      <c r="PCC44" s="3161"/>
      <c r="PCD44" s="3161"/>
      <c r="PCE44" s="3161"/>
      <c r="PCF44" s="3161"/>
      <c r="PCG44" s="3161"/>
      <c r="PCH44" s="3161"/>
      <c r="PCI44" s="3161"/>
      <c r="PCJ44" s="3161"/>
      <c r="PCK44" s="3161"/>
      <c r="PCL44" s="3161"/>
      <c r="PCM44" s="3161"/>
      <c r="PCN44" s="3161"/>
      <c r="PCO44" s="3161"/>
      <c r="PCP44" s="3161"/>
      <c r="PCQ44" s="3161"/>
      <c r="PCR44" s="3161"/>
      <c r="PCS44" s="3161"/>
      <c r="PCT44" s="3161"/>
      <c r="PCU44" s="3161"/>
      <c r="PCV44" s="3161"/>
      <c r="PCW44" s="3161"/>
      <c r="PCX44" s="3161"/>
      <c r="PCY44" s="3161"/>
      <c r="PCZ44" s="3161"/>
      <c r="PDA44" s="3161"/>
      <c r="PDB44" s="3161"/>
      <c r="PDC44" s="3161"/>
      <c r="PDD44" s="3161"/>
      <c r="PDE44" s="3161"/>
      <c r="PDF44" s="3161"/>
      <c r="PDG44" s="3161"/>
      <c r="PDH44" s="3161"/>
      <c r="PDI44" s="3161"/>
      <c r="PDJ44" s="3161"/>
      <c r="PDK44" s="3161"/>
      <c r="PDL44" s="3161"/>
      <c r="PDM44" s="3161"/>
      <c r="PDN44" s="3161"/>
      <c r="PDO44" s="3161"/>
      <c r="PDP44" s="3161"/>
      <c r="PDQ44" s="3161"/>
      <c r="PDR44" s="3161"/>
      <c r="PDS44" s="3161"/>
      <c r="PDT44" s="3161"/>
      <c r="PDU44" s="3161"/>
      <c r="PDV44" s="3161"/>
      <c r="PDW44" s="3161"/>
      <c r="PDX44" s="3161"/>
      <c r="PDY44" s="3161"/>
      <c r="PDZ44" s="3161"/>
      <c r="PEA44" s="3161"/>
      <c r="PEB44" s="3161"/>
      <c r="PEC44" s="3161"/>
      <c r="PED44" s="3161"/>
      <c r="PEE44" s="3161"/>
      <c r="PEF44" s="3161"/>
      <c r="PEG44" s="3161"/>
      <c r="PEH44" s="3161"/>
      <c r="PEI44" s="3161"/>
      <c r="PEJ44" s="3161"/>
      <c r="PEK44" s="3161"/>
      <c r="PEL44" s="3161"/>
      <c r="PEM44" s="3161"/>
      <c r="PEN44" s="3161"/>
      <c r="PEO44" s="3161"/>
      <c r="PEP44" s="3161"/>
      <c r="PEQ44" s="3161"/>
      <c r="PER44" s="3161"/>
      <c r="PES44" s="3161"/>
      <c r="PET44" s="3161"/>
      <c r="PEU44" s="3161"/>
      <c r="PEV44" s="3161"/>
      <c r="PEW44" s="3161"/>
      <c r="PEX44" s="3161"/>
      <c r="PEY44" s="3161"/>
      <c r="PEZ44" s="3161"/>
      <c r="PFA44" s="3161"/>
      <c r="PFB44" s="3161"/>
      <c r="PFC44" s="3161"/>
      <c r="PFD44" s="3161"/>
      <c r="PFE44" s="3161"/>
      <c r="PFF44" s="3161"/>
      <c r="PFG44" s="3161"/>
      <c r="PFH44" s="3161"/>
      <c r="PFI44" s="3161"/>
      <c r="PFJ44" s="3161"/>
      <c r="PFK44" s="3161"/>
      <c r="PFL44" s="3161"/>
      <c r="PFM44" s="3161"/>
      <c r="PFN44" s="3161"/>
      <c r="PFO44" s="3161"/>
      <c r="PFP44" s="3161"/>
      <c r="PFQ44" s="3161"/>
      <c r="PFR44" s="3161"/>
      <c r="PFS44" s="3161"/>
      <c r="PFT44" s="3161"/>
      <c r="PFU44" s="3161"/>
      <c r="PFV44" s="3161"/>
      <c r="PFW44" s="3161"/>
      <c r="PFX44" s="3161"/>
      <c r="PFY44" s="3161"/>
      <c r="PFZ44" s="3161"/>
      <c r="PGA44" s="3161"/>
      <c r="PGB44" s="3161"/>
      <c r="PGC44" s="3161"/>
      <c r="PGD44" s="3161"/>
      <c r="PGE44" s="3161"/>
      <c r="PGF44" s="3161"/>
      <c r="PGG44" s="3161"/>
      <c r="PGH44" s="3161"/>
      <c r="PGI44" s="3161"/>
      <c r="PGJ44" s="3161"/>
      <c r="PGK44" s="3161"/>
      <c r="PGL44" s="3161"/>
      <c r="PGM44" s="3161"/>
      <c r="PGN44" s="3161"/>
      <c r="PGO44" s="3161"/>
      <c r="PGP44" s="3161"/>
      <c r="PGQ44" s="3161"/>
      <c r="PGR44" s="3161"/>
      <c r="PGS44" s="3161"/>
      <c r="PGT44" s="3161"/>
      <c r="PGU44" s="3161"/>
      <c r="PGV44" s="3161"/>
      <c r="PGW44" s="3161"/>
      <c r="PGX44" s="3161"/>
      <c r="PGY44" s="3161"/>
      <c r="PGZ44" s="3161"/>
      <c r="PHA44" s="3161"/>
      <c r="PHB44" s="3161"/>
      <c r="PHC44" s="3161"/>
      <c r="PHD44" s="3161"/>
      <c r="PHE44" s="3161"/>
      <c r="PHF44" s="3161"/>
      <c r="PHG44" s="3161"/>
      <c r="PHH44" s="3161"/>
      <c r="PHI44" s="3161"/>
      <c r="PHJ44" s="3161"/>
      <c r="PHK44" s="3161"/>
      <c r="PHL44" s="3161"/>
      <c r="PHM44" s="3161"/>
      <c r="PHN44" s="3161"/>
      <c r="PHO44" s="3161"/>
      <c r="PHP44" s="3161"/>
      <c r="PHQ44" s="3161"/>
      <c r="PHR44" s="3161"/>
      <c r="PHS44" s="3161"/>
      <c r="PHT44" s="3161"/>
      <c r="PHU44" s="3161"/>
      <c r="PHV44" s="3161"/>
      <c r="PHW44" s="3161"/>
      <c r="PHX44" s="3161"/>
      <c r="PHY44" s="3161"/>
      <c r="PHZ44" s="3161"/>
      <c r="PIA44" s="3161"/>
      <c r="PIB44" s="3161"/>
      <c r="PIC44" s="3161"/>
      <c r="PID44" s="3161"/>
      <c r="PIE44" s="3161"/>
      <c r="PIF44" s="3161"/>
      <c r="PIG44" s="3161"/>
      <c r="PIH44" s="3161"/>
      <c r="PII44" s="3161"/>
      <c r="PIJ44" s="3161"/>
      <c r="PIK44" s="3161"/>
      <c r="PIL44" s="3161"/>
      <c r="PIM44" s="3161"/>
      <c r="PIN44" s="3161"/>
      <c r="PIO44" s="3161"/>
      <c r="PIP44" s="3161"/>
      <c r="PIQ44" s="3161"/>
      <c r="PIR44" s="3161"/>
      <c r="PIS44" s="3161"/>
      <c r="PIT44" s="3161"/>
      <c r="PIU44" s="3161"/>
      <c r="PIV44" s="3161"/>
      <c r="PIW44" s="3161"/>
      <c r="PIX44" s="3161"/>
      <c r="PIY44" s="3161"/>
      <c r="PIZ44" s="3161"/>
      <c r="PJA44" s="3161"/>
      <c r="PJB44" s="3161"/>
      <c r="PJC44" s="3161"/>
      <c r="PJD44" s="3161"/>
      <c r="PJE44" s="3161"/>
      <c r="PJF44" s="3161"/>
      <c r="PJG44" s="3161"/>
      <c r="PJH44" s="3161"/>
      <c r="PJI44" s="3161"/>
      <c r="PJJ44" s="3161"/>
      <c r="PJK44" s="3161"/>
      <c r="PJL44" s="3161"/>
      <c r="PJM44" s="3161"/>
      <c r="PJN44" s="3161"/>
      <c r="PJO44" s="3161"/>
      <c r="PJP44" s="3161"/>
      <c r="PJQ44" s="3161"/>
      <c r="PJR44" s="3161"/>
      <c r="PJS44" s="3161"/>
      <c r="PJT44" s="3161"/>
      <c r="PJU44" s="3161"/>
      <c r="PJV44" s="3161"/>
      <c r="PJW44" s="3161"/>
      <c r="PJX44" s="3161"/>
      <c r="PJY44" s="3161"/>
      <c r="PJZ44" s="3161"/>
      <c r="PKA44" s="3161"/>
      <c r="PKB44" s="3161"/>
      <c r="PKC44" s="3161"/>
      <c r="PKD44" s="3161"/>
      <c r="PKE44" s="3161"/>
      <c r="PKF44" s="3161"/>
      <c r="PKG44" s="3161"/>
      <c r="PKH44" s="3161"/>
      <c r="PKI44" s="3161"/>
      <c r="PKJ44" s="3161"/>
      <c r="PKK44" s="3161"/>
      <c r="PKL44" s="3161"/>
      <c r="PKM44" s="3161"/>
      <c r="PKN44" s="3161"/>
      <c r="PKO44" s="3161"/>
      <c r="PKP44" s="3161"/>
      <c r="PKQ44" s="3161"/>
      <c r="PKR44" s="3161"/>
      <c r="PKS44" s="3161"/>
      <c r="PKT44" s="3161"/>
      <c r="PKU44" s="3161"/>
      <c r="PKV44" s="3161"/>
      <c r="PKW44" s="3161"/>
      <c r="PKX44" s="3161"/>
      <c r="PKY44" s="3161"/>
      <c r="PKZ44" s="3161"/>
      <c r="PLA44" s="3161"/>
      <c r="PLB44" s="3161"/>
      <c r="PLC44" s="3161"/>
      <c r="PLD44" s="3161"/>
      <c r="PLE44" s="3161"/>
      <c r="PLF44" s="3161"/>
      <c r="PLG44" s="3161"/>
      <c r="PLH44" s="3161"/>
      <c r="PLI44" s="3161"/>
      <c r="PLJ44" s="3161"/>
      <c r="PLK44" s="3161"/>
      <c r="PLL44" s="3161"/>
      <c r="PLM44" s="3161"/>
      <c r="PLN44" s="3161"/>
      <c r="PLO44" s="3161"/>
      <c r="PLP44" s="3161"/>
      <c r="PLQ44" s="3161"/>
      <c r="PLR44" s="3161"/>
      <c r="PLS44" s="3161"/>
      <c r="PLT44" s="3161"/>
      <c r="PLU44" s="3161"/>
      <c r="PLV44" s="3161"/>
      <c r="PLW44" s="3161"/>
      <c r="PLX44" s="3161"/>
      <c r="PLY44" s="3161"/>
      <c r="PLZ44" s="3161"/>
      <c r="PMA44" s="3161"/>
      <c r="PMB44" s="3161"/>
      <c r="PMC44" s="3161"/>
      <c r="PMD44" s="3161"/>
      <c r="PME44" s="3161"/>
      <c r="PMF44" s="3161"/>
      <c r="PMG44" s="3161"/>
      <c r="PMH44" s="3161"/>
      <c r="PMI44" s="3161"/>
      <c r="PMJ44" s="3161"/>
      <c r="PMK44" s="3161"/>
      <c r="PML44" s="3161"/>
      <c r="PMM44" s="3161"/>
      <c r="PMN44" s="3161"/>
      <c r="PMO44" s="3161"/>
      <c r="PMP44" s="3161"/>
      <c r="PMQ44" s="3161"/>
      <c r="PMR44" s="3161"/>
      <c r="PMS44" s="3161"/>
      <c r="PMT44" s="3161"/>
      <c r="PMU44" s="3161"/>
      <c r="PMV44" s="3161"/>
      <c r="PMW44" s="3161"/>
      <c r="PMX44" s="3161"/>
      <c r="PMY44" s="3161"/>
      <c r="PMZ44" s="3161"/>
      <c r="PNA44" s="3161"/>
      <c r="PNB44" s="3161"/>
      <c r="PNC44" s="3161"/>
      <c r="PND44" s="3161"/>
      <c r="PNE44" s="3161"/>
      <c r="PNF44" s="3161"/>
      <c r="PNG44" s="3161"/>
      <c r="PNH44" s="3161"/>
      <c r="PNI44" s="3161"/>
      <c r="PNJ44" s="3161"/>
      <c r="PNK44" s="3161"/>
      <c r="PNL44" s="3161"/>
      <c r="PNM44" s="3161"/>
      <c r="PNN44" s="3161"/>
      <c r="PNO44" s="3161"/>
      <c r="PNP44" s="3161"/>
      <c r="PNQ44" s="3161"/>
      <c r="PNR44" s="3161"/>
      <c r="PNS44" s="3161"/>
      <c r="PNT44" s="3161"/>
      <c r="PNU44" s="3161"/>
      <c r="PNV44" s="3161"/>
      <c r="PNW44" s="3161"/>
      <c r="PNX44" s="3161"/>
      <c r="PNY44" s="3161"/>
      <c r="PNZ44" s="3161"/>
      <c r="POA44" s="3161"/>
      <c r="POB44" s="3161"/>
      <c r="POC44" s="3161"/>
      <c r="POD44" s="3161"/>
      <c r="POE44" s="3161"/>
      <c r="POF44" s="3161"/>
      <c r="POG44" s="3161"/>
      <c r="POH44" s="3161"/>
      <c r="POI44" s="3161"/>
      <c r="POJ44" s="3161"/>
      <c r="POK44" s="3161"/>
      <c r="POL44" s="3161"/>
      <c r="POM44" s="3161"/>
      <c r="PON44" s="3161"/>
      <c r="POO44" s="3161"/>
      <c r="POP44" s="3161"/>
      <c r="POQ44" s="3161"/>
      <c r="POR44" s="3161"/>
      <c r="POS44" s="3161"/>
      <c r="POT44" s="3161"/>
      <c r="POU44" s="3161"/>
      <c r="POV44" s="3161"/>
      <c r="POW44" s="3161"/>
      <c r="POX44" s="3161"/>
      <c r="POY44" s="3161"/>
      <c r="POZ44" s="3161"/>
      <c r="PPA44" s="3161"/>
      <c r="PPB44" s="3161"/>
      <c r="PPC44" s="3161"/>
      <c r="PPD44" s="3161"/>
      <c r="PPE44" s="3161"/>
      <c r="PPF44" s="3161"/>
      <c r="PPG44" s="3161"/>
      <c r="PPH44" s="3161"/>
      <c r="PPI44" s="3161"/>
      <c r="PPJ44" s="3161"/>
      <c r="PPK44" s="3161"/>
      <c r="PPL44" s="3161"/>
      <c r="PPM44" s="3161"/>
      <c r="PPN44" s="3161"/>
      <c r="PPO44" s="3161"/>
      <c r="PPP44" s="3161"/>
      <c r="PPQ44" s="3161"/>
      <c r="PPR44" s="3161"/>
      <c r="PPS44" s="3161"/>
      <c r="PPT44" s="3161"/>
      <c r="PPU44" s="3161"/>
      <c r="PPV44" s="3161"/>
      <c r="PPW44" s="3161"/>
      <c r="PPX44" s="3161"/>
      <c r="PPY44" s="3161"/>
      <c r="PPZ44" s="3161"/>
      <c r="PQA44" s="3161"/>
      <c r="PQB44" s="3161"/>
      <c r="PQC44" s="3161"/>
      <c r="PQD44" s="3161"/>
      <c r="PQE44" s="3161"/>
      <c r="PQF44" s="3161"/>
      <c r="PQG44" s="3161"/>
      <c r="PQH44" s="3161"/>
      <c r="PQI44" s="3161"/>
      <c r="PQJ44" s="3161"/>
      <c r="PQK44" s="3161"/>
      <c r="PQL44" s="3161"/>
      <c r="PQM44" s="3161"/>
      <c r="PQN44" s="3161"/>
      <c r="PQO44" s="3161"/>
      <c r="PQP44" s="3161"/>
      <c r="PQQ44" s="3161"/>
      <c r="PQR44" s="3161"/>
      <c r="PQS44" s="3161"/>
      <c r="PQT44" s="3161"/>
      <c r="PQU44" s="3161"/>
      <c r="PQV44" s="3161"/>
      <c r="PQW44" s="3161"/>
      <c r="PQX44" s="3161"/>
      <c r="PQY44" s="3161"/>
      <c r="PQZ44" s="3161"/>
      <c r="PRA44" s="3161"/>
      <c r="PRB44" s="3161"/>
      <c r="PRC44" s="3161"/>
      <c r="PRD44" s="3161"/>
      <c r="PRE44" s="3161"/>
      <c r="PRF44" s="3161"/>
      <c r="PRG44" s="3161"/>
      <c r="PRH44" s="3161"/>
      <c r="PRI44" s="3161"/>
      <c r="PRJ44" s="3161"/>
      <c r="PRK44" s="3161"/>
      <c r="PRL44" s="3161"/>
      <c r="PRM44" s="3161"/>
      <c r="PRN44" s="3161"/>
      <c r="PRO44" s="3161"/>
      <c r="PRP44" s="3161"/>
      <c r="PRQ44" s="3161"/>
      <c r="PRR44" s="3161"/>
      <c r="PRS44" s="3161"/>
      <c r="PRT44" s="3161"/>
      <c r="PRU44" s="3161"/>
      <c r="PRV44" s="3161"/>
      <c r="PRW44" s="3161"/>
      <c r="PRX44" s="3161"/>
      <c r="PRY44" s="3161"/>
      <c r="PRZ44" s="3161"/>
      <c r="PSA44" s="3161"/>
      <c r="PSB44" s="3161"/>
      <c r="PSC44" s="3161"/>
      <c r="PSD44" s="3161"/>
      <c r="PSE44" s="3161"/>
      <c r="PSF44" s="3161"/>
      <c r="PSG44" s="3161"/>
      <c r="PSH44" s="3161"/>
      <c r="PSI44" s="3161"/>
      <c r="PSJ44" s="3161"/>
      <c r="PSK44" s="3161"/>
      <c r="PSL44" s="3161"/>
      <c r="PSM44" s="3161"/>
      <c r="PSN44" s="3161"/>
      <c r="PSO44" s="3161"/>
      <c r="PSP44" s="3161"/>
      <c r="PSQ44" s="3161"/>
      <c r="PSR44" s="3161"/>
      <c r="PSS44" s="3161"/>
      <c r="PST44" s="3161"/>
      <c r="PSU44" s="3161"/>
      <c r="PSV44" s="3161"/>
      <c r="PSW44" s="3161"/>
      <c r="PSX44" s="3161"/>
      <c r="PSY44" s="3161"/>
      <c r="PSZ44" s="3161"/>
      <c r="PTA44" s="3161"/>
      <c r="PTB44" s="3161"/>
      <c r="PTC44" s="3161"/>
      <c r="PTD44" s="3161"/>
      <c r="PTE44" s="3161"/>
      <c r="PTF44" s="3161"/>
      <c r="PTG44" s="3161"/>
      <c r="PTH44" s="3161"/>
      <c r="PTI44" s="3161"/>
      <c r="PTJ44" s="3161"/>
      <c r="PTK44" s="3161"/>
      <c r="PTL44" s="3161"/>
      <c r="PTM44" s="3161"/>
      <c r="PTN44" s="3161"/>
      <c r="PTO44" s="3161"/>
      <c r="PTP44" s="3161"/>
      <c r="PTQ44" s="3161"/>
      <c r="PTR44" s="3161"/>
      <c r="PTS44" s="3161"/>
      <c r="PTT44" s="3161"/>
      <c r="PTU44" s="3161"/>
      <c r="PTV44" s="3161"/>
      <c r="PTW44" s="3161"/>
      <c r="PTX44" s="3161"/>
      <c r="PTY44" s="3161"/>
      <c r="PTZ44" s="3161"/>
      <c r="PUA44" s="3161"/>
      <c r="PUB44" s="3161"/>
      <c r="PUC44" s="3161"/>
      <c r="PUD44" s="3161"/>
      <c r="PUE44" s="3161"/>
      <c r="PUF44" s="3161"/>
      <c r="PUG44" s="3161"/>
      <c r="PUH44" s="3161"/>
      <c r="PUI44" s="3161"/>
      <c r="PUJ44" s="3161"/>
      <c r="PUK44" s="3161"/>
      <c r="PUL44" s="3161"/>
      <c r="PUM44" s="3161"/>
      <c r="PUN44" s="3161"/>
      <c r="PUO44" s="3161"/>
      <c r="PUP44" s="3161"/>
      <c r="PUQ44" s="3161"/>
      <c r="PUR44" s="3161"/>
      <c r="PUS44" s="3161"/>
      <c r="PUT44" s="3161"/>
      <c r="PUU44" s="3161"/>
      <c r="PUV44" s="3161"/>
      <c r="PUW44" s="3161"/>
      <c r="PUX44" s="3161"/>
      <c r="PUY44" s="3161"/>
      <c r="PUZ44" s="3161"/>
      <c r="PVA44" s="3161"/>
      <c r="PVB44" s="3161"/>
      <c r="PVC44" s="3161"/>
      <c r="PVD44" s="3161"/>
      <c r="PVE44" s="3161"/>
      <c r="PVF44" s="3161"/>
      <c r="PVG44" s="3161"/>
      <c r="PVH44" s="3161"/>
      <c r="PVI44" s="3161"/>
      <c r="PVJ44" s="3161"/>
      <c r="PVK44" s="3161"/>
      <c r="PVL44" s="3161"/>
      <c r="PVM44" s="3161"/>
      <c r="PVN44" s="3161"/>
      <c r="PVO44" s="3161"/>
      <c r="PVP44" s="3161"/>
      <c r="PVQ44" s="3161"/>
      <c r="PVR44" s="3161"/>
      <c r="PVS44" s="3161"/>
      <c r="PVT44" s="3161"/>
      <c r="PVU44" s="3161"/>
      <c r="PVV44" s="3161"/>
      <c r="PVW44" s="3161"/>
      <c r="PVX44" s="3161"/>
      <c r="PVY44" s="3161"/>
      <c r="PVZ44" s="3161"/>
      <c r="PWA44" s="3161"/>
      <c r="PWB44" s="3161"/>
      <c r="PWC44" s="3161"/>
      <c r="PWD44" s="3161"/>
      <c r="PWE44" s="3161"/>
      <c r="PWF44" s="3161"/>
      <c r="PWG44" s="3161"/>
      <c r="PWH44" s="3161"/>
      <c r="PWI44" s="3161"/>
      <c r="PWJ44" s="3161"/>
      <c r="PWK44" s="3161"/>
      <c r="PWL44" s="3161"/>
      <c r="PWM44" s="3161"/>
      <c r="PWN44" s="3161"/>
      <c r="PWO44" s="3161"/>
      <c r="PWP44" s="3161"/>
      <c r="PWQ44" s="3161"/>
      <c r="PWR44" s="3161"/>
      <c r="PWS44" s="3161"/>
      <c r="PWT44" s="3161"/>
      <c r="PWU44" s="3161"/>
      <c r="PWV44" s="3161"/>
      <c r="PWW44" s="3161"/>
      <c r="PWX44" s="3161"/>
      <c r="PWY44" s="3161"/>
      <c r="PWZ44" s="3161"/>
      <c r="PXA44" s="3161"/>
      <c r="PXB44" s="3161"/>
      <c r="PXC44" s="3161"/>
      <c r="PXD44" s="3161"/>
      <c r="PXE44" s="3161"/>
      <c r="PXF44" s="3161"/>
      <c r="PXG44" s="3161"/>
      <c r="PXH44" s="3161"/>
      <c r="PXI44" s="3161"/>
      <c r="PXJ44" s="3161"/>
      <c r="PXK44" s="3161"/>
      <c r="PXL44" s="3161"/>
      <c r="PXM44" s="3161"/>
      <c r="PXN44" s="3161"/>
      <c r="PXO44" s="3161"/>
      <c r="PXP44" s="3161"/>
      <c r="PXQ44" s="3161"/>
      <c r="PXR44" s="3161"/>
      <c r="PXS44" s="3161"/>
      <c r="PXT44" s="3161"/>
      <c r="PXU44" s="3161"/>
      <c r="PXV44" s="3161"/>
      <c r="PXW44" s="3161"/>
      <c r="PXX44" s="3161"/>
      <c r="PXY44" s="3161"/>
      <c r="PXZ44" s="3161"/>
      <c r="PYA44" s="3161"/>
      <c r="PYB44" s="3161"/>
      <c r="PYC44" s="3161"/>
      <c r="PYD44" s="3161"/>
      <c r="PYE44" s="3161"/>
      <c r="PYF44" s="3161"/>
      <c r="PYG44" s="3161"/>
      <c r="PYH44" s="3161"/>
      <c r="PYI44" s="3161"/>
      <c r="PYJ44" s="3161"/>
      <c r="PYK44" s="3161"/>
      <c r="PYL44" s="3161"/>
      <c r="PYM44" s="3161"/>
      <c r="PYN44" s="3161"/>
      <c r="PYO44" s="3161"/>
      <c r="PYP44" s="3161"/>
      <c r="PYQ44" s="3161"/>
      <c r="PYR44" s="3161"/>
      <c r="PYS44" s="3161"/>
      <c r="PYT44" s="3161"/>
      <c r="PYU44" s="3161"/>
      <c r="PYV44" s="3161"/>
      <c r="PYW44" s="3161"/>
      <c r="PYX44" s="3161"/>
      <c r="PYY44" s="3161"/>
      <c r="PYZ44" s="3161"/>
      <c r="PZA44" s="3161"/>
      <c r="PZB44" s="3161"/>
      <c r="PZC44" s="3161"/>
      <c r="PZD44" s="3161"/>
      <c r="PZE44" s="3161"/>
      <c r="PZF44" s="3161"/>
      <c r="PZG44" s="3161"/>
      <c r="PZH44" s="3161"/>
      <c r="PZI44" s="3161"/>
      <c r="PZJ44" s="3161"/>
      <c r="PZK44" s="3161"/>
      <c r="PZL44" s="3161"/>
      <c r="PZM44" s="3161"/>
      <c r="PZN44" s="3161"/>
      <c r="PZO44" s="3161"/>
      <c r="PZP44" s="3161"/>
      <c r="PZQ44" s="3161"/>
      <c r="PZR44" s="3161"/>
      <c r="PZS44" s="3161"/>
      <c r="PZT44" s="3161"/>
      <c r="PZU44" s="3161"/>
      <c r="PZV44" s="3161"/>
      <c r="PZW44" s="3161"/>
      <c r="PZX44" s="3161"/>
      <c r="PZY44" s="3161"/>
      <c r="PZZ44" s="3161"/>
      <c r="QAA44" s="3161"/>
      <c r="QAB44" s="3161"/>
      <c r="QAC44" s="3161"/>
      <c r="QAD44" s="3161"/>
      <c r="QAE44" s="3161"/>
      <c r="QAF44" s="3161"/>
      <c r="QAG44" s="3161"/>
      <c r="QAH44" s="3161"/>
      <c r="QAI44" s="3161"/>
      <c r="QAJ44" s="3161"/>
      <c r="QAK44" s="3161"/>
      <c r="QAL44" s="3161"/>
      <c r="QAM44" s="3161"/>
      <c r="QAN44" s="3161"/>
      <c r="QAO44" s="3161"/>
      <c r="QAP44" s="3161"/>
      <c r="QAQ44" s="3161"/>
      <c r="QAR44" s="3161"/>
      <c r="QAS44" s="3161"/>
      <c r="QAT44" s="3161"/>
      <c r="QAU44" s="3161"/>
      <c r="QAV44" s="3161"/>
      <c r="QAW44" s="3161"/>
      <c r="QAX44" s="3161"/>
      <c r="QAY44" s="3161"/>
      <c r="QAZ44" s="3161"/>
      <c r="QBA44" s="3161"/>
      <c r="QBB44" s="3161"/>
      <c r="QBC44" s="3161"/>
      <c r="QBD44" s="3161"/>
      <c r="QBE44" s="3161"/>
      <c r="QBF44" s="3161"/>
      <c r="QBG44" s="3161"/>
      <c r="QBH44" s="3161"/>
      <c r="QBI44" s="3161"/>
      <c r="QBJ44" s="3161"/>
      <c r="QBK44" s="3161"/>
      <c r="QBL44" s="3161"/>
      <c r="QBM44" s="3161"/>
      <c r="QBN44" s="3161"/>
      <c r="QBO44" s="3161"/>
      <c r="QBP44" s="3161"/>
      <c r="QBQ44" s="3161"/>
      <c r="QBR44" s="3161"/>
      <c r="QBS44" s="3161"/>
      <c r="QBT44" s="3161"/>
      <c r="QBU44" s="3161"/>
      <c r="QBV44" s="3161"/>
      <c r="QBW44" s="3161"/>
      <c r="QBX44" s="3161"/>
      <c r="QBY44" s="3161"/>
      <c r="QBZ44" s="3161"/>
      <c r="QCA44" s="3161"/>
      <c r="QCB44" s="3161"/>
      <c r="QCC44" s="3161"/>
      <c r="QCD44" s="3161"/>
      <c r="QCE44" s="3161"/>
      <c r="QCF44" s="3161"/>
      <c r="QCG44" s="3161"/>
      <c r="QCH44" s="3161"/>
      <c r="QCI44" s="3161"/>
      <c r="QCJ44" s="3161"/>
      <c r="QCK44" s="3161"/>
      <c r="QCL44" s="3161"/>
      <c r="QCM44" s="3161"/>
      <c r="QCN44" s="3161"/>
      <c r="QCO44" s="3161"/>
      <c r="QCP44" s="3161"/>
      <c r="QCQ44" s="3161"/>
      <c r="QCR44" s="3161"/>
      <c r="QCS44" s="3161"/>
      <c r="QCT44" s="3161"/>
      <c r="QCU44" s="3161"/>
      <c r="QCV44" s="3161"/>
      <c r="QCW44" s="3161"/>
      <c r="QCX44" s="3161"/>
      <c r="QCY44" s="3161"/>
      <c r="QCZ44" s="3161"/>
      <c r="QDA44" s="3161"/>
      <c r="QDB44" s="3161"/>
      <c r="QDC44" s="3161"/>
      <c r="QDD44" s="3161"/>
      <c r="QDE44" s="3161"/>
      <c r="QDF44" s="3161"/>
      <c r="QDG44" s="3161"/>
      <c r="QDH44" s="3161"/>
      <c r="QDI44" s="3161"/>
      <c r="QDJ44" s="3161"/>
      <c r="QDK44" s="3161"/>
      <c r="QDL44" s="3161"/>
      <c r="QDM44" s="3161"/>
      <c r="QDN44" s="3161"/>
      <c r="QDO44" s="3161"/>
      <c r="QDP44" s="3161"/>
      <c r="QDQ44" s="3161"/>
      <c r="QDR44" s="3161"/>
      <c r="QDS44" s="3161"/>
      <c r="QDT44" s="3161"/>
      <c r="QDU44" s="3161"/>
      <c r="QDV44" s="3161"/>
      <c r="QDW44" s="3161"/>
      <c r="QDX44" s="3161"/>
      <c r="QDY44" s="3161"/>
      <c r="QDZ44" s="3161"/>
      <c r="QEA44" s="3161"/>
      <c r="QEB44" s="3161"/>
      <c r="QEC44" s="3161"/>
      <c r="QED44" s="3161"/>
      <c r="QEE44" s="3161"/>
      <c r="QEF44" s="3161"/>
      <c r="QEG44" s="3161"/>
      <c r="QEH44" s="3161"/>
      <c r="QEI44" s="3161"/>
      <c r="QEJ44" s="3161"/>
      <c r="QEK44" s="3161"/>
      <c r="QEL44" s="3161"/>
      <c r="QEM44" s="3161"/>
      <c r="QEN44" s="3161"/>
      <c r="QEO44" s="3161"/>
      <c r="QEP44" s="3161"/>
      <c r="QEQ44" s="3161"/>
      <c r="QER44" s="3161"/>
      <c r="QES44" s="3161"/>
      <c r="QET44" s="3161"/>
      <c r="QEU44" s="3161"/>
      <c r="QEV44" s="3161"/>
      <c r="QEW44" s="3161"/>
      <c r="QEX44" s="3161"/>
      <c r="QEY44" s="3161"/>
      <c r="QEZ44" s="3161"/>
      <c r="QFA44" s="3161"/>
      <c r="QFB44" s="3161"/>
      <c r="QFC44" s="3161"/>
      <c r="QFD44" s="3161"/>
      <c r="QFE44" s="3161"/>
      <c r="QFF44" s="3161"/>
      <c r="QFG44" s="3161"/>
      <c r="QFH44" s="3161"/>
      <c r="QFI44" s="3161"/>
      <c r="QFJ44" s="3161"/>
      <c r="QFK44" s="3161"/>
      <c r="QFL44" s="3161"/>
      <c r="QFM44" s="3161"/>
      <c r="QFN44" s="3161"/>
      <c r="QFO44" s="3161"/>
      <c r="QFP44" s="3161"/>
      <c r="QFQ44" s="3161"/>
      <c r="QFR44" s="3161"/>
      <c r="QFS44" s="3161"/>
      <c r="QFT44" s="3161"/>
      <c r="QFU44" s="3161"/>
      <c r="QFV44" s="3161"/>
      <c r="QFW44" s="3161"/>
      <c r="QFX44" s="3161"/>
      <c r="QFY44" s="3161"/>
      <c r="QFZ44" s="3161"/>
      <c r="QGA44" s="3161"/>
      <c r="QGB44" s="3161"/>
      <c r="QGC44" s="3161"/>
      <c r="QGD44" s="3161"/>
      <c r="QGE44" s="3161"/>
      <c r="QGF44" s="3161"/>
      <c r="QGG44" s="3161"/>
      <c r="QGH44" s="3161"/>
      <c r="QGI44" s="3161"/>
      <c r="QGJ44" s="3161"/>
      <c r="QGK44" s="3161"/>
      <c r="QGL44" s="3161"/>
      <c r="QGM44" s="3161"/>
      <c r="QGN44" s="3161"/>
      <c r="QGO44" s="3161"/>
      <c r="QGP44" s="3161"/>
      <c r="QGQ44" s="3161"/>
      <c r="QGR44" s="3161"/>
      <c r="QGS44" s="3161"/>
      <c r="QGT44" s="3161"/>
      <c r="QGU44" s="3161"/>
      <c r="QGV44" s="3161"/>
      <c r="QGW44" s="3161"/>
      <c r="QGX44" s="3161"/>
      <c r="QGY44" s="3161"/>
      <c r="QGZ44" s="3161"/>
      <c r="QHA44" s="3161"/>
      <c r="QHB44" s="3161"/>
      <c r="QHC44" s="3161"/>
      <c r="QHD44" s="3161"/>
      <c r="QHE44" s="3161"/>
      <c r="QHF44" s="3161"/>
      <c r="QHG44" s="3161"/>
      <c r="QHH44" s="3161"/>
      <c r="QHI44" s="3161"/>
      <c r="QHJ44" s="3161"/>
      <c r="QHK44" s="3161"/>
      <c r="QHL44" s="3161"/>
      <c r="QHM44" s="3161"/>
      <c r="QHN44" s="3161"/>
      <c r="QHO44" s="3161"/>
      <c r="QHP44" s="3161"/>
      <c r="QHQ44" s="3161"/>
      <c r="QHR44" s="3161"/>
      <c r="QHS44" s="3161"/>
      <c r="QHT44" s="3161"/>
      <c r="QHU44" s="3161"/>
      <c r="QHV44" s="3161"/>
      <c r="QHW44" s="3161"/>
      <c r="QHX44" s="3161"/>
      <c r="QHY44" s="3161"/>
      <c r="QHZ44" s="3161"/>
      <c r="QIA44" s="3161"/>
      <c r="QIB44" s="3161"/>
      <c r="QIC44" s="3161"/>
      <c r="QID44" s="3161"/>
      <c r="QIE44" s="3161"/>
      <c r="QIF44" s="3161"/>
      <c r="QIG44" s="3161"/>
      <c r="QIH44" s="3161"/>
      <c r="QII44" s="3161"/>
      <c r="QIJ44" s="3161"/>
      <c r="QIK44" s="3161"/>
      <c r="QIL44" s="3161"/>
      <c r="QIM44" s="3161"/>
      <c r="QIN44" s="3161"/>
      <c r="QIO44" s="3161"/>
      <c r="QIP44" s="3161"/>
      <c r="QIQ44" s="3161"/>
      <c r="QIR44" s="3161"/>
      <c r="QIS44" s="3161"/>
      <c r="QIT44" s="3161"/>
      <c r="QIU44" s="3161"/>
      <c r="QIV44" s="3161"/>
      <c r="QIW44" s="3161"/>
      <c r="QIX44" s="3161"/>
      <c r="QIY44" s="3161"/>
      <c r="QIZ44" s="3161"/>
      <c r="QJA44" s="3161"/>
      <c r="QJB44" s="3161"/>
      <c r="QJC44" s="3161"/>
      <c r="QJD44" s="3161"/>
      <c r="QJE44" s="3161"/>
      <c r="QJF44" s="3161"/>
      <c r="QJG44" s="3161"/>
      <c r="QJH44" s="3161"/>
      <c r="QJI44" s="3161"/>
      <c r="QJJ44" s="3161"/>
      <c r="QJK44" s="3161"/>
      <c r="QJL44" s="3161"/>
      <c r="QJM44" s="3161"/>
      <c r="QJN44" s="3161"/>
      <c r="QJO44" s="3161"/>
      <c r="QJP44" s="3161"/>
      <c r="QJQ44" s="3161"/>
      <c r="QJR44" s="3161"/>
      <c r="QJS44" s="3161"/>
      <c r="QJT44" s="3161"/>
      <c r="QJU44" s="3161"/>
      <c r="QJV44" s="3161"/>
      <c r="QJW44" s="3161"/>
      <c r="QJX44" s="3161"/>
      <c r="QJY44" s="3161"/>
      <c r="QJZ44" s="3161"/>
      <c r="QKA44" s="3161"/>
      <c r="QKB44" s="3161"/>
      <c r="QKC44" s="3161"/>
      <c r="QKD44" s="3161"/>
      <c r="QKE44" s="3161"/>
      <c r="QKF44" s="3161"/>
      <c r="QKG44" s="3161"/>
      <c r="QKH44" s="3161"/>
      <c r="QKI44" s="3161"/>
      <c r="QKJ44" s="3161"/>
      <c r="QKK44" s="3161"/>
      <c r="QKL44" s="3161"/>
      <c r="QKM44" s="3161"/>
      <c r="QKN44" s="3161"/>
      <c r="QKO44" s="3161"/>
      <c r="QKP44" s="3161"/>
      <c r="QKQ44" s="3161"/>
      <c r="QKR44" s="3161"/>
      <c r="QKS44" s="3161"/>
      <c r="QKT44" s="3161"/>
      <c r="QKU44" s="3161"/>
      <c r="QKV44" s="3161"/>
      <c r="QKW44" s="3161"/>
      <c r="QKX44" s="3161"/>
      <c r="QKY44" s="3161"/>
      <c r="QKZ44" s="3161"/>
      <c r="QLA44" s="3161"/>
      <c r="QLB44" s="3161"/>
      <c r="QLC44" s="3161"/>
      <c r="QLD44" s="3161"/>
      <c r="QLE44" s="3161"/>
      <c r="QLF44" s="3161"/>
      <c r="QLG44" s="3161"/>
      <c r="QLH44" s="3161"/>
      <c r="QLI44" s="3161"/>
      <c r="QLJ44" s="3161"/>
      <c r="QLK44" s="3161"/>
      <c r="QLL44" s="3161"/>
      <c r="QLM44" s="3161"/>
      <c r="QLN44" s="3161"/>
      <c r="QLO44" s="3161"/>
      <c r="QLP44" s="3161"/>
      <c r="QLQ44" s="3161"/>
      <c r="QLR44" s="3161"/>
      <c r="QLS44" s="3161"/>
      <c r="QLT44" s="3161"/>
      <c r="QLU44" s="3161"/>
      <c r="QLV44" s="3161"/>
      <c r="QLW44" s="3161"/>
      <c r="QLX44" s="3161"/>
      <c r="QLY44" s="3161"/>
      <c r="QLZ44" s="3161"/>
      <c r="QMA44" s="3161"/>
      <c r="QMB44" s="3161"/>
      <c r="QMC44" s="3161"/>
      <c r="QMD44" s="3161"/>
      <c r="QME44" s="3161"/>
      <c r="QMF44" s="3161"/>
      <c r="QMG44" s="3161"/>
      <c r="QMH44" s="3161"/>
      <c r="QMI44" s="3161"/>
      <c r="QMJ44" s="3161"/>
      <c r="QMK44" s="3161"/>
      <c r="QML44" s="3161"/>
      <c r="QMM44" s="3161"/>
      <c r="QMN44" s="3161"/>
      <c r="QMO44" s="3161"/>
      <c r="QMP44" s="3161"/>
      <c r="QMQ44" s="3161"/>
      <c r="QMR44" s="3161"/>
      <c r="QMS44" s="3161"/>
      <c r="QMT44" s="3161"/>
      <c r="QMU44" s="3161"/>
      <c r="QMV44" s="3161"/>
      <c r="QMW44" s="3161"/>
      <c r="QMX44" s="3161"/>
      <c r="QMY44" s="3161"/>
      <c r="QMZ44" s="3161"/>
      <c r="QNA44" s="3161"/>
      <c r="QNB44" s="3161"/>
      <c r="QNC44" s="3161"/>
      <c r="QND44" s="3161"/>
      <c r="QNE44" s="3161"/>
      <c r="QNF44" s="3161"/>
      <c r="QNG44" s="3161"/>
      <c r="QNH44" s="3161"/>
      <c r="QNI44" s="3161"/>
      <c r="QNJ44" s="3161"/>
      <c r="QNK44" s="3161"/>
      <c r="QNL44" s="3161"/>
      <c r="QNM44" s="3161"/>
      <c r="QNN44" s="3161"/>
      <c r="QNO44" s="3161"/>
      <c r="QNP44" s="3161"/>
      <c r="QNQ44" s="3161"/>
      <c r="QNR44" s="3161"/>
      <c r="QNS44" s="3161"/>
      <c r="QNT44" s="3161"/>
      <c r="QNU44" s="3161"/>
      <c r="QNV44" s="3161"/>
      <c r="QNW44" s="3161"/>
      <c r="QNX44" s="3161"/>
      <c r="QNY44" s="3161"/>
      <c r="QNZ44" s="3161"/>
      <c r="QOA44" s="3161"/>
      <c r="QOB44" s="3161"/>
      <c r="QOC44" s="3161"/>
      <c r="QOD44" s="3161"/>
      <c r="QOE44" s="3161"/>
      <c r="QOF44" s="3161"/>
      <c r="QOG44" s="3161"/>
      <c r="QOH44" s="3161"/>
      <c r="QOI44" s="3161"/>
      <c r="QOJ44" s="3161"/>
      <c r="QOK44" s="3161"/>
      <c r="QOL44" s="3161"/>
      <c r="QOM44" s="3161"/>
      <c r="QON44" s="3161"/>
      <c r="QOO44" s="3161"/>
      <c r="QOP44" s="3161"/>
      <c r="QOQ44" s="3161"/>
      <c r="QOR44" s="3161"/>
      <c r="QOS44" s="3161"/>
      <c r="QOT44" s="3161"/>
      <c r="QOU44" s="3161"/>
      <c r="QOV44" s="3161"/>
      <c r="QOW44" s="3161"/>
      <c r="QOX44" s="3161"/>
      <c r="QOY44" s="3161"/>
      <c r="QOZ44" s="3161"/>
      <c r="QPA44" s="3161"/>
      <c r="QPB44" s="3161"/>
      <c r="QPC44" s="3161"/>
      <c r="QPD44" s="3161"/>
      <c r="QPE44" s="3161"/>
      <c r="QPF44" s="3161"/>
      <c r="QPG44" s="3161"/>
      <c r="QPH44" s="3161"/>
      <c r="QPI44" s="3161"/>
      <c r="QPJ44" s="3161"/>
      <c r="QPK44" s="3161"/>
      <c r="QPL44" s="3161"/>
      <c r="QPM44" s="3161"/>
      <c r="QPN44" s="3161"/>
      <c r="QPO44" s="3161"/>
      <c r="QPP44" s="3161"/>
      <c r="QPQ44" s="3161"/>
      <c r="QPR44" s="3161"/>
      <c r="QPS44" s="3161"/>
      <c r="QPT44" s="3161"/>
      <c r="QPU44" s="3161"/>
      <c r="QPV44" s="3161"/>
      <c r="QPW44" s="3161"/>
      <c r="QPX44" s="3161"/>
      <c r="QPY44" s="3161"/>
      <c r="QPZ44" s="3161"/>
      <c r="QQA44" s="3161"/>
      <c r="QQB44" s="3161"/>
      <c r="QQC44" s="3161"/>
      <c r="QQD44" s="3161"/>
      <c r="QQE44" s="3161"/>
      <c r="QQF44" s="3161"/>
      <c r="QQG44" s="3161"/>
      <c r="QQH44" s="3161"/>
      <c r="QQI44" s="3161"/>
      <c r="QQJ44" s="3161"/>
      <c r="QQK44" s="3161"/>
      <c r="QQL44" s="3161"/>
      <c r="QQM44" s="3161"/>
      <c r="QQN44" s="3161"/>
      <c r="QQO44" s="3161"/>
      <c r="QQP44" s="3161"/>
      <c r="QQQ44" s="3161"/>
      <c r="QQR44" s="3161"/>
      <c r="QQS44" s="3161"/>
      <c r="QQT44" s="3161"/>
      <c r="QQU44" s="3161"/>
      <c r="QQV44" s="3161"/>
      <c r="QQW44" s="3161"/>
      <c r="QQX44" s="3161"/>
      <c r="QQY44" s="3161"/>
      <c r="QQZ44" s="3161"/>
      <c r="QRA44" s="3161"/>
      <c r="QRB44" s="3161"/>
      <c r="QRC44" s="3161"/>
      <c r="QRD44" s="3161"/>
      <c r="QRE44" s="3161"/>
      <c r="QRF44" s="3161"/>
      <c r="QRG44" s="3161"/>
      <c r="QRH44" s="3161"/>
      <c r="QRI44" s="3161"/>
      <c r="QRJ44" s="3161"/>
      <c r="QRK44" s="3161"/>
      <c r="QRL44" s="3161"/>
      <c r="QRM44" s="3161"/>
      <c r="QRN44" s="3161"/>
      <c r="QRO44" s="3161"/>
      <c r="QRP44" s="3161"/>
      <c r="QRQ44" s="3161"/>
      <c r="QRR44" s="3161"/>
      <c r="QRS44" s="3161"/>
      <c r="QRT44" s="3161"/>
      <c r="QRU44" s="3161"/>
      <c r="QRV44" s="3161"/>
      <c r="QRW44" s="3161"/>
      <c r="QRX44" s="3161"/>
      <c r="QRY44" s="3161"/>
      <c r="QRZ44" s="3161"/>
      <c r="QSA44" s="3161"/>
      <c r="QSB44" s="3161"/>
      <c r="QSC44" s="3161"/>
      <c r="QSD44" s="3161"/>
      <c r="QSE44" s="3161"/>
      <c r="QSF44" s="3161"/>
      <c r="QSG44" s="3161"/>
      <c r="QSH44" s="3161"/>
      <c r="QSI44" s="3161"/>
      <c r="QSJ44" s="3161"/>
      <c r="QSK44" s="3161"/>
      <c r="QSL44" s="3161"/>
      <c r="QSM44" s="3161"/>
      <c r="QSN44" s="3161"/>
      <c r="QSO44" s="3161"/>
      <c r="QSP44" s="3161"/>
      <c r="QSQ44" s="3161"/>
      <c r="QSR44" s="3161"/>
      <c r="QSS44" s="3161"/>
      <c r="QST44" s="3161"/>
      <c r="QSU44" s="3161"/>
      <c r="QSV44" s="3161"/>
      <c r="QSW44" s="3161"/>
      <c r="QSX44" s="3161"/>
      <c r="QSY44" s="3161"/>
      <c r="QSZ44" s="3161"/>
      <c r="QTA44" s="3161"/>
      <c r="QTB44" s="3161"/>
      <c r="QTC44" s="3161"/>
      <c r="QTD44" s="3161"/>
      <c r="QTE44" s="3161"/>
      <c r="QTF44" s="3161"/>
      <c r="QTG44" s="3161"/>
      <c r="QTH44" s="3161"/>
      <c r="QTI44" s="3161"/>
      <c r="QTJ44" s="3161"/>
      <c r="QTK44" s="3161"/>
      <c r="QTL44" s="3161"/>
      <c r="QTM44" s="3161"/>
      <c r="QTN44" s="3161"/>
      <c r="QTO44" s="3161"/>
      <c r="QTP44" s="3161"/>
      <c r="QTQ44" s="3161"/>
      <c r="QTR44" s="3161"/>
      <c r="QTS44" s="3161"/>
      <c r="QTT44" s="3161"/>
      <c r="QTU44" s="3161"/>
      <c r="QTV44" s="3161"/>
      <c r="QTW44" s="3161"/>
      <c r="QTX44" s="3161"/>
      <c r="QTY44" s="3161"/>
      <c r="QTZ44" s="3161"/>
      <c r="QUA44" s="3161"/>
      <c r="QUB44" s="3161"/>
      <c r="QUC44" s="3161"/>
      <c r="QUD44" s="3161"/>
      <c r="QUE44" s="3161"/>
      <c r="QUF44" s="3161"/>
      <c r="QUG44" s="3161"/>
      <c r="QUH44" s="3161"/>
      <c r="QUI44" s="3161"/>
      <c r="QUJ44" s="3161"/>
      <c r="QUK44" s="3161"/>
      <c r="QUL44" s="3161"/>
      <c r="QUM44" s="3161"/>
      <c r="QUN44" s="3161"/>
      <c r="QUO44" s="3161"/>
      <c r="QUP44" s="3161"/>
      <c r="QUQ44" s="3161"/>
      <c r="QUR44" s="3161"/>
      <c r="QUS44" s="3161"/>
      <c r="QUT44" s="3161"/>
      <c r="QUU44" s="3161"/>
      <c r="QUV44" s="3161"/>
      <c r="QUW44" s="3161"/>
      <c r="QUX44" s="3161"/>
      <c r="QUY44" s="3161"/>
      <c r="QUZ44" s="3161"/>
      <c r="QVA44" s="3161"/>
      <c r="QVB44" s="3161"/>
      <c r="QVC44" s="3161"/>
      <c r="QVD44" s="3161"/>
      <c r="QVE44" s="3161"/>
      <c r="QVF44" s="3161"/>
      <c r="QVG44" s="3161"/>
      <c r="QVH44" s="3161"/>
      <c r="QVI44" s="3161"/>
      <c r="QVJ44" s="3161"/>
      <c r="QVK44" s="3161"/>
      <c r="QVL44" s="3161"/>
      <c r="QVM44" s="3161"/>
      <c r="QVN44" s="3161"/>
      <c r="QVO44" s="3161"/>
      <c r="QVP44" s="3161"/>
      <c r="QVQ44" s="3161"/>
      <c r="QVR44" s="3161"/>
      <c r="QVS44" s="3161"/>
      <c r="QVT44" s="3161"/>
      <c r="QVU44" s="3161"/>
      <c r="QVV44" s="3161"/>
      <c r="QVW44" s="3161"/>
      <c r="QVX44" s="3161"/>
      <c r="QVY44" s="3161"/>
      <c r="QVZ44" s="3161"/>
      <c r="QWA44" s="3161"/>
      <c r="QWB44" s="3161"/>
      <c r="QWC44" s="3161"/>
      <c r="QWD44" s="3161"/>
      <c r="QWE44" s="3161"/>
      <c r="QWF44" s="3161"/>
      <c r="QWG44" s="3161"/>
      <c r="QWH44" s="3161"/>
      <c r="QWI44" s="3161"/>
      <c r="QWJ44" s="3161"/>
      <c r="QWK44" s="3161"/>
      <c r="QWL44" s="3161"/>
      <c r="QWM44" s="3161"/>
      <c r="QWN44" s="3161"/>
      <c r="QWO44" s="3161"/>
      <c r="QWP44" s="3161"/>
      <c r="QWQ44" s="3161"/>
      <c r="QWR44" s="3161"/>
      <c r="QWS44" s="3161"/>
      <c r="QWT44" s="3161"/>
      <c r="QWU44" s="3161"/>
      <c r="QWV44" s="3161"/>
      <c r="QWW44" s="3161"/>
      <c r="QWX44" s="3161"/>
      <c r="QWY44" s="3161"/>
      <c r="QWZ44" s="3161"/>
      <c r="QXA44" s="3161"/>
      <c r="QXB44" s="3161"/>
      <c r="QXC44" s="3161"/>
      <c r="QXD44" s="3161"/>
      <c r="QXE44" s="3161"/>
      <c r="QXF44" s="3161"/>
      <c r="QXG44" s="3161"/>
      <c r="QXH44" s="3161"/>
      <c r="QXI44" s="3161"/>
      <c r="QXJ44" s="3161"/>
      <c r="QXK44" s="3161"/>
      <c r="QXL44" s="3161"/>
      <c r="QXM44" s="3161"/>
      <c r="QXN44" s="3161"/>
      <c r="QXO44" s="3161"/>
      <c r="QXP44" s="3161"/>
      <c r="QXQ44" s="3161"/>
      <c r="QXR44" s="3161"/>
      <c r="QXS44" s="3161"/>
      <c r="QXT44" s="3161"/>
      <c r="QXU44" s="3161"/>
      <c r="QXV44" s="3161"/>
      <c r="QXW44" s="3161"/>
      <c r="QXX44" s="3161"/>
      <c r="QXY44" s="3161"/>
      <c r="QXZ44" s="3161"/>
      <c r="QYA44" s="3161"/>
      <c r="QYB44" s="3161"/>
      <c r="QYC44" s="3161"/>
      <c r="QYD44" s="3161"/>
      <c r="QYE44" s="3161"/>
      <c r="QYF44" s="3161"/>
      <c r="QYG44" s="3161"/>
      <c r="QYH44" s="3161"/>
      <c r="QYI44" s="3161"/>
      <c r="QYJ44" s="3161"/>
      <c r="QYK44" s="3161"/>
      <c r="QYL44" s="3161"/>
      <c r="QYM44" s="3161"/>
      <c r="QYN44" s="3161"/>
      <c r="QYO44" s="3161"/>
      <c r="QYP44" s="3161"/>
      <c r="QYQ44" s="3161"/>
      <c r="QYR44" s="3161"/>
      <c r="QYS44" s="3161"/>
      <c r="QYT44" s="3161"/>
      <c r="QYU44" s="3161"/>
      <c r="QYV44" s="3161"/>
      <c r="QYW44" s="3161"/>
      <c r="QYX44" s="3161"/>
      <c r="QYY44" s="3161"/>
      <c r="QYZ44" s="3161"/>
      <c r="QZA44" s="3161"/>
      <c r="QZB44" s="3161"/>
      <c r="QZC44" s="3161"/>
      <c r="QZD44" s="3161"/>
      <c r="QZE44" s="3161"/>
      <c r="QZF44" s="3161"/>
      <c r="QZG44" s="3161"/>
      <c r="QZH44" s="3161"/>
      <c r="QZI44" s="3161"/>
      <c r="QZJ44" s="3161"/>
      <c r="QZK44" s="3161"/>
      <c r="QZL44" s="3161"/>
      <c r="QZM44" s="3161"/>
      <c r="QZN44" s="3161"/>
      <c r="QZO44" s="3161"/>
      <c r="QZP44" s="3161"/>
      <c r="QZQ44" s="3161"/>
      <c r="QZR44" s="3161"/>
      <c r="QZS44" s="3161"/>
      <c r="QZT44" s="3161"/>
      <c r="QZU44" s="3161"/>
      <c r="QZV44" s="3161"/>
      <c r="QZW44" s="3161"/>
      <c r="QZX44" s="3161"/>
      <c r="QZY44" s="3161"/>
      <c r="QZZ44" s="3161"/>
      <c r="RAA44" s="3161"/>
      <c r="RAB44" s="3161"/>
      <c r="RAC44" s="3161"/>
      <c r="RAD44" s="3161"/>
      <c r="RAE44" s="3161"/>
      <c r="RAF44" s="3161"/>
      <c r="RAG44" s="3161"/>
      <c r="RAH44" s="3161"/>
      <c r="RAI44" s="3161"/>
      <c r="RAJ44" s="3161"/>
      <c r="RAK44" s="3161"/>
      <c r="RAL44" s="3161"/>
      <c r="RAM44" s="3161"/>
      <c r="RAN44" s="3161"/>
      <c r="RAO44" s="3161"/>
      <c r="RAP44" s="3161"/>
      <c r="RAQ44" s="3161"/>
      <c r="RAR44" s="3161"/>
      <c r="RAS44" s="3161"/>
      <c r="RAT44" s="3161"/>
      <c r="RAU44" s="3161"/>
      <c r="RAV44" s="3161"/>
      <c r="RAW44" s="3161"/>
      <c r="RAX44" s="3161"/>
      <c r="RAY44" s="3161"/>
      <c r="RAZ44" s="3161"/>
      <c r="RBA44" s="3161"/>
      <c r="RBB44" s="3161"/>
      <c r="RBC44" s="3161"/>
      <c r="RBD44" s="3161"/>
      <c r="RBE44" s="3161"/>
      <c r="RBF44" s="3161"/>
      <c r="RBG44" s="3161"/>
      <c r="RBH44" s="3161"/>
      <c r="RBI44" s="3161"/>
      <c r="RBJ44" s="3161"/>
      <c r="RBK44" s="3161"/>
      <c r="RBL44" s="3161"/>
      <c r="RBM44" s="3161"/>
      <c r="RBN44" s="3161"/>
      <c r="RBO44" s="3161"/>
      <c r="RBP44" s="3161"/>
      <c r="RBQ44" s="3161"/>
      <c r="RBR44" s="3161"/>
      <c r="RBS44" s="3161"/>
      <c r="RBT44" s="3161"/>
      <c r="RBU44" s="3161"/>
      <c r="RBV44" s="3161"/>
      <c r="RBW44" s="3161"/>
      <c r="RBX44" s="3161"/>
      <c r="RBY44" s="3161"/>
      <c r="RBZ44" s="3161"/>
      <c r="RCA44" s="3161"/>
      <c r="RCB44" s="3161"/>
      <c r="RCC44" s="3161"/>
      <c r="RCD44" s="3161"/>
      <c r="RCE44" s="3161"/>
      <c r="RCF44" s="3161"/>
      <c r="RCG44" s="3161"/>
      <c r="RCH44" s="3161"/>
      <c r="RCI44" s="3161"/>
      <c r="RCJ44" s="3161"/>
      <c r="RCK44" s="3161"/>
      <c r="RCL44" s="3161"/>
      <c r="RCM44" s="3161"/>
      <c r="RCN44" s="3161"/>
      <c r="RCO44" s="3161"/>
      <c r="RCP44" s="3161"/>
      <c r="RCQ44" s="3161"/>
      <c r="RCR44" s="3161"/>
      <c r="RCS44" s="3161"/>
      <c r="RCT44" s="3161"/>
      <c r="RCU44" s="3161"/>
      <c r="RCV44" s="3161"/>
      <c r="RCW44" s="3161"/>
      <c r="RCX44" s="3161"/>
      <c r="RCY44" s="3161"/>
      <c r="RCZ44" s="3161"/>
      <c r="RDA44" s="3161"/>
      <c r="RDB44" s="3161"/>
      <c r="RDC44" s="3161"/>
      <c r="RDD44" s="3161"/>
      <c r="RDE44" s="3161"/>
      <c r="RDF44" s="3161"/>
      <c r="RDG44" s="3161"/>
      <c r="RDH44" s="3161"/>
      <c r="RDI44" s="3161"/>
      <c r="RDJ44" s="3161"/>
      <c r="RDK44" s="3161"/>
      <c r="RDL44" s="3161"/>
      <c r="RDM44" s="3161"/>
      <c r="RDN44" s="3161"/>
      <c r="RDO44" s="3161"/>
      <c r="RDP44" s="3161"/>
      <c r="RDQ44" s="3161"/>
      <c r="RDR44" s="3161"/>
      <c r="RDS44" s="3161"/>
      <c r="RDT44" s="3161"/>
      <c r="RDU44" s="3161"/>
      <c r="RDV44" s="3161"/>
      <c r="RDW44" s="3161"/>
      <c r="RDX44" s="3161"/>
      <c r="RDY44" s="3161"/>
      <c r="RDZ44" s="3161"/>
      <c r="REA44" s="3161"/>
      <c r="REB44" s="3161"/>
      <c r="REC44" s="3161"/>
      <c r="RED44" s="3161"/>
      <c r="REE44" s="3161"/>
      <c r="REF44" s="3161"/>
      <c r="REG44" s="3161"/>
      <c r="REH44" s="3161"/>
      <c r="REI44" s="3161"/>
      <c r="REJ44" s="3161"/>
      <c r="REK44" s="3161"/>
      <c r="REL44" s="3161"/>
      <c r="REM44" s="3161"/>
      <c r="REN44" s="3161"/>
      <c r="REO44" s="3161"/>
      <c r="REP44" s="3161"/>
      <c r="REQ44" s="3161"/>
      <c r="RER44" s="3161"/>
      <c r="RES44" s="3161"/>
      <c r="RET44" s="3161"/>
      <c r="REU44" s="3161"/>
      <c r="REV44" s="3161"/>
      <c r="REW44" s="3161"/>
      <c r="REX44" s="3161"/>
      <c r="REY44" s="3161"/>
      <c r="REZ44" s="3161"/>
      <c r="RFA44" s="3161"/>
      <c r="RFB44" s="3161"/>
      <c r="RFC44" s="3161"/>
      <c r="RFD44" s="3161"/>
      <c r="RFE44" s="3161"/>
      <c r="RFF44" s="3161"/>
      <c r="RFG44" s="3161"/>
      <c r="RFH44" s="3161"/>
      <c r="RFI44" s="3161"/>
      <c r="RFJ44" s="3161"/>
      <c r="RFK44" s="3161"/>
      <c r="RFL44" s="3161"/>
      <c r="RFM44" s="3161"/>
      <c r="RFN44" s="3161"/>
      <c r="RFO44" s="3161"/>
      <c r="RFP44" s="3161"/>
      <c r="RFQ44" s="3161"/>
      <c r="RFR44" s="3161"/>
      <c r="RFS44" s="3161"/>
      <c r="RFT44" s="3161"/>
      <c r="RFU44" s="3161"/>
      <c r="RFV44" s="3161"/>
      <c r="RFW44" s="3161"/>
      <c r="RFX44" s="3161"/>
      <c r="RFY44" s="3161"/>
      <c r="RFZ44" s="3161"/>
      <c r="RGA44" s="3161"/>
      <c r="RGB44" s="3161"/>
      <c r="RGC44" s="3161"/>
      <c r="RGD44" s="3161"/>
      <c r="RGE44" s="3161"/>
      <c r="RGF44" s="3161"/>
      <c r="RGG44" s="3161"/>
      <c r="RGH44" s="3161"/>
      <c r="RGI44" s="3161"/>
      <c r="RGJ44" s="3161"/>
      <c r="RGK44" s="3161"/>
      <c r="RGL44" s="3161"/>
      <c r="RGM44" s="3161"/>
      <c r="RGN44" s="3161"/>
      <c r="RGO44" s="3161"/>
      <c r="RGP44" s="3161"/>
      <c r="RGQ44" s="3161"/>
      <c r="RGR44" s="3161"/>
      <c r="RGS44" s="3161"/>
      <c r="RGT44" s="3161"/>
      <c r="RGU44" s="3161"/>
      <c r="RGV44" s="3161"/>
      <c r="RGW44" s="3161"/>
      <c r="RGX44" s="3161"/>
      <c r="RGY44" s="3161"/>
      <c r="RGZ44" s="3161"/>
      <c r="RHA44" s="3161"/>
      <c r="RHB44" s="3161"/>
      <c r="RHC44" s="3161"/>
      <c r="RHD44" s="3161"/>
      <c r="RHE44" s="3161"/>
      <c r="RHF44" s="3161"/>
      <c r="RHG44" s="3161"/>
      <c r="RHH44" s="3161"/>
      <c r="RHI44" s="3161"/>
      <c r="RHJ44" s="3161"/>
      <c r="RHK44" s="3161"/>
      <c r="RHL44" s="3161"/>
      <c r="RHM44" s="3161"/>
      <c r="RHN44" s="3161"/>
      <c r="RHO44" s="3161"/>
      <c r="RHP44" s="3161"/>
      <c r="RHQ44" s="3161"/>
      <c r="RHR44" s="3161"/>
      <c r="RHS44" s="3161"/>
      <c r="RHT44" s="3161"/>
      <c r="RHU44" s="3161"/>
      <c r="RHV44" s="3161"/>
      <c r="RHW44" s="3161"/>
      <c r="RHX44" s="3161"/>
      <c r="RHY44" s="3161"/>
      <c r="RHZ44" s="3161"/>
      <c r="RIA44" s="3161"/>
      <c r="RIB44" s="3161"/>
      <c r="RIC44" s="3161"/>
      <c r="RID44" s="3161"/>
      <c r="RIE44" s="3161"/>
      <c r="RIF44" s="3161"/>
      <c r="RIG44" s="3161"/>
      <c r="RIH44" s="3161"/>
      <c r="RII44" s="3161"/>
      <c r="RIJ44" s="3161"/>
      <c r="RIK44" s="3161"/>
      <c r="RIL44" s="3161"/>
      <c r="RIM44" s="3161"/>
      <c r="RIN44" s="3161"/>
      <c r="RIO44" s="3161"/>
      <c r="RIP44" s="3161"/>
      <c r="RIQ44" s="3161"/>
      <c r="RIR44" s="3161"/>
      <c r="RIS44" s="3161"/>
      <c r="RIT44" s="3161"/>
      <c r="RIU44" s="3161"/>
      <c r="RIV44" s="3161"/>
      <c r="RIW44" s="3161"/>
      <c r="RIX44" s="3161"/>
      <c r="RIY44" s="3161"/>
      <c r="RIZ44" s="3161"/>
      <c r="RJA44" s="3161"/>
      <c r="RJB44" s="3161"/>
      <c r="RJC44" s="3161"/>
      <c r="RJD44" s="3161"/>
      <c r="RJE44" s="3161"/>
      <c r="RJF44" s="3161"/>
      <c r="RJG44" s="3161"/>
      <c r="RJH44" s="3161"/>
      <c r="RJI44" s="3161"/>
      <c r="RJJ44" s="3161"/>
      <c r="RJK44" s="3161"/>
      <c r="RJL44" s="3161"/>
      <c r="RJM44" s="3161"/>
      <c r="RJN44" s="3161"/>
      <c r="RJO44" s="3161"/>
      <c r="RJP44" s="3161"/>
      <c r="RJQ44" s="3161"/>
      <c r="RJR44" s="3161"/>
      <c r="RJS44" s="3161"/>
      <c r="RJT44" s="3161"/>
      <c r="RJU44" s="3161"/>
      <c r="RJV44" s="3161"/>
      <c r="RJW44" s="3161"/>
      <c r="RJX44" s="3161"/>
      <c r="RJY44" s="3161"/>
      <c r="RJZ44" s="3161"/>
      <c r="RKA44" s="3161"/>
      <c r="RKB44" s="3161"/>
      <c r="RKC44" s="3161"/>
      <c r="RKD44" s="3161"/>
      <c r="RKE44" s="3161"/>
      <c r="RKF44" s="3161"/>
      <c r="RKG44" s="3161"/>
      <c r="RKH44" s="3161"/>
      <c r="RKI44" s="3161"/>
      <c r="RKJ44" s="3161"/>
      <c r="RKK44" s="3161"/>
      <c r="RKL44" s="3161"/>
      <c r="RKM44" s="3161"/>
      <c r="RKN44" s="3161"/>
      <c r="RKO44" s="3161"/>
      <c r="RKP44" s="3161"/>
      <c r="RKQ44" s="3161"/>
      <c r="RKR44" s="3161"/>
      <c r="RKS44" s="3161"/>
      <c r="RKT44" s="3161"/>
      <c r="RKU44" s="3161"/>
      <c r="RKV44" s="3161"/>
      <c r="RKW44" s="3161"/>
      <c r="RKX44" s="3161"/>
      <c r="RKY44" s="3161"/>
      <c r="RKZ44" s="3161"/>
      <c r="RLA44" s="3161"/>
      <c r="RLB44" s="3161"/>
      <c r="RLC44" s="3161"/>
      <c r="RLD44" s="3161"/>
      <c r="RLE44" s="3161"/>
      <c r="RLF44" s="3161"/>
      <c r="RLG44" s="3161"/>
      <c r="RLH44" s="3161"/>
      <c r="RLI44" s="3161"/>
      <c r="RLJ44" s="3161"/>
      <c r="RLK44" s="3161"/>
      <c r="RLL44" s="3161"/>
      <c r="RLM44" s="3161"/>
      <c r="RLN44" s="3161"/>
      <c r="RLO44" s="3161"/>
      <c r="RLP44" s="3161"/>
      <c r="RLQ44" s="3161"/>
      <c r="RLR44" s="3161"/>
      <c r="RLS44" s="3161"/>
      <c r="RLT44" s="3161"/>
      <c r="RLU44" s="3161"/>
      <c r="RLV44" s="3161"/>
      <c r="RLW44" s="3161"/>
      <c r="RLX44" s="3161"/>
      <c r="RLY44" s="3161"/>
      <c r="RLZ44" s="3161"/>
      <c r="RMA44" s="3161"/>
      <c r="RMB44" s="3161"/>
      <c r="RMC44" s="3161"/>
      <c r="RMD44" s="3161"/>
      <c r="RME44" s="3161"/>
      <c r="RMF44" s="3161"/>
      <c r="RMG44" s="3161"/>
      <c r="RMH44" s="3161"/>
      <c r="RMI44" s="3161"/>
      <c r="RMJ44" s="3161"/>
      <c r="RMK44" s="3161"/>
      <c r="RML44" s="3161"/>
      <c r="RMM44" s="3161"/>
      <c r="RMN44" s="3161"/>
      <c r="RMO44" s="3161"/>
      <c r="RMP44" s="3161"/>
      <c r="RMQ44" s="3161"/>
      <c r="RMR44" s="3161"/>
      <c r="RMS44" s="3161"/>
      <c r="RMT44" s="3161"/>
      <c r="RMU44" s="3161"/>
      <c r="RMV44" s="3161"/>
      <c r="RMW44" s="3161"/>
      <c r="RMX44" s="3161"/>
      <c r="RMY44" s="3161"/>
      <c r="RMZ44" s="3161"/>
      <c r="RNA44" s="3161"/>
      <c r="RNB44" s="3161"/>
      <c r="RNC44" s="3161"/>
      <c r="RND44" s="3161"/>
      <c r="RNE44" s="3161"/>
      <c r="RNF44" s="3161"/>
      <c r="RNG44" s="3161"/>
      <c r="RNH44" s="3161"/>
      <c r="RNI44" s="3161"/>
      <c r="RNJ44" s="3161"/>
      <c r="RNK44" s="3161"/>
      <c r="RNL44" s="3161"/>
      <c r="RNM44" s="3161"/>
      <c r="RNN44" s="3161"/>
      <c r="RNO44" s="3161"/>
      <c r="RNP44" s="3161"/>
      <c r="RNQ44" s="3161"/>
      <c r="RNR44" s="3161"/>
      <c r="RNS44" s="3161"/>
      <c r="RNT44" s="3161"/>
      <c r="RNU44" s="3161"/>
      <c r="RNV44" s="3161"/>
      <c r="RNW44" s="3161"/>
      <c r="RNX44" s="3161"/>
      <c r="RNY44" s="3161"/>
      <c r="RNZ44" s="3161"/>
      <c r="ROA44" s="3161"/>
      <c r="ROB44" s="3161"/>
      <c r="ROC44" s="3161"/>
      <c r="ROD44" s="3161"/>
      <c r="ROE44" s="3161"/>
      <c r="ROF44" s="3161"/>
      <c r="ROG44" s="3161"/>
      <c r="ROH44" s="3161"/>
      <c r="ROI44" s="3161"/>
      <c r="ROJ44" s="3161"/>
      <c r="ROK44" s="3161"/>
      <c r="ROL44" s="3161"/>
      <c r="ROM44" s="3161"/>
      <c r="RON44" s="3161"/>
      <c r="ROO44" s="3161"/>
      <c r="ROP44" s="3161"/>
      <c r="ROQ44" s="3161"/>
      <c r="ROR44" s="3161"/>
      <c r="ROS44" s="3161"/>
      <c r="ROT44" s="3161"/>
      <c r="ROU44" s="3161"/>
      <c r="ROV44" s="3161"/>
      <c r="ROW44" s="3161"/>
      <c r="ROX44" s="3161"/>
      <c r="ROY44" s="3161"/>
      <c r="ROZ44" s="3161"/>
      <c r="RPA44" s="3161"/>
      <c r="RPB44" s="3161"/>
      <c r="RPC44" s="3161"/>
      <c r="RPD44" s="3161"/>
      <c r="RPE44" s="3161"/>
      <c r="RPF44" s="3161"/>
      <c r="RPG44" s="3161"/>
      <c r="RPH44" s="3161"/>
      <c r="RPI44" s="3161"/>
      <c r="RPJ44" s="3161"/>
      <c r="RPK44" s="3161"/>
      <c r="RPL44" s="3161"/>
      <c r="RPM44" s="3161"/>
      <c r="RPN44" s="3161"/>
      <c r="RPO44" s="3161"/>
      <c r="RPP44" s="3161"/>
      <c r="RPQ44" s="3161"/>
      <c r="RPR44" s="3161"/>
      <c r="RPS44" s="3161"/>
      <c r="RPT44" s="3161"/>
      <c r="RPU44" s="3161"/>
      <c r="RPV44" s="3161"/>
      <c r="RPW44" s="3161"/>
      <c r="RPX44" s="3161"/>
      <c r="RPY44" s="3161"/>
      <c r="RPZ44" s="3161"/>
      <c r="RQA44" s="3161"/>
      <c r="RQB44" s="3161"/>
      <c r="RQC44" s="3161"/>
      <c r="RQD44" s="3161"/>
      <c r="RQE44" s="3161"/>
      <c r="RQF44" s="3161"/>
      <c r="RQG44" s="3161"/>
      <c r="RQH44" s="3161"/>
      <c r="RQI44" s="3161"/>
      <c r="RQJ44" s="3161"/>
      <c r="RQK44" s="3161"/>
      <c r="RQL44" s="3161"/>
      <c r="RQM44" s="3161"/>
      <c r="RQN44" s="3161"/>
      <c r="RQO44" s="3161"/>
      <c r="RQP44" s="3161"/>
      <c r="RQQ44" s="3161"/>
      <c r="RQR44" s="3161"/>
      <c r="RQS44" s="3161"/>
      <c r="RQT44" s="3161"/>
      <c r="RQU44" s="3161"/>
      <c r="RQV44" s="3161"/>
      <c r="RQW44" s="3161"/>
      <c r="RQX44" s="3161"/>
      <c r="RQY44" s="3161"/>
      <c r="RQZ44" s="3161"/>
      <c r="RRA44" s="3161"/>
      <c r="RRB44" s="3161"/>
      <c r="RRC44" s="3161"/>
      <c r="RRD44" s="3161"/>
      <c r="RRE44" s="3161"/>
      <c r="RRF44" s="3161"/>
      <c r="RRG44" s="3161"/>
      <c r="RRH44" s="3161"/>
      <c r="RRI44" s="3161"/>
      <c r="RRJ44" s="3161"/>
      <c r="RRK44" s="3161"/>
      <c r="RRL44" s="3161"/>
      <c r="RRM44" s="3161"/>
      <c r="RRN44" s="3161"/>
      <c r="RRO44" s="3161"/>
      <c r="RRP44" s="3161"/>
      <c r="RRQ44" s="3161"/>
      <c r="RRR44" s="3161"/>
      <c r="RRS44" s="3161"/>
      <c r="RRT44" s="3161"/>
      <c r="RRU44" s="3161"/>
      <c r="RRV44" s="3161"/>
      <c r="RRW44" s="3161"/>
      <c r="RRX44" s="3161"/>
      <c r="RRY44" s="3161"/>
      <c r="RRZ44" s="3161"/>
      <c r="RSA44" s="3161"/>
      <c r="RSB44" s="3161"/>
      <c r="RSC44" s="3161"/>
      <c r="RSD44" s="3161"/>
      <c r="RSE44" s="3161"/>
      <c r="RSF44" s="3161"/>
      <c r="RSG44" s="3161"/>
      <c r="RSH44" s="3161"/>
      <c r="RSI44" s="3161"/>
      <c r="RSJ44" s="3161"/>
      <c r="RSK44" s="3161"/>
      <c r="RSL44" s="3161"/>
      <c r="RSM44" s="3161"/>
      <c r="RSN44" s="3161"/>
      <c r="RSO44" s="3161"/>
      <c r="RSP44" s="3161"/>
      <c r="RSQ44" s="3161"/>
      <c r="RSR44" s="3161"/>
      <c r="RSS44" s="3161"/>
      <c r="RST44" s="3161"/>
      <c r="RSU44" s="3161"/>
      <c r="RSV44" s="3161"/>
      <c r="RSW44" s="3161"/>
      <c r="RSX44" s="3161"/>
      <c r="RSY44" s="3161"/>
      <c r="RSZ44" s="3161"/>
      <c r="RTA44" s="3161"/>
      <c r="RTB44" s="3161"/>
      <c r="RTC44" s="3161"/>
      <c r="RTD44" s="3161"/>
      <c r="RTE44" s="3161"/>
      <c r="RTF44" s="3161"/>
      <c r="RTG44" s="3161"/>
      <c r="RTH44" s="3161"/>
      <c r="RTI44" s="3161"/>
      <c r="RTJ44" s="3161"/>
      <c r="RTK44" s="3161"/>
      <c r="RTL44" s="3161"/>
      <c r="RTM44" s="3161"/>
      <c r="RTN44" s="3161"/>
      <c r="RTO44" s="3161"/>
      <c r="RTP44" s="3161"/>
      <c r="RTQ44" s="3161"/>
      <c r="RTR44" s="3161"/>
      <c r="RTS44" s="3161"/>
      <c r="RTT44" s="3161"/>
      <c r="RTU44" s="3161"/>
      <c r="RTV44" s="3161"/>
      <c r="RTW44" s="3161"/>
      <c r="RTX44" s="3161"/>
      <c r="RTY44" s="3161"/>
      <c r="RTZ44" s="3161"/>
      <c r="RUA44" s="3161"/>
      <c r="RUB44" s="3161"/>
      <c r="RUC44" s="3161"/>
      <c r="RUD44" s="3161"/>
      <c r="RUE44" s="3161"/>
      <c r="RUF44" s="3161"/>
      <c r="RUG44" s="3161"/>
      <c r="RUH44" s="3161"/>
      <c r="RUI44" s="3161"/>
      <c r="RUJ44" s="3161"/>
      <c r="RUK44" s="3161"/>
      <c r="RUL44" s="3161"/>
      <c r="RUM44" s="3161"/>
      <c r="RUN44" s="3161"/>
      <c r="RUO44" s="3161"/>
      <c r="RUP44" s="3161"/>
      <c r="RUQ44" s="3161"/>
      <c r="RUR44" s="3161"/>
      <c r="RUS44" s="3161"/>
      <c r="RUT44" s="3161"/>
      <c r="RUU44" s="3161"/>
      <c r="RUV44" s="3161"/>
      <c r="RUW44" s="3161"/>
      <c r="RUX44" s="3161"/>
      <c r="RUY44" s="3161"/>
      <c r="RUZ44" s="3161"/>
      <c r="RVA44" s="3161"/>
      <c r="RVB44" s="3161"/>
      <c r="RVC44" s="3161"/>
      <c r="RVD44" s="3161"/>
      <c r="RVE44" s="3161"/>
      <c r="RVF44" s="3161"/>
      <c r="RVG44" s="3161"/>
      <c r="RVH44" s="3161"/>
      <c r="RVI44" s="3161"/>
      <c r="RVJ44" s="3161"/>
      <c r="RVK44" s="3161"/>
      <c r="RVL44" s="3161"/>
      <c r="RVM44" s="3161"/>
      <c r="RVN44" s="3161"/>
      <c r="RVO44" s="3161"/>
      <c r="RVP44" s="3161"/>
      <c r="RVQ44" s="3161"/>
      <c r="RVR44" s="3161"/>
      <c r="RVS44" s="3161"/>
      <c r="RVT44" s="3161"/>
      <c r="RVU44" s="3161"/>
      <c r="RVV44" s="3161"/>
      <c r="RVW44" s="3161"/>
      <c r="RVX44" s="3161"/>
      <c r="RVY44" s="3161"/>
      <c r="RVZ44" s="3161"/>
      <c r="RWA44" s="3161"/>
      <c r="RWB44" s="3161"/>
      <c r="RWC44" s="3161"/>
      <c r="RWD44" s="3161"/>
      <c r="RWE44" s="3161"/>
      <c r="RWF44" s="3161"/>
      <c r="RWG44" s="3161"/>
      <c r="RWH44" s="3161"/>
      <c r="RWI44" s="3161"/>
      <c r="RWJ44" s="3161"/>
      <c r="RWK44" s="3161"/>
      <c r="RWL44" s="3161"/>
      <c r="RWM44" s="3161"/>
      <c r="RWN44" s="3161"/>
      <c r="RWO44" s="3161"/>
      <c r="RWP44" s="3161"/>
      <c r="RWQ44" s="3161"/>
      <c r="RWR44" s="3161"/>
      <c r="RWS44" s="3161"/>
      <c r="RWT44" s="3161"/>
      <c r="RWU44" s="3161"/>
      <c r="RWV44" s="3161"/>
      <c r="RWW44" s="3161"/>
      <c r="RWX44" s="3161"/>
      <c r="RWY44" s="3161"/>
      <c r="RWZ44" s="3161"/>
      <c r="RXA44" s="3161"/>
      <c r="RXB44" s="3161"/>
      <c r="RXC44" s="3161"/>
      <c r="RXD44" s="3161"/>
      <c r="RXE44" s="3161"/>
      <c r="RXF44" s="3161"/>
      <c r="RXG44" s="3161"/>
      <c r="RXH44" s="3161"/>
      <c r="RXI44" s="3161"/>
      <c r="RXJ44" s="3161"/>
      <c r="RXK44" s="3161"/>
      <c r="RXL44" s="3161"/>
      <c r="RXM44" s="3161"/>
      <c r="RXN44" s="3161"/>
      <c r="RXO44" s="3161"/>
      <c r="RXP44" s="3161"/>
      <c r="RXQ44" s="3161"/>
      <c r="RXR44" s="3161"/>
      <c r="RXS44" s="3161"/>
      <c r="RXT44" s="3161"/>
      <c r="RXU44" s="3161"/>
      <c r="RXV44" s="3161"/>
      <c r="RXW44" s="3161"/>
      <c r="RXX44" s="3161"/>
      <c r="RXY44" s="3161"/>
      <c r="RXZ44" s="3161"/>
      <c r="RYA44" s="3161"/>
      <c r="RYB44" s="3161"/>
      <c r="RYC44" s="3161"/>
      <c r="RYD44" s="3161"/>
      <c r="RYE44" s="3161"/>
      <c r="RYF44" s="3161"/>
      <c r="RYG44" s="3161"/>
      <c r="RYH44" s="3161"/>
      <c r="RYI44" s="3161"/>
      <c r="RYJ44" s="3161"/>
      <c r="RYK44" s="3161"/>
      <c r="RYL44" s="3161"/>
      <c r="RYM44" s="3161"/>
      <c r="RYN44" s="3161"/>
      <c r="RYO44" s="3161"/>
      <c r="RYP44" s="3161"/>
      <c r="RYQ44" s="3161"/>
      <c r="RYR44" s="3161"/>
      <c r="RYS44" s="3161"/>
      <c r="RYT44" s="3161"/>
      <c r="RYU44" s="3161"/>
      <c r="RYV44" s="3161"/>
      <c r="RYW44" s="3161"/>
      <c r="RYX44" s="3161"/>
      <c r="RYY44" s="3161"/>
      <c r="RYZ44" s="3161"/>
      <c r="RZA44" s="3161"/>
      <c r="RZB44" s="3161"/>
      <c r="RZC44" s="3161"/>
      <c r="RZD44" s="3161"/>
      <c r="RZE44" s="3161"/>
      <c r="RZF44" s="3161"/>
      <c r="RZG44" s="3161"/>
      <c r="RZH44" s="3161"/>
      <c r="RZI44" s="3161"/>
      <c r="RZJ44" s="3161"/>
      <c r="RZK44" s="3161"/>
      <c r="RZL44" s="3161"/>
      <c r="RZM44" s="3161"/>
      <c r="RZN44" s="3161"/>
      <c r="RZO44" s="3161"/>
      <c r="RZP44" s="3161"/>
      <c r="RZQ44" s="3161"/>
      <c r="RZR44" s="3161"/>
      <c r="RZS44" s="3161"/>
      <c r="RZT44" s="3161"/>
      <c r="RZU44" s="3161"/>
      <c r="RZV44" s="3161"/>
      <c r="RZW44" s="3161"/>
      <c r="RZX44" s="3161"/>
      <c r="RZY44" s="3161"/>
      <c r="RZZ44" s="3161"/>
      <c r="SAA44" s="3161"/>
      <c r="SAB44" s="3161"/>
      <c r="SAC44" s="3161"/>
      <c r="SAD44" s="3161"/>
      <c r="SAE44" s="3161"/>
      <c r="SAF44" s="3161"/>
      <c r="SAG44" s="3161"/>
      <c r="SAH44" s="3161"/>
      <c r="SAI44" s="3161"/>
      <c r="SAJ44" s="3161"/>
      <c r="SAK44" s="3161"/>
      <c r="SAL44" s="3161"/>
      <c r="SAM44" s="3161"/>
      <c r="SAN44" s="3161"/>
      <c r="SAO44" s="3161"/>
      <c r="SAP44" s="3161"/>
      <c r="SAQ44" s="3161"/>
      <c r="SAR44" s="3161"/>
      <c r="SAS44" s="3161"/>
      <c r="SAT44" s="3161"/>
      <c r="SAU44" s="3161"/>
      <c r="SAV44" s="3161"/>
      <c r="SAW44" s="3161"/>
      <c r="SAX44" s="3161"/>
      <c r="SAY44" s="3161"/>
      <c r="SAZ44" s="3161"/>
      <c r="SBA44" s="3161"/>
      <c r="SBB44" s="3161"/>
      <c r="SBC44" s="3161"/>
      <c r="SBD44" s="3161"/>
      <c r="SBE44" s="3161"/>
      <c r="SBF44" s="3161"/>
      <c r="SBG44" s="3161"/>
      <c r="SBH44" s="3161"/>
      <c r="SBI44" s="3161"/>
      <c r="SBJ44" s="3161"/>
      <c r="SBK44" s="3161"/>
      <c r="SBL44" s="3161"/>
      <c r="SBM44" s="3161"/>
      <c r="SBN44" s="3161"/>
      <c r="SBO44" s="3161"/>
      <c r="SBP44" s="3161"/>
      <c r="SBQ44" s="3161"/>
      <c r="SBR44" s="3161"/>
      <c r="SBS44" s="3161"/>
      <c r="SBT44" s="3161"/>
      <c r="SBU44" s="3161"/>
      <c r="SBV44" s="3161"/>
      <c r="SBW44" s="3161"/>
      <c r="SBX44" s="3161"/>
      <c r="SBY44" s="3161"/>
      <c r="SBZ44" s="3161"/>
      <c r="SCA44" s="3161"/>
      <c r="SCB44" s="3161"/>
      <c r="SCC44" s="3161"/>
      <c r="SCD44" s="3161"/>
      <c r="SCE44" s="3161"/>
      <c r="SCF44" s="3161"/>
      <c r="SCG44" s="3161"/>
      <c r="SCH44" s="3161"/>
      <c r="SCI44" s="3161"/>
      <c r="SCJ44" s="3161"/>
      <c r="SCK44" s="3161"/>
      <c r="SCL44" s="3161"/>
      <c r="SCM44" s="3161"/>
      <c r="SCN44" s="3161"/>
      <c r="SCO44" s="3161"/>
      <c r="SCP44" s="3161"/>
      <c r="SCQ44" s="3161"/>
      <c r="SCR44" s="3161"/>
      <c r="SCS44" s="3161"/>
      <c r="SCT44" s="3161"/>
      <c r="SCU44" s="3161"/>
      <c r="SCV44" s="3161"/>
      <c r="SCW44" s="3161"/>
      <c r="SCX44" s="3161"/>
      <c r="SCY44" s="3161"/>
      <c r="SCZ44" s="3161"/>
      <c r="SDA44" s="3161"/>
      <c r="SDB44" s="3161"/>
      <c r="SDC44" s="3161"/>
      <c r="SDD44" s="3161"/>
      <c r="SDE44" s="3161"/>
      <c r="SDF44" s="3161"/>
      <c r="SDG44" s="3161"/>
      <c r="SDH44" s="3161"/>
      <c r="SDI44" s="3161"/>
      <c r="SDJ44" s="3161"/>
      <c r="SDK44" s="3161"/>
      <c r="SDL44" s="3161"/>
      <c r="SDM44" s="3161"/>
      <c r="SDN44" s="3161"/>
      <c r="SDO44" s="3161"/>
      <c r="SDP44" s="3161"/>
      <c r="SDQ44" s="3161"/>
      <c r="SDR44" s="3161"/>
      <c r="SDS44" s="3161"/>
      <c r="SDT44" s="3161"/>
      <c r="SDU44" s="3161"/>
      <c r="SDV44" s="3161"/>
      <c r="SDW44" s="3161"/>
      <c r="SDX44" s="3161"/>
      <c r="SDY44" s="3161"/>
      <c r="SDZ44" s="3161"/>
      <c r="SEA44" s="3161"/>
      <c r="SEB44" s="3161"/>
      <c r="SEC44" s="3161"/>
      <c r="SED44" s="3161"/>
      <c r="SEE44" s="3161"/>
      <c r="SEF44" s="3161"/>
      <c r="SEG44" s="3161"/>
      <c r="SEH44" s="3161"/>
      <c r="SEI44" s="3161"/>
      <c r="SEJ44" s="3161"/>
      <c r="SEK44" s="3161"/>
      <c r="SEL44" s="3161"/>
      <c r="SEM44" s="3161"/>
      <c r="SEN44" s="3161"/>
      <c r="SEO44" s="3161"/>
      <c r="SEP44" s="3161"/>
      <c r="SEQ44" s="3161"/>
      <c r="SER44" s="3161"/>
      <c r="SES44" s="3161"/>
      <c r="SET44" s="3161"/>
      <c r="SEU44" s="3161"/>
      <c r="SEV44" s="3161"/>
      <c r="SEW44" s="3161"/>
      <c r="SEX44" s="3161"/>
      <c r="SEY44" s="3161"/>
      <c r="SEZ44" s="3161"/>
      <c r="SFA44" s="3161"/>
      <c r="SFB44" s="3161"/>
      <c r="SFC44" s="3161"/>
      <c r="SFD44" s="3161"/>
      <c r="SFE44" s="3161"/>
      <c r="SFF44" s="3161"/>
      <c r="SFG44" s="3161"/>
      <c r="SFH44" s="3161"/>
      <c r="SFI44" s="3161"/>
      <c r="SFJ44" s="3161"/>
      <c r="SFK44" s="3161"/>
      <c r="SFL44" s="3161"/>
      <c r="SFM44" s="3161"/>
      <c r="SFN44" s="3161"/>
      <c r="SFO44" s="3161"/>
      <c r="SFP44" s="3161"/>
      <c r="SFQ44" s="3161"/>
      <c r="SFR44" s="3161"/>
      <c r="SFS44" s="3161"/>
      <c r="SFT44" s="3161"/>
      <c r="SFU44" s="3161"/>
      <c r="SFV44" s="3161"/>
      <c r="SFW44" s="3161"/>
      <c r="SFX44" s="3161"/>
      <c r="SFY44" s="3161"/>
      <c r="SFZ44" s="3161"/>
      <c r="SGA44" s="3161"/>
      <c r="SGB44" s="3161"/>
      <c r="SGC44" s="3161"/>
      <c r="SGD44" s="3161"/>
      <c r="SGE44" s="3161"/>
      <c r="SGF44" s="3161"/>
      <c r="SGG44" s="3161"/>
      <c r="SGH44" s="3161"/>
      <c r="SGI44" s="3161"/>
      <c r="SGJ44" s="3161"/>
      <c r="SGK44" s="3161"/>
      <c r="SGL44" s="3161"/>
      <c r="SGM44" s="3161"/>
      <c r="SGN44" s="3161"/>
      <c r="SGO44" s="3161"/>
      <c r="SGP44" s="3161"/>
      <c r="SGQ44" s="3161"/>
      <c r="SGR44" s="3161"/>
      <c r="SGS44" s="3161"/>
      <c r="SGT44" s="3161"/>
      <c r="SGU44" s="3161"/>
      <c r="SGV44" s="3161"/>
      <c r="SGW44" s="3161"/>
      <c r="SGX44" s="3161"/>
      <c r="SGY44" s="3161"/>
      <c r="SGZ44" s="3161"/>
      <c r="SHA44" s="3161"/>
      <c r="SHB44" s="3161"/>
      <c r="SHC44" s="3161"/>
      <c r="SHD44" s="3161"/>
      <c r="SHE44" s="3161"/>
      <c r="SHF44" s="3161"/>
      <c r="SHG44" s="3161"/>
      <c r="SHH44" s="3161"/>
      <c r="SHI44" s="3161"/>
      <c r="SHJ44" s="3161"/>
      <c r="SHK44" s="3161"/>
      <c r="SHL44" s="3161"/>
      <c r="SHM44" s="3161"/>
      <c r="SHN44" s="3161"/>
      <c r="SHO44" s="3161"/>
      <c r="SHP44" s="3161"/>
      <c r="SHQ44" s="3161"/>
      <c r="SHR44" s="3161"/>
      <c r="SHS44" s="3161"/>
      <c r="SHT44" s="3161"/>
      <c r="SHU44" s="3161"/>
      <c r="SHV44" s="3161"/>
      <c r="SHW44" s="3161"/>
      <c r="SHX44" s="3161"/>
      <c r="SHY44" s="3161"/>
      <c r="SHZ44" s="3161"/>
      <c r="SIA44" s="3161"/>
      <c r="SIB44" s="3161"/>
      <c r="SIC44" s="3161"/>
      <c r="SID44" s="3161"/>
      <c r="SIE44" s="3161"/>
      <c r="SIF44" s="3161"/>
      <c r="SIG44" s="3161"/>
      <c r="SIH44" s="3161"/>
      <c r="SII44" s="3161"/>
      <c r="SIJ44" s="3161"/>
      <c r="SIK44" s="3161"/>
      <c r="SIL44" s="3161"/>
      <c r="SIM44" s="3161"/>
      <c r="SIN44" s="3161"/>
      <c r="SIO44" s="3161"/>
      <c r="SIP44" s="3161"/>
      <c r="SIQ44" s="3161"/>
      <c r="SIR44" s="3161"/>
      <c r="SIS44" s="3161"/>
      <c r="SIT44" s="3161"/>
      <c r="SIU44" s="3161"/>
      <c r="SIV44" s="3161"/>
      <c r="SIW44" s="3161"/>
      <c r="SIX44" s="3161"/>
      <c r="SIY44" s="3161"/>
      <c r="SIZ44" s="3161"/>
      <c r="SJA44" s="3161"/>
      <c r="SJB44" s="3161"/>
      <c r="SJC44" s="3161"/>
      <c r="SJD44" s="3161"/>
      <c r="SJE44" s="3161"/>
      <c r="SJF44" s="3161"/>
      <c r="SJG44" s="3161"/>
      <c r="SJH44" s="3161"/>
      <c r="SJI44" s="3161"/>
      <c r="SJJ44" s="3161"/>
      <c r="SJK44" s="3161"/>
      <c r="SJL44" s="3161"/>
      <c r="SJM44" s="3161"/>
      <c r="SJN44" s="3161"/>
      <c r="SJO44" s="3161"/>
      <c r="SJP44" s="3161"/>
      <c r="SJQ44" s="3161"/>
      <c r="SJR44" s="3161"/>
      <c r="SJS44" s="3161"/>
      <c r="SJT44" s="3161"/>
      <c r="SJU44" s="3161"/>
      <c r="SJV44" s="3161"/>
      <c r="SJW44" s="3161"/>
      <c r="SJX44" s="3161"/>
      <c r="SJY44" s="3161"/>
      <c r="SJZ44" s="3161"/>
      <c r="SKA44" s="3161"/>
      <c r="SKB44" s="3161"/>
      <c r="SKC44" s="3161"/>
      <c r="SKD44" s="3161"/>
      <c r="SKE44" s="3161"/>
      <c r="SKF44" s="3161"/>
      <c r="SKG44" s="3161"/>
      <c r="SKH44" s="3161"/>
      <c r="SKI44" s="3161"/>
      <c r="SKJ44" s="3161"/>
      <c r="SKK44" s="3161"/>
      <c r="SKL44" s="3161"/>
      <c r="SKM44" s="3161"/>
      <c r="SKN44" s="3161"/>
      <c r="SKO44" s="3161"/>
      <c r="SKP44" s="3161"/>
      <c r="SKQ44" s="3161"/>
      <c r="SKR44" s="3161"/>
      <c r="SKS44" s="3161"/>
      <c r="SKT44" s="3161"/>
      <c r="SKU44" s="3161"/>
      <c r="SKV44" s="3161"/>
      <c r="SKW44" s="3161"/>
      <c r="SKX44" s="3161"/>
      <c r="SKY44" s="3161"/>
      <c r="SKZ44" s="3161"/>
      <c r="SLA44" s="3161"/>
      <c r="SLB44" s="3161"/>
      <c r="SLC44" s="3161"/>
      <c r="SLD44" s="3161"/>
      <c r="SLE44" s="3161"/>
      <c r="SLF44" s="3161"/>
      <c r="SLG44" s="3161"/>
      <c r="SLH44" s="3161"/>
      <c r="SLI44" s="3161"/>
      <c r="SLJ44" s="3161"/>
      <c r="SLK44" s="3161"/>
      <c r="SLL44" s="3161"/>
      <c r="SLM44" s="3161"/>
      <c r="SLN44" s="3161"/>
      <c r="SLO44" s="3161"/>
      <c r="SLP44" s="3161"/>
      <c r="SLQ44" s="3161"/>
      <c r="SLR44" s="3161"/>
      <c r="SLS44" s="3161"/>
      <c r="SLT44" s="3161"/>
      <c r="SLU44" s="3161"/>
      <c r="SLV44" s="3161"/>
      <c r="SLW44" s="3161"/>
      <c r="SLX44" s="3161"/>
      <c r="SLY44" s="3161"/>
      <c r="SLZ44" s="3161"/>
      <c r="SMA44" s="3161"/>
      <c r="SMB44" s="3161"/>
      <c r="SMC44" s="3161"/>
      <c r="SMD44" s="3161"/>
      <c r="SME44" s="3161"/>
      <c r="SMF44" s="3161"/>
      <c r="SMG44" s="3161"/>
      <c r="SMH44" s="3161"/>
      <c r="SMI44" s="3161"/>
      <c r="SMJ44" s="3161"/>
      <c r="SMK44" s="3161"/>
      <c r="SML44" s="3161"/>
      <c r="SMM44" s="3161"/>
      <c r="SMN44" s="3161"/>
      <c r="SMO44" s="3161"/>
      <c r="SMP44" s="3161"/>
      <c r="SMQ44" s="3161"/>
      <c r="SMR44" s="3161"/>
      <c r="SMS44" s="3161"/>
      <c r="SMT44" s="3161"/>
      <c r="SMU44" s="3161"/>
      <c r="SMV44" s="3161"/>
      <c r="SMW44" s="3161"/>
      <c r="SMX44" s="3161"/>
      <c r="SMY44" s="3161"/>
      <c r="SMZ44" s="3161"/>
      <c r="SNA44" s="3161"/>
      <c r="SNB44" s="3161"/>
      <c r="SNC44" s="3161"/>
      <c r="SND44" s="3161"/>
      <c r="SNE44" s="3161"/>
      <c r="SNF44" s="3161"/>
      <c r="SNG44" s="3161"/>
      <c r="SNH44" s="3161"/>
      <c r="SNI44" s="3161"/>
      <c r="SNJ44" s="3161"/>
      <c r="SNK44" s="3161"/>
      <c r="SNL44" s="3161"/>
      <c r="SNM44" s="3161"/>
      <c r="SNN44" s="3161"/>
      <c r="SNO44" s="3161"/>
      <c r="SNP44" s="3161"/>
      <c r="SNQ44" s="3161"/>
      <c r="SNR44" s="3161"/>
      <c r="SNS44" s="3161"/>
      <c r="SNT44" s="3161"/>
      <c r="SNU44" s="3161"/>
      <c r="SNV44" s="3161"/>
      <c r="SNW44" s="3161"/>
      <c r="SNX44" s="3161"/>
      <c r="SNY44" s="3161"/>
      <c r="SNZ44" s="3161"/>
      <c r="SOA44" s="3161"/>
      <c r="SOB44" s="3161"/>
      <c r="SOC44" s="3161"/>
      <c r="SOD44" s="3161"/>
      <c r="SOE44" s="3161"/>
      <c r="SOF44" s="3161"/>
      <c r="SOG44" s="3161"/>
      <c r="SOH44" s="3161"/>
      <c r="SOI44" s="3161"/>
      <c r="SOJ44" s="3161"/>
      <c r="SOK44" s="3161"/>
      <c r="SOL44" s="3161"/>
      <c r="SOM44" s="3161"/>
      <c r="SON44" s="3161"/>
      <c r="SOO44" s="3161"/>
      <c r="SOP44" s="3161"/>
      <c r="SOQ44" s="3161"/>
      <c r="SOR44" s="3161"/>
      <c r="SOS44" s="3161"/>
      <c r="SOT44" s="3161"/>
      <c r="SOU44" s="3161"/>
      <c r="SOV44" s="3161"/>
      <c r="SOW44" s="3161"/>
      <c r="SOX44" s="3161"/>
      <c r="SOY44" s="3161"/>
      <c r="SOZ44" s="3161"/>
      <c r="SPA44" s="3161"/>
      <c r="SPB44" s="3161"/>
      <c r="SPC44" s="3161"/>
      <c r="SPD44" s="3161"/>
      <c r="SPE44" s="3161"/>
      <c r="SPF44" s="3161"/>
      <c r="SPG44" s="3161"/>
      <c r="SPH44" s="3161"/>
      <c r="SPI44" s="3161"/>
      <c r="SPJ44" s="3161"/>
      <c r="SPK44" s="3161"/>
      <c r="SPL44" s="3161"/>
      <c r="SPM44" s="3161"/>
      <c r="SPN44" s="3161"/>
      <c r="SPO44" s="3161"/>
      <c r="SPP44" s="3161"/>
      <c r="SPQ44" s="3161"/>
      <c r="SPR44" s="3161"/>
      <c r="SPS44" s="3161"/>
      <c r="SPT44" s="3161"/>
      <c r="SPU44" s="3161"/>
      <c r="SPV44" s="3161"/>
      <c r="SPW44" s="3161"/>
      <c r="SPX44" s="3161"/>
      <c r="SPY44" s="3161"/>
      <c r="SPZ44" s="3161"/>
      <c r="SQA44" s="3161"/>
      <c r="SQB44" s="3161"/>
      <c r="SQC44" s="3161"/>
      <c r="SQD44" s="3161"/>
      <c r="SQE44" s="3161"/>
      <c r="SQF44" s="3161"/>
      <c r="SQG44" s="3161"/>
      <c r="SQH44" s="3161"/>
      <c r="SQI44" s="3161"/>
      <c r="SQJ44" s="3161"/>
      <c r="SQK44" s="3161"/>
      <c r="SQL44" s="3161"/>
      <c r="SQM44" s="3161"/>
      <c r="SQN44" s="3161"/>
      <c r="SQO44" s="3161"/>
      <c r="SQP44" s="3161"/>
      <c r="SQQ44" s="3161"/>
      <c r="SQR44" s="3161"/>
      <c r="SQS44" s="3161"/>
      <c r="SQT44" s="3161"/>
      <c r="SQU44" s="3161"/>
      <c r="SQV44" s="3161"/>
      <c r="SQW44" s="3161"/>
      <c r="SQX44" s="3161"/>
      <c r="SQY44" s="3161"/>
      <c r="SQZ44" s="3161"/>
      <c r="SRA44" s="3161"/>
      <c r="SRB44" s="3161"/>
      <c r="SRC44" s="3161"/>
      <c r="SRD44" s="3161"/>
      <c r="SRE44" s="3161"/>
      <c r="SRF44" s="3161"/>
      <c r="SRG44" s="3161"/>
      <c r="SRH44" s="3161"/>
      <c r="SRI44" s="3161"/>
      <c r="SRJ44" s="3161"/>
      <c r="SRK44" s="3161"/>
      <c r="SRL44" s="3161"/>
      <c r="SRM44" s="3161"/>
      <c r="SRN44" s="3161"/>
      <c r="SRO44" s="3161"/>
      <c r="SRP44" s="3161"/>
      <c r="SRQ44" s="3161"/>
      <c r="SRR44" s="3161"/>
      <c r="SRS44" s="3161"/>
      <c r="SRT44" s="3161"/>
      <c r="SRU44" s="3161"/>
      <c r="SRV44" s="3161"/>
      <c r="SRW44" s="3161"/>
      <c r="SRX44" s="3161"/>
      <c r="SRY44" s="3161"/>
      <c r="SRZ44" s="3161"/>
      <c r="SSA44" s="3161"/>
      <c r="SSB44" s="3161"/>
      <c r="SSC44" s="3161"/>
      <c r="SSD44" s="3161"/>
      <c r="SSE44" s="3161"/>
      <c r="SSF44" s="3161"/>
      <c r="SSG44" s="3161"/>
      <c r="SSH44" s="3161"/>
      <c r="SSI44" s="3161"/>
      <c r="SSJ44" s="3161"/>
      <c r="SSK44" s="3161"/>
      <c r="SSL44" s="3161"/>
      <c r="SSM44" s="3161"/>
      <c r="SSN44" s="3161"/>
      <c r="SSO44" s="3161"/>
      <c r="SSP44" s="3161"/>
      <c r="SSQ44" s="3161"/>
      <c r="SSR44" s="3161"/>
      <c r="SSS44" s="3161"/>
      <c r="SST44" s="3161"/>
      <c r="SSU44" s="3161"/>
      <c r="SSV44" s="3161"/>
      <c r="SSW44" s="3161"/>
      <c r="SSX44" s="3161"/>
      <c r="SSY44" s="3161"/>
      <c r="SSZ44" s="3161"/>
      <c r="STA44" s="3161"/>
      <c r="STB44" s="3161"/>
      <c r="STC44" s="3161"/>
      <c r="STD44" s="3161"/>
      <c r="STE44" s="3161"/>
      <c r="STF44" s="3161"/>
      <c r="STG44" s="3161"/>
      <c r="STH44" s="3161"/>
      <c r="STI44" s="3161"/>
      <c r="STJ44" s="3161"/>
      <c r="STK44" s="3161"/>
      <c r="STL44" s="3161"/>
      <c r="STM44" s="3161"/>
      <c r="STN44" s="3161"/>
      <c r="STO44" s="3161"/>
      <c r="STP44" s="3161"/>
      <c r="STQ44" s="3161"/>
      <c r="STR44" s="3161"/>
      <c r="STS44" s="3161"/>
      <c r="STT44" s="3161"/>
      <c r="STU44" s="3161"/>
      <c r="STV44" s="3161"/>
      <c r="STW44" s="3161"/>
      <c r="STX44" s="3161"/>
      <c r="STY44" s="3161"/>
      <c r="STZ44" s="3161"/>
      <c r="SUA44" s="3161"/>
      <c r="SUB44" s="3161"/>
      <c r="SUC44" s="3161"/>
      <c r="SUD44" s="3161"/>
      <c r="SUE44" s="3161"/>
      <c r="SUF44" s="3161"/>
      <c r="SUG44" s="3161"/>
      <c r="SUH44" s="3161"/>
      <c r="SUI44" s="3161"/>
      <c r="SUJ44" s="3161"/>
      <c r="SUK44" s="3161"/>
      <c r="SUL44" s="3161"/>
      <c r="SUM44" s="3161"/>
      <c r="SUN44" s="3161"/>
      <c r="SUO44" s="3161"/>
      <c r="SUP44" s="3161"/>
      <c r="SUQ44" s="3161"/>
      <c r="SUR44" s="3161"/>
      <c r="SUS44" s="3161"/>
      <c r="SUT44" s="3161"/>
      <c r="SUU44" s="3161"/>
      <c r="SUV44" s="3161"/>
      <c r="SUW44" s="3161"/>
      <c r="SUX44" s="3161"/>
      <c r="SUY44" s="3161"/>
      <c r="SUZ44" s="3161"/>
      <c r="SVA44" s="3161"/>
      <c r="SVB44" s="3161"/>
      <c r="SVC44" s="3161"/>
      <c r="SVD44" s="3161"/>
      <c r="SVE44" s="3161"/>
      <c r="SVF44" s="3161"/>
      <c r="SVG44" s="3161"/>
      <c r="SVH44" s="3161"/>
      <c r="SVI44" s="3161"/>
      <c r="SVJ44" s="3161"/>
      <c r="SVK44" s="3161"/>
      <c r="SVL44" s="3161"/>
      <c r="SVM44" s="3161"/>
      <c r="SVN44" s="3161"/>
      <c r="SVO44" s="3161"/>
      <c r="SVP44" s="3161"/>
      <c r="SVQ44" s="3161"/>
      <c r="SVR44" s="3161"/>
      <c r="SVS44" s="3161"/>
      <c r="SVT44" s="3161"/>
      <c r="SVU44" s="3161"/>
      <c r="SVV44" s="3161"/>
      <c r="SVW44" s="3161"/>
      <c r="SVX44" s="3161"/>
      <c r="SVY44" s="3161"/>
      <c r="SVZ44" s="3161"/>
      <c r="SWA44" s="3161"/>
      <c r="SWB44" s="3161"/>
      <c r="SWC44" s="3161"/>
      <c r="SWD44" s="3161"/>
      <c r="SWE44" s="3161"/>
      <c r="SWF44" s="3161"/>
      <c r="SWG44" s="3161"/>
      <c r="SWH44" s="3161"/>
      <c r="SWI44" s="3161"/>
      <c r="SWJ44" s="3161"/>
      <c r="SWK44" s="3161"/>
      <c r="SWL44" s="3161"/>
      <c r="SWM44" s="3161"/>
      <c r="SWN44" s="3161"/>
      <c r="SWO44" s="3161"/>
      <c r="SWP44" s="3161"/>
      <c r="SWQ44" s="3161"/>
      <c r="SWR44" s="3161"/>
      <c r="SWS44" s="3161"/>
      <c r="SWT44" s="3161"/>
      <c r="SWU44" s="3161"/>
      <c r="SWV44" s="3161"/>
      <c r="SWW44" s="3161"/>
      <c r="SWX44" s="3161"/>
      <c r="SWY44" s="3161"/>
      <c r="SWZ44" s="3161"/>
      <c r="SXA44" s="3161"/>
      <c r="SXB44" s="3161"/>
      <c r="SXC44" s="3161"/>
      <c r="SXD44" s="3161"/>
      <c r="SXE44" s="3161"/>
      <c r="SXF44" s="3161"/>
      <c r="SXG44" s="3161"/>
      <c r="SXH44" s="3161"/>
      <c r="SXI44" s="3161"/>
      <c r="SXJ44" s="3161"/>
      <c r="SXK44" s="3161"/>
      <c r="SXL44" s="3161"/>
      <c r="SXM44" s="3161"/>
      <c r="SXN44" s="3161"/>
      <c r="SXO44" s="3161"/>
      <c r="SXP44" s="3161"/>
      <c r="SXQ44" s="3161"/>
      <c r="SXR44" s="3161"/>
      <c r="SXS44" s="3161"/>
      <c r="SXT44" s="3161"/>
      <c r="SXU44" s="3161"/>
      <c r="SXV44" s="3161"/>
      <c r="SXW44" s="3161"/>
      <c r="SXX44" s="3161"/>
      <c r="SXY44" s="3161"/>
      <c r="SXZ44" s="3161"/>
      <c r="SYA44" s="3161"/>
      <c r="SYB44" s="3161"/>
      <c r="SYC44" s="3161"/>
      <c r="SYD44" s="3161"/>
      <c r="SYE44" s="3161"/>
      <c r="SYF44" s="3161"/>
      <c r="SYG44" s="3161"/>
      <c r="SYH44" s="3161"/>
      <c r="SYI44" s="3161"/>
      <c r="SYJ44" s="3161"/>
      <c r="SYK44" s="3161"/>
      <c r="SYL44" s="3161"/>
      <c r="SYM44" s="3161"/>
      <c r="SYN44" s="3161"/>
      <c r="SYO44" s="3161"/>
      <c r="SYP44" s="3161"/>
      <c r="SYQ44" s="3161"/>
      <c r="SYR44" s="3161"/>
      <c r="SYS44" s="3161"/>
      <c r="SYT44" s="3161"/>
      <c r="SYU44" s="3161"/>
      <c r="SYV44" s="3161"/>
      <c r="SYW44" s="3161"/>
      <c r="SYX44" s="3161"/>
      <c r="SYY44" s="3161"/>
      <c r="SYZ44" s="3161"/>
      <c r="SZA44" s="3161"/>
      <c r="SZB44" s="3161"/>
      <c r="SZC44" s="3161"/>
      <c r="SZD44" s="3161"/>
      <c r="SZE44" s="3161"/>
      <c r="SZF44" s="3161"/>
      <c r="SZG44" s="3161"/>
      <c r="SZH44" s="3161"/>
      <c r="SZI44" s="3161"/>
      <c r="SZJ44" s="3161"/>
      <c r="SZK44" s="3161"/>
      <c r="SZL44" s="3161"/>
      <c r="SZM44" s="3161"/>
      <c r="SZN44" s="3161"/>
      <c r="SZO44" s="3161"/>
      <c r="SZP44" s="3161"/>
      <c r="SZQ44" s="3161"/>
      <c r="SZR44" s="3161"/>
      <c r="SZS44" s="3161"/>
      <c r="SZT44" s="3161"/>
      <c r="SZU44" s="3161"/>
      <c r="SZV44" s="3161"/>
      <c r="SZW44" s="3161"/>
      <c r="SZX44" s="3161"/>
      <c r="SZY44" s="3161"/>
      <c r="SZZ44" s="3161"/>
      <c r="TAA44" s="3161"/>
      <c r="TAB44" s="3161"/>
      <c r="TAC44" s="3161"/>
      <c r="TAD44" s="3161"/>
      <c r="TAE44" s="3161"/>
      <c r="TAF44" s="3161"/>
      <c r="TAG44" s="3161"/>
      <c r="TAH44" s="3161"/>
      <c r="TAI44" s="3161"/>
      <c r="TAJ44" s="3161"/>
      <c r="TAK44" s="3161"/>
      <c r="TAL44" s="3161"/>
      <c r="TAM44" s="3161"/>
      <c r="TAN44" s="3161"/>
      <c r="TAO44" s="3161"/>
      <c r="TAP44" s="3161"/>
      <c r="TAQ44" s="3161"/>
      <c r="TAR44" s="3161"/>
      <c r="TAS44" s="3161"/>
      <c r="TAT44" s="3161"/>
      <c r="TAU44" s="3161"/>
      <c r="TAV44" s="3161"/>
      <c r="TAW44" s="3161"/>
      <c r="TAX44" s="3161"/>
      <c r="TAY44" s="3161"/>
      <c r="TAZ44" s="3161"/>
      <c r="TBA44" s="3161"/>
      <c r="TBB44" s="3161"/>
      <c r="TBC44" s="3161"/>
      <c r="TBD44" s="3161"/>
      <c r="TBE44" s="3161"/>
      <c r="TBF44" s="3161"/>
      <c r="TBG44" s="3161"/>
      <c r="TBH44" s="3161"/>
      <c r="TBI44" s="3161"/>
      <c r="TBJ44" s="3161"/>
      <c r="TBK44" s="3161"/>
      <c r="TBL44" s="3161"/>
      <c r="TBM44" s="3161"/>
      <c r="TBN44" s="3161"/>
      <c r="TBO44" s="3161"/>
      <c r="TBP44" s="3161"/>
      <c r="TBQ44" s="3161"/>
      <c r="TBR44" s="3161"/>
      <c r="TBS44" s="3161"/>
      <c r="TBT44" s="3161"/>
      <c r="TBU44" s="3161"/>
      <c r="TBV44" s="3161"/>
      <c r="TBW44" s="3161"/>
      <c r="TBX44" s="3161"/>
      <c r="TBY44" s="3161"/>
      <c r="TBZ44" s="3161"/>
      <c r="TCA44" s="3161"/>
      <c r="TCB44" s="3161"/>
      <c r="TCC44" s="3161"/>
      <c r="TCD44" s="3161"/>
      <c r="TCE44" s="3161"/>
      <c r="TCF44" s="3161"/>
      <c r="TCG44" s="3161"/>
      <c r="TCH44" s="3161"/>
      <c r="TCI44" s="3161"/>
      <c r="TCJ44" s="3161"/>
      <c r="TCK44" s="3161"/>
      <c r="TCL44" s="3161"/>
      <c r="TCM44" s="3161"/>
      <c r="TCN44" s="3161"/>
      <c r="TCO44" s="3161"/>
      <c r="TCP44" s="3161"/>
      <c r="TCQ44" s="3161"/>
      <c r="TCR44" s="3161"/>
      <c r="TCS44" s="3161"/>
      <c r="TCT44" s="3161"/>
      <c r="TCU44" s="3161"/>
      <c r="TCV44" s="3161"/>
      <c r="TCW44" s="3161"/>
      <c r="TCX44" s="3161"/>
      <c r="TCY44" s="3161"/>
      <c r="TCZ44" s="3161"/>
      <c r="TDA44" s="3161"/>
      <c r="TDB44" s="3161"/>
      <c r="TDC44" s="3161"/>
      <c r="TDD44" s="3161"/>
      <c r="TDE44" s="3161"/>
      <c r="TDF44" s="3161"/>
      <c r="TDG44" s="3161"/>
      <c r="TDH44" s="3161"/>
      <c r="TDI44" s="3161"/>
      <c r="TDJ44" s="3161"/>
      <c r="TDK44" s="3161"/>
      <c r="TDL44" s="3161"/>
      <c r="TDM44" s="3161"/>
      <c r="TDN44" s="3161"/>
      <c r="TDO44" s="3161"/>
      <c r="TDP44" s="3161"/>
      <c r="TDQ44" s="3161"/>
      <c r="TDR44" s="3161"/>
      <c r="TDS44" s="3161"/>
      <c r="TDT44" s="3161"/>
      <c r="TDU44" s="3161"/>
      <c r="TDV44" s="3161"/>
      <c r="TDW44" s="3161"/>
      <c r="TDX44" s="3161"/>
      <c r="TDY44" s="3161"/>
      <c r="TDZ44" s="3161"/>
      <c r="TEA44" s="3161"/>
      <c r="TEB44" s="3161"/>
      <c r="TEC44" s="3161"/>
      <c r="TED44" s="3161"/>
      <c r="TEE44" s="3161"/>
      <c r="TEF44" s="3161"/>
      <c r="TEG44" s="3161"/>
      <c r="TEH44" s="3161"/>
      <c r="TEI44" s="3161"/>
      <c r="TEJ44" s="3161"/>
      <c r="TEK44" s="3161"/>
      <c r="TEL44" s="3161"/>
      <c r="TEM44" s="3161"/>
      <c r="TEN44" s="3161"/>
      <c r="TEO44" s="3161"/>
      <c r="TEP44" s="3161"/>
      <c r="TEQ44" s="3161"/>
      <c r="TER44" s="3161"/>
      <c r="TES44" s="3161"/>
      <c r="TET44" s="3161"/>
      <c r="TEU44" s="3161"/>
      <c r="TEV44" s="3161"/>
      <c r="TEW44" s="3161"/>
      <c r="TEX44" s="3161"/>
      <c r="TEY44" s="3161"/>
      <c r="TEZ44" s="3161"/>
      <c r="TFA44" s="3161"/>
      <c r="TFB44" s="3161"/>
      <c r="TFC44" s="3161"/>
      <c r="TFD44" s="3161"/>
      <c r="TFE44" s="3161"/>
      <c r="TFF44" s="3161"/>
      <c r="TFG44" s="3161"/>
      <c r="TFH44" s="3161"/>
      <c r="TFI44" s="3161"/>
      <c r="TFJ44" s="3161"/>
      <c r="TFK44" s="3161"/>
      <c r="TFL44" s="3161"/>
      <c r="TFM44" s="3161"/>
      <c r="TFN44" s="3161"/>
      <c r="TFO44" s="3161"/>
      <c r="TFP44" s="3161"/>
      <c r="TFQ44" s="3161"/>
      <c r="TFR44" s="3161"/>
      <c r="TFS44" s="3161"/>
      <c r="TFT44" s="3161"/>
      <c r="TFU44" s="3161"/>
      <c r="TFV44" s="3161"/>
      <c r="TFW44" s="3161"/>
      <c r="TFX44" s="3161"/>
      <c r="TFY44" s="3161"/>
      <c r="TFZ44" s="3161"/>
      <c r="TGA44" s="3161"/>
      <c r="TGB44" s="3161"/>
      <c r="TGC44" s="3161"/>
      <c r="TGD44" s="3161"/>
      <c r="TGE44" s="3161"/>
      <c r="TGF44" s="3161"/>
      <c r="TGG44" s="3161"/>
      <c r="TGH44" s="3161"/>
      <c r="TGI44" s="3161"/>
      <c r="TGJ44" s="3161"/>
      <c r="TGK44" s="3161"/>
      <c r="TGL44" s="3161"/>
      <c r="TGM44" s="3161"/>
      <c r="TGN44" s="3161"/>
      <c r="TGO44" s="3161"/>
      <c r="TGP44" s="3161"/>
      <c r="TGQ44" s="3161"/>
      <c r="TGR44" s="3161"/>
      <c r="TGS44" s="3161"/>
      <c r="TGT44" s="3161"/>
      <c r="TGU44" s="3161"/>
      <c r="TGV44" s="3161"/>
      <c r="TGW44" s="3161"/>
      <c r="TGX44" s="3161"/>
      <c r="TGY44" s="3161"/>
      <c r="TGZ44" s="3161"/>
      <c r="THA44" s="3161"/>
      <c r="THB44" s="3161"/>
      <c r="THC44" s="3161"/>
      <c r="THD44" s="3161"/>
      <c r="THE44" s="3161"/>
      <c r="THF44" s="3161"/>
      <c r="THG44" s="3161"/>
      <c r="THH44" s="3161"/>
      <c r="THI44" s="3161"/>
      <c r="THJ44" s="3161"/>
      <c r="THK44" s="3161"/>
      <c r="THL44" s="3161"/>
      <c r="THM44" s="3161"/>
      <c r="THN44" s="3161"/>
      <c r="THO44" s="3161"/>
      <c r="THP44" s="3161"/>
      <c r="THQ44" s="3161"/>
      <c r="THR44" s="3161"/>
      <c r="THS44" s="3161"/>
      <c r="THT44" s="3161"/>
      <c r="THU44" s="3161"/>
      <c r="THV44" s="3161"/>
      <c r="THW44" s="3161"/>
      <c r="THX44" s="3161"/>
      <c r="THY44" s="3161"/>
      <c r="THZ44" s="3161"/>
      <c r="TIA44" s="3161"/>
      <c r="TIB44" s="3161"/>
      <c r="TIC44" s="3161"/>
      <c r="TID44" s="3161"/>
      <c r="TIE44" s="3161"/>
      <c r="TIF44" s="3161"/>
      <c r="TIG44" s="3161"/>
      <c r="TIH44" s="3161"/>
      <c r="TII44" s="3161"/>
      <c r="TIJ44" s="3161"/>
      <c r="TIK44" s="3161"/>
      <c r="TIL44" s="3161"/>
      <c r="TIM44" s="3161"/>
      <c r="TIN44" s="3161"/>
      <c r="TIO44" s="3161"/>
      <c r="TIP44" s="3161"/>
      <c r="TIQ44" s="3161"/>
      <c r="TIR44" s="3161"/>
      <c r="TIS44" s="3161"/>
      <c r="TIT44" s="3161"/>
      <c r="TIU44" s="3161"/>
      <c r="TIV44" s="3161"/>
      <c r="TIW44" s="3161"/>
      <c r="TIX44" s="3161"/>
      <c r="TIY44" s="3161"/>
      <c r="TIZ44" s="3161"/>
      <c r="TJA44" s="3161"/>
      <c r="TJB44" s="3161"/>
      <c r="TJC44" s="3161"/>
      <c r="TJD44" s="3161"/>
      <c r="TJE44" s="3161"/>
      <c r="TJF44" s="3161"/>
      <c r="TJG44" s="3161"/>
      <c r="TJH44" s="3161"/>
      <c r="TJI44" s="3161"/>
      <c r="TJJ44" s="3161"/>
      <c r="TJK44" s="3161"/>
      <c r="TJL44" s="3161"/>
      <c r="TJM44" s="3161"/>
      <c r="TJN44" s="3161"/>
      <c r="TJO44" s="3161"/>
      <c r="TJP44" s="3161"/>
      <c r="TJQ44" s="3161"/>
      <c r="TJR44" s="3161"/>
      <c r="TJS44" s="3161"/>
      <c r="TJT44" s="3161"/>
      <c r="TJU44" s="3161"/>
      <c r="TJV44" s="3161"/>
      <c r="TJW44" s="3161"/>
      <c r="TJX44" s="3161"/>
      <c r="TJY44" s="3161"/>
      <c r="TJZ44" s="3161"/>
      <c r="TKA44" s="3161"/>
      <c r="TKB44" s="3161"/>
      <c r="TKC44" s="3161"/>
      <c r="TKD44" s="3161"/>
      <c r="TKE44" s="3161"/>
      <c r="TKF44" s="3161"/>
      <c r="TKG44" s="3161"/>
      <c r="TKH44" s="3161"/>
      <c r="TKI44" s="3161"/>
      <c r="TKJ44" s="3161"/>
      <c r="TKK44" s="3161"/>
      <c r="TKL44" s="3161"/>
      <c r="TKM44" s="3161"/>
      <c r="TKN44" s="3161"/>
      <c r="TKO44" s="3161"/>
      <c r="TKP44" s="3161"/>
      <c r="TKQ44" s="3161"/>
      <c r="TKR44" s="3161"/>
      <c r="TKS44" s="3161"/>
      <c r="TKT44" s="3161"/>
      <c r="TKU44" s="3161"/>
      <c r="TKV44" s="3161"/>
      <c r="TKW44" s="3161"/>
      <c r="TKX44" s="3161"/>
      <c r="TKY44" s="3161"/>
      <c r="TKZ44" s="3161"/>
      <c r="TLA44" s="3161"/>
      <c r="TLB44" s="3161"/>
      <c r="TLC44" s="3161"/>
      <c r="TLD44" s="3161"/>
      <c r="TLE44" s="3161"/>
      <c r="TLF44" s="3161"/>
      <c r="TLG44" s="3161"/>
      <c r="TLH44" s="3161"/>
      <c r="TLI44" s="3161"/>
      <c r="TLJ44" s="3161"/>
      <c r="TLK44" s="3161"/>
      <c r="TLL44" s="3161"/>
      <c r="TLM44" s="3161"/>
      <c r="TLN44" s="3161"/>
      <c r="TLO44" s="3161"/>
      <c r="TLP44" s="3161"/>
      <c r="TLQ44" s="3161"/>
      <c r="TLR44" s="3161"/>
      <c r="TLS44" s="3161"/>
      <c r="TLT44" s="3161"/>
      <c r="TLU44" s="3161"/>
      <c r="TLV44" s="3161"/>
      <c r="TLW44" s="3161"/>
      <c r="TLX44" s="3161"/>
      <c r="TLY44" s="3161"/>
      <c r="TLZ44" s="3161"/>
      <c r="TMA44" s="3161"/>
      <c r="TMB44" s="3161"/>
      <c r="TMC44" s="3161"/>
      <c r="TMD44" s="3161"/>
      <c r="TME44" s="3161"/>
      <c r="TMF44" s="3161"/>
      <c r="TMG44" s="3161"/>
      <c r="TMH44" s="3161"/>
      <c r="TMI44" s="3161"/>
      <c r="TMJ44" s="3161"/>
      <c r="TMK44" s="3161"/>
      <c r="TML44" s="3161"/>
      <c r="TMM44" s="3161"/>
      <c r="TMN44" s="3161"/>
      <c r="TMO44" s="3161"/>
      <c r="TMP44" s="3161"/>
      <c r="TMQ44" s="3161"/>
      <c r="TMR44" s="3161"/>
      <c r="TMS44" s="3161"/>
      <c r="TMT44" s="3161"/>
      <c r="TMU44" s="3161"/>
      <c r="TMV44" s="3161"/>
      <c r="TMW44" s="3161"/>
      <c r="TMX44" s="3161"/>
      <c r="TMY44" s="3161"/>
      <c r="TMZ44" s="3161"/>
      <c r="TNA44" s="3161"/>
      <c r="TNB44" s="3161"/>
      <c r="TNC44" s="3161"/>
      <c r="TND44" s="3161"/>
      <c r="TNE44" s="3161"/>
      <c r="TNF44" s="3161"/>
      <c r="TNG44" s="3161"/>
      <c r="TNH44" s="3161"/>
      <c r="TNI44" s="3161"/>
      <c r="TNJ44" s="3161"/>
      <c r="TNK44" s="3161"/>
      <c r="TNL44" s="3161"/>
      <c r="TNM44" s="3161"/>
      <c r="TNN44" s="3161"/>
      <c r="TNO44" s="3161"/>
      <c r="TNP44" s="3161"/>
      <c r="TNQ44" s="3161"/>
      <c r="TNR44" s="3161"/>
      <c r="TNS44" s="3161"/>
      <c r="TNT44" s="3161"/>
      <c r="TNU44" s="3161"/>
      <c r="TNV44" s="3161"/>
      <c r="TNW44" s="3161"/>
      <c r="TNX44" s="3161"/>
      <c r="TNY44" s="3161"/>
      <c r="TNZ44" s="3161"/>
      <c r="TOA44" s="3161"/>
      <c r="TOB44" s="3161"/>
      <c r="TOC44" s="3161"/>
      <c r="TOD44" s="3161"/>
      <c r="TOE44" s="3161"/>
      <c r="TOF44" s="3161"/>
      <c r="TOG44" s="3161"/>
      <c r="TOH44" s="3161"/>
      <c r="TOI44" s="3161"/>
      <c r="TOJ44" s="3161"/>
      <c r="TOK44" s="3161"/>
      <c r="TOL44" s="3161"/>
      <c r="TOM44" s="3161"/>
      <c r="TON44" s="3161"/>
      <c r="TOO44" s="3161"/>
      <c r="TOP44" s="3161"/>
      <c r="TOQ44" s="3161"/>
      <c r="TOR44" s="3161"/>
      <c r="TOS44" s="3161"/>
      <c r="TOT44" s="3161"/>
      <c r="TOU44" s="3161"/>
      <c r="TOV44" s="3161"/>
      <c r="TOW44" s="3161"/>
      <c r="TOX44" s="3161"/>
      <c r="TOY44" s="3161"/>
      <c r="TOZ44" s="3161"/>
      <c r="TPA44" s="3161"/>
      <c r="TPB44" s="3161"/>
      <c r="TPC44" s="3161"/>
      <c r="TPD44" s="3161"/>
      <c r="TPE44" s="3161"/>
      <c r="TPF44" s="3161"/>
      <c r="TPG44" s="3161"/>
      <c r="TPH44" s="3161"/>
      <c r="TPI44" s="3161"/>
      <c r="TPJ44" s="3161"/>
      <c r="TPK44" s="3161"/>
      <c r="TPL44" s="3161"/>
      <c r="TPM44" s="3161"/>
      <c r="TPN44" s="3161"/>
      <c r="TPO44" s="3161"/>
      <c r="TPP44" s="3161"/>
      <c r="TPQ44" s="3161"/>
      <c r="TPR44" s="3161"/>
      <c r="TPS44" s="3161"/>
      <c r="TPT44" s="3161"/>
      <c r="TPU44" s="3161"/>
      <c r="TPV44" s="3161"/>
      <c r="TPW44" s="3161"/>
      <c r="TPX44" s="3161"/>
      <c r="TPY44" s="3161"/>
      <c r="TPZ44" s="3161"/>
      <c r="TQA44" s="3161"/>
      <c r="TQB44" s="3161"/>
      <c r="TQC44" s="3161"/>
      <c r="TQD44" s="3161"/>
      <c r="TQE44" s="3161"/>
      <c r="TQF44" s="3161"/>
      <c r="TQG44" s="3161"/>
      <c r="TQH44" s="3161"/>
      <c r="TQI44" s="3161"/>
      <c r="TQJ44" s="3161"/>
      <c r="TQK44" s="3161"/>
      <c r="TQL44" s="3161"/>
      <c r="TQM44" s="3161"/>
      <c r="TQN44" s="3161"/>
      <c r="TQO44" s="3161"/>
      <c r="TQP44" s="3161"/>
      <c r="TQQ44" s="3161"/>
      <c r="TQR44" s="3161"/>
      <c r="TQS44" s="3161"/>
      <c r="TQT44" s="3161"/>
      <c r="TQU44" s="3161"/>
      <c r="TQV44" s="3161"/>
      <c r="TQW44" s="3161"/>
      <c r="TQX44" s="3161"/>
      <c r="TQY44" s="3161"/>
      <c r="TQZ44" s="3161"/>
      <c r="TRA44" s="3161"/>
      <c r="TRB44" s="3161"/>
      <c r="TRC44" s="3161"/>
      <c r="TRD44" s="3161"/>
      <c r="TRE44" s="3161"/>
      <c r="TRF44" s="3161"/>
      <c r="TRG44" s="3161"/>
      <c r="TRH44" s="3161"/>
      <c r="TRI44" s="3161"/>
      <c r="TRJ44" s="3161"/>
      <c r="TRK44" s="3161"/>
      <c r="TRL44" s="3161"/>
      <c r="TRM44" s="3161"/>
      <c r="TRN44" s="3161"/>
      <c r="TRO44" s="3161"/>
      <c r="TRP44" s="3161"/>
      <c r="TRQ44" s="3161"/>
      <c r="TRR44" s="3161"/>
      <c r="TRS44" s="3161"/>
      <c r="TRT44" s="3161"/>
      <c r="TRU44" s="3161"/>
      <c r="TRV44" s="3161"/>
      <c r="TRW44" s="3161"/>
      <c r="TRX44" s="3161"/>
      <c r="TRY44" s="3161"/>
      <c r="TRZ44" s="3161"/>
      <c r="TSA44" s="3161"/>
      <c r="TSB44" s="3161"/>
      <c r="TSC44" s="3161"/>
      <c r="TSD44" s="3161"/>
      <c r="TSE44" s="3161"/>
      <c r="TSF44" s="3161"/>
      <c r="TSG44" s="3161"/>
      <c r="TSH44" s="3161"/>
      <c r="TSI44" s="3161"/>
      <c r="TSJ44" s="3161"/>
      <c r="TSK44" s="3161"/>
      <c r="TSL44" s="3161"/>
      <c r="TSM44" s="3161"/>
      <c r="TSN44" s="3161"/>
      <c r="TSO44" s="3161"/>
      <c r="TSP44" s="3161"/>
      <c r="TSQ44" s="3161"/>
      <c r="TSR44" s="3161"/>
      <c r="TSS44" s="3161"/>
      <c r="TST44" s="3161"/>
      <c r="TSU44" s="3161"/>
      <c r="TSV44" s="3161"/>
      <c r="TSW44" s="3161"/>
      <c r="TSX44" s="3161"/>
      <c r="TSY44" s="3161"/>
      <c r="TSZ44" s="3161"/>
      <c r="TTA44" s="3161"/>
      <c r="TTB44" s="3161"/>
      <c r="TTC44" s="3161"/>
      <c r="TTD44" s="3161"/>
      <c r="TTE44" s="3161"/>
      <c r="TTF44" s="3161"/>
      <c r="TTG44" s="3161"/>
      <c r="TTH44" s="3161"/>
      <c r="TTI44" s="3161"/>
      <c r="TTJ44" s="3161"/>
      <c r="TTK44" s="3161"/>
      <c r="TTL44" s="3161"/>
      <c r="TTM44" s="3161"/>
      <c r="TTN44" s="3161"/>
      <c r="TTO44" s="3161"/>
      <c r="TTP44" s="3161"/>
      <c r="TTQ44" s="3161"/>
      <c r="TTR44" s="3161"/>
      <c r="TTS44" s="3161"/>
      <c r="TTT44" s="3161"/>
      <c r="TTU44" s="3161"/>
      <c r="TTV44" s="3161"/>
      <c r="TTW44" s="3161"/>
      <c r="TTX44" s="3161"/>
      <c r="TTY44" s="3161"/>
      <c r="TTZ44" s="3161"/>
      <c r="TUA44" s="3161"/>
      <c r="TUB44" s="3161"/>
      <c r="TUC44" s="3161"/>
      <c r="TUD44" s="3161"/>
      <c r="TUE44" s="3161"/>
      <c r="TUF44" s="3161"/>
      <c r="TUG44" s="3161"/>
      <c r="TUH44" s="3161"/>
      <c r="TUI44" s="3161"/>
      <c r="TUJ44" s="3161"/>
      <c r="TUK44" s="3161"/>
      <c r="TUL44" s="3161"/>
      <c r="TUM44" s="3161"/>
      <c r="TUN44" s="3161"/>
      <c r="TUO44" s="3161"/>
      <c r="TUP44" s="3161"/>
      <c r="TUQ44" s="3161"/>
      <c r="TUR44" s="3161"/>
      <c r="TUS44" s="3161"/>
      <c r="TUT44" s="3161"/>
      <c r="TUU44" s="3161"/>
      <c r="TUV44" s="3161"/>
      <c r="TUW44" s="3161"/>
      <c r="TUX44" s="3161"/>
      <c r="TUY44" s="3161"/>
      <c r="TUZ44" s="3161"/>
      <c r="TVA44" s="3161"/>
      <c r="TVB44" s="3161"/>
      <c r="TVC44" s="3161"/>
      <c r="TVD44" s="3161"/>
      <c r="TVE44" s="3161"/>
      <c r="TVF44" s="3161"/>
      <c r="TVG44" s="3161"/>
      <c r="TVH44" s="3161"/>
      <c r="TVI44" s="3161"/>
      <c r="TVJ44" s="3161"/>
      <c r="TVK44" s="3161"/>
      <c r="TVL44" s="3161"/>
      <c r="TVM44" s="3161"/>
      <c r="TVN44" s="3161"/>
      <c r="TVO44" s="3161"/>
      <c r="TVP44" s="3161"/>
      <c r="TVQ44" s="3161"/>
      <c r="TVR44" s="3161"/>
      <c r="TVS44" s="3161"/>
      <c r="TVT44" s="3161"/>
      <c r="TVU44" s="3161"/>
      <c r="TVV44" s="3161"/>
      <c r="TVW44" s="3161"/>
      <c r="TVX44" s="3161"/>
      <c r="TVY44" s="3161"/>
      <c r="TVZ44" s="3161"/>
      <c r="TWA44" s="3161"/>
      <c r="TWB44" s="3161"/>
      <c r="TWC44" s="3161"/>
      <c r="TWD44" s="3161"/>
      <c r="TWE44" s="3161"/>
      <c r="TWF44" s="3161"/>
      <c r="TWG44" s="3161"/>
      <c r="TWH44" s="3161"/>
      <c r="TWI44" s="3161"/>
      <c r="TWJ44" s="3161"/>
      <c r="TWK44" s="3161"/>
      <c r="TWL44" s="3161"/>
      <c r="TWM44" s="3161"/>
      <c r="TWN44" s="3161"/>
      <c r="TWO44" s="3161"/>
      <c r="TWP44" s="3161"/>
      <c r="TWQ44" s="3161"/>
      <c r="TWR44" s="3161"/>
      <c r="TWS44" s="3161"/>
      <c r="TWT44" s="3161"/>
      <c r="TWU44" s="3161"/>
      <c r="TWV44" s="3161"/>
      <c r="TWW44" s="3161"/>
      <c r="TWX44" s="3161"/>
      <c r="TWY44" s="3161"/>
      <c r="TWZ44" s="3161"/>
      <c r="TXA44" s="3161"/>
      <c r="TXB44" s="3161"/>
      <c r="TXC44" s="3161"/>
      <c r="TXD44" s="3161"/>
      <c r="TXE44" s="3161"/>
      <c r="TXF44" s="3161"/>
      <c r="TXG44" s="3161"/>
      <c r="TXH44" s="3161"/>
      <c r="TXI44" s="3161"/>
      <c r="TXJ44" s="3161"/>
      <c r="TXK44" s="3161"/>
      <c r="TXL44" s="3161"/>
      <c r="TXM44" s="3161"/>
      <c r="TXN44" s="3161"/>
      <c r="TXO44" s="3161"/>
      <c r="TXP44" s="3161"/>
      <c r="TXQ44" s="3161"/>
      <c r="TXR44" s="3161"/>
      <c r="TXS44" s="3161"/>
      <c r="TXT44" s="3161"/>
      <c r="TXU44" s="3161"/>
      <c r="TXV44" s="3161"/>
      <c r="TXW44" s="3161"/>
      <c r="TXX44" s="3161"/>
      <c r="TXY44" s="3161"/>
      <c r="TXZ44" s="3161"/>
      <c r="TYA44" s="3161"/>
      <c r="TYB44" s="3161"/>
      <c r="TYC44" s="3161"/>
      <c r="TYD44" s="3161"/>
      <c r="TYE44" s="3161"/>
      <c r="TYF44" s="3161"/>
      <c r="TYG44" s="3161"/>
      <c r="TYH44" s="3161"/>
      <c r="TYI44" s="3161"/>
      <c r="TYJ44" s="3161"/>
      <c r="TYK44" s="3161"/>
      <c r="TYL44" s="3161"/>
      <c r="TYM44" s="3161"/>
      <c r="TYN44" s="3161"/>
      <c r="TYO44" s="3161"/>
      <c r="TYP44" s="3161"/>
      <c r="TYQ44" s="3161"/>
      <c r="TYR44" s="3161"/>
      <c r="TYS44" s="3161"/>
      <c r="TYT44" s="3161"/>
      <c r="TYU44" s="3161"/>
      <c r="TYV44" s="3161"/>
      <c r="TYW44" s="3161"/>
      <c r="TYX44" s="3161"/>
      <c r="TYY44" s="3161"/>
      <c r="TYZ44" s="3161"/>
      <c r="TZA44" s="3161"/>
      <c r="TZB44" s="3161"/>
      <c r="TZC44" s="3161"/>
      <c r="TZD44" s="3161"/>
      <c r="TZE44" s="3161"/>
      <c r="TZF44" s="3161"/>
      <c r="TZG44" s="3161"/>
      <c r="TZH44" s="3161"/>
      <c r="TZI44" s="3161"/>
      <c r="TZJ44" s="3161"/>
      <c r="TZK44" s="3161"/>
      <c r="TZL44" s="3161"/>
      <c r="TZM44" s="3161"/>
      <c r="TZN44" s="3161"/>
      <c r="TZO44" s="3161"/>
      <c r="TZP44" s="3161"/>
      <c r="TZQ44" s="3161"/>
      <c r="TZR44" s="3161"/>
      <c r="TZS44" s="3161"/>
      <c r="TZT44" s="3161"/>
      <c r="TZU44" s="3161"/>
      <c r="TZV44" s="3161"/>
      <c r="TZW44" s="3161"/>
      <c r="TZX44" s="3161"/>
      <c r="TZY44" s="3161"/>
      <c r="TZZ44" s="3161"/>
      <c r="UAA44" s="3161"/>
      <c r="UAB44" s="3161"/>
      <c r="UAC44" s="3161"/>
      <c r="UAD44" s="3161"/>
      <c r="UAE44" s="3161"/>
      <c r="UAF44" s="3161"/>
      <c r="UAG44" s="3161"/>
      <c r="UAH44" s="3161"/>
      <c r="UAI44" s="3161"/>
      <c r="UAJ44" s="3161"/>
      <c r="UAK44" s="3161"/>
      <c r="UAL44" s="3161"/>
      <c r="UAM44" s="3161"/>
      <c r="UAN44" s="3161"/>
      <c r="UAO44" s="3161"/>
      <c r="UAP44" s="3161"/>
      <c r="UAQ44" s="3161"/>
      <c r="UAR44" s="3161"/>
      <c r="UAS44" s="3161"/>
      <c r="UAT44" s="3161"/>
      <c r="UAU44" s="3161"/>
      <c r="UAV44" s="3161"/>
      <c r="UAW44" s="3161"/>
      <c r="UAX44" s="3161"/>
      <c r="UAY44" s="3161"/>
      <c r="UAZ44" s="3161"/>
      <c r="UBA44" s="3161"/>
      <c r="UBB44" s="3161"/>
      <c r="UBC44" s="3161"/>
      <c r="UBD44" s="3161"/>
      <c r="UBE44" s="3161"/>
      <c r="UBF44" s="3161"/>
      <c r="UBG44" s="3161"/>
      <c r="UBH44" s="3161"/>
      <c r="UBI44" s="3161"/>
      <c r="UBJ44" s="3161"/>
      <c r="UBK44" s="3161"/>
      <c r="UBL44" s="3161"/>
      <c r="UBM44" s="3161"/>
      <c r="UBN44" s="3161"/>
      <c r="UBO44" s="3161"/>
      <c r="UBP44" s="3161"/>
      <c r="UBQ44" s="3161"/>
      <c r="UBR44" s="3161"/>
      <c r="UBS44" s="3161"/>
      <c r="UBT44" s="3161"/>
      <c r="UBU44" s="3161"/>
      <c r="UBV44" s="3161"/>
      <c r="UBW44" s="3161"/>
      <c r="UBX44" s="3161"/>
      <c r="UBY44" s="3161"/>
      <c r="UBZ44" s="3161"/>
      <c r="UCA44" s="3161"/>
      <c r="UCB44" s="3161"/>
      <c r="UCC44" s="3161"/>
      <c r="UCD44" s="3161"/>
      <c r="UCE44" s="3161"/>
      <c r="UCF44" s="3161"/>
      <c r="UCG44" s="3161"/>
      <c r="UCH44" s="3161"/>
      <c r="UCI44" s="3161"/>
      <c r="UCJ44" s="3161"/>
      <c r="UCK44" s="3161"/>
      <c r="UCL44" s="3161"/>
      <c r="UCM44" s="3161"/>
      <c r="UCN44" s="3161"/>
      <c r="UCO44" s="3161"/>
      <c r="UCP44" s="3161"/>
      <c r="UCQ44" s="3161"/>
      <c r="UCR44" s="3161"/>
      <c r="UCS44" s="3161"/>
      <c r="UCT44" s="3161"/>
      <c r="UCU44" s="3161"/>
      <c r="UCV44" s="3161"/>
      <c r="UCW44" s="3161"/>
      <c r="UCX44" s="3161"/>
      <c r="UCY44" s="3161"/>
      <c r="UCZ44" s="3161"/>
      <c r="UDA44" s="3161"/>
      <c r="UDB44" s="3161"/>
      <c r="UDC44" s="3161"/>
      <c r="UDD44" s="3161"/>
      <c r="UDE44" s="3161"/>
      <c r="UDF44" s="3161"/>
      <c r="UDG44" s="3161"/>
      <c r="UDH44" s="3161"/>
      <c r="UDI44" s="3161"/>
      <c r="UDJ44" s="3161"/>
      <c r="UDK44" s="3161"/>
      <c r="UDL44" s="3161"/>
      <c r="UDM44" s="3161"/>
      <c r="UDN44" s="3161"/>
      <c r="UDO44" s="3161"/>
      <c r="UDP44" s="3161"/>
      <c r="UDQ44" s="3161"/>
      <c r="UDR44" s="3161"/>
      <c r="UDS44" s="3161"/>
      <c r="UDT44" s="3161"/>
      <c r="UDU44" s="3161"/>
      <c r="UDV44" s="3161"/>
      <c r="UDW44" s="3161"/>
      <c r="UDX44" s="3161"/>
      <c r="UDY44" s="3161"/>
      <c r="UDZ44" s="3161"/>
      <c r="UEA44" s="3161"/>
      <c r="UEB44" s="3161"/>
      <c r="UEC44" s="3161"/>
      <c r="UED44" s="3161"/>
      <c r="UEE44" s="3161"/>
      <c r="UEF44" s="3161"/>
      <c r="UEG44" s="3161"/>
      <c r="UEH44" s="3161"/>
      <c r="UEI44" s="3161"/>
      <c r="UEJ44" s="3161"/>
      <c r="UEK44" s="3161"/>
      <c r="UEL44" s="3161"/>
      <c r="UEM44" s="3161"/>
      <c r="UEN44" s="3161"/>
      <c r="UEO44" s="3161"/>
      <c r="UEP44" s="3161"/>
      <c r="UEQ44" s="3161"/>
      <c r="UER44" s="3161"/>
      <c r="UES44" s="3161"/>
      <c r="UET44" s="3161"/>
      <c r="UEU44" s="3161"/>
      <c r="UEV44" s="3161"/>
      <c r="UEW44" s="3161"/>
      <c r="UEX44" s="3161"/>
      <c r="UEY44" s="3161"/>
      <c r="UEZ44" s="3161"/>
      <c r="UFA44" s="3161"/>
      <c r="UFB44" s="3161"/>
      <c r="UFC44" s="3161"/>
      <c r="UFD44" s="3161"/>
      <c r="UFE44" s="3161"/>
      <c r="UFF44" s="3161"/>
      <c r="UFG44" s="3161"/>
      <c r="UFH44" s="3161"/>
      <c r="UFI44" s="3161"/>
      <c r="UFJ44" s="3161"/>
      <c r="UFK44" s="3161"/>
      <c r="UFL44" s="3161"/>
      <c r="UFM44" s="3161"/>
      <c r="UFN44" s="3161"/>
      <c r="UFO44" s="3161"/>
      <c r="UFP44" s="3161"/>
      <c r="UFQ44" s="3161"/>
      <c r="UFR44" s="3161"/>
      <c r="UFS44" s="3161"/>
      <c r="UFT44" s="3161"/>
      <c r="UFU44" s="3161"/>
      <c r="UFV44" s="3161"/>
      <c r="UFW44" s="3161"/>
      <c r="UFX44" s="3161"/>
      <c r="UFY44" s="3161"/>
      <c r="UFZ44" s="3161"/>
      <c r="UGA44" s="3161"/>
      <c r="UGB44" s="3161"/>
      <c r="UGC44" s="3161"/>
      <c r="UGD44" s="3161"/>
      <c r="UGE44" s="3161"/>
      <c r="UGF44" s="3161"/>
      <c r="UGG44" s="3161"/>
      <c r="UGH44" s="3161"/>
      <c r="UGI44" s="3161"/>
      <c r="UGJ44" s="3161"/>
      <c r="UGK44" s="3161"/>
      <c r="UGL44" s="3161"/>
      <c r="UGM44" s="3161"/>
      <c r="UGN44" s="3161"/>
      <c r="UGO44" s="3161"/>
      <c r="UGP44" s="3161"/>
      <c r="UGQ44" s="3161"/>
      <c r="UGR44" s="3161"/>
      <c r="UGS44" s="3161"/>
      <c r="UGT44" s="3161"/>
      <c r="UGU44" s="3161"/>
      <c r="UGV44" s="3161"/>
      <c r="UGW44" s="3161"/>
      <c r="UGX44" s="3161"/>
      <c r="UGY44" s="3161"/>
      <c r="UGZ44" s="3161"/>
      <c r="UHA44" s="3161"/>
      <c r="UHB44" s="3161"/>
      <c r="UHC44" s="3161"/>
      <c r="UHD44" s="3161"/>
      <c r="UHE44" s="3161"/>
      <c r="UHF44" s="3161"/>
      <c r="UHG44" s="3161"/>
      <c r="UHH44" s="3161"/>
      <c r="UHI44" s="3161"/>
      <c r="UHJ44" s="3161"/>
      <c r="UHK44" s="3161"/>
      <c r="UHL44" s="3161"/>
      <c r="UHM44" s="3161"/>
      <c r="UHN44" s="3161"/>
      <c r="UHO44" s="3161"/>
      <c r="UHP44" s="3161"/>
      <c r="UHQ44" s="3161"/>
      <c r="UHR44" s="3161"/>
      <c r="UHS44" s="3161"/>
      <c r="UHT44" s="3161"/>
      <c r="UHU44" s="3161"/>
      <c r="UHV44" s="3161"/>
      <c r="UHW44" s="3161"/>
      <c r="UHX44" s="3161"/>
      <c r="UHY44" s="3161"/>
      <c r="UHZ44" s="3161"/>
      <c r="UIA44" s="3161"/>
      <c r="UIB44" s="3161"/>
      <c r="UIC44" s="3161"/>
      <c r="UID44" s="3161"/>
      <c r="UIE44" s="3161"/>
      <c r="UIF44" s="3161"/>
      <c r="UIG44" s="3161"/>
      <c r="UIH44" s="3161"/>
      <c r="UII44" s="3161"/>
      <c r="UIJ44" s="3161"/>
      <c r="UIK44" s="3161"/>
      <c r="UIL44" s="3161"/>
      <c r="UIM44" s="3161"/>
      <c r="UIN44" s="3161"/>
      <c r="UIO44" s="3161"/>
      <c r="UIP44" s="3161"/>
      <c r="UIQ44" s="3161"/>
      <c r="UIR44" s="3161"/>
      <c r="UIS44" s="3161"/>
      <c r="UIT44" s="3161"/>
      <c r="UIU44" s="3161"/>
      <c r="UIV44" s="3161"/>
      <c r="UIW44" s="3161"/>
      <c r="UIX44" s="3161"/>
      <c r="UIY44" s="3161"/>
      <c r="UIZ44" s="3161"/>
      <c r="UJA44" s="3161"/>
      <c r="UJB44" s="3161"/>
      <c r="UJC44" s="3161"/>
      <c r="UJD44" s="3161"/>
      <c r="UJE44" s="3161"/>
      <c r="UJF44" s="3161"/>
      <c r="UJG44" s="3161"/>
      <c r="UJH44" s="3161"/>
      <c r="UJI44" s="3161"/>
      <c r="UJJ44" s="3161"/>
      <c r="UJK44" s="3161"/>
      <c r="UJL44" s="3161"/>
      <c r="UJM44" s="3161"/>
      <c r="UJN44" s="3161"/>
      <c r="UJO44" s="3161"/>
      <c r="UJP44" s="3161"/>
      <c r="UJQ44" s="3161"/>
      <c r="UJR44" s="3161"/>
      <c r="UJS44" s="3161"/>
      <c r="UJT44" s="3161"/>
      <c r="UJU44" s="3161"/>
      <c r="UJV44" s="3161"/>
      <c r="UJW44" s="3161"/>
      <c r="UJX44" s="3161"/>
      <c r="UJY44" s="3161"/>
      <c r="UJZ44" s="3161"/>
      <c r="UKA44" s="3161"/>
      <c r="UKB44" s="3161"/>
      <c r="UKC44" s="3161"/>
      <c r="UKD44" s="3161"/>
      <c r="UKE44" s="3161"/>
      <c r="UKF44" s="3161"/>
      <c r="UKG44" s="3161"/>
      <c r="UKH44" s="3161"/>
      <c r="UKI44" s="3161"/>
      <c r="UKJ44" s="3161"/>
      <c r="UKK44" s="3161"/>
      <c r="UKL44" s="3161"/>
      <c r="UKM44" s="3161"/>
      <c r="UKN44" s="3161"/>
      <c r="UKO44" s="3161"/>
      <c r="UKP44" s="3161"/>
      <c r="UKQ44" s="3161"/>
      <c r="UKR44" s="3161"/>
      <c r="UKS44" s="3161"/>
      <c r="UKT44" s="3161"/>
      <c r="UKU44" s="3161"/>
      <c r="UKV44" s="3161"/>
      <c r="UKW44" s="3161"/>
      <c r="UKX44" s="3161"/>
      <c r="UKY44" s="3161"/>
      <c r="UKZ44" s="3161"/>
      <c r="ULA44" s="3161"/>
      <c r="ULB44" s="3161"/>
      <c r="ULC44" s="3161"/>
      <c r="ULD44" s="3161"/>
      <c r="ULE44" s="3161"/>
      <c r="ULF44" s="3161"/>
      <c r="ULG44" s="3161"/>
      <c r="ULH44" s="3161"/>
      <c r="ULI44" s="3161"/>
      <c r="ULJ44" s="3161"/>
      <c r="ULK44" s="3161"/>
      <c r="ULL44" s="3161"/>
      <c r="ULM44" s="3161"/>
      <c r="ULN44" s="3161"/>
      <c r="ULO44" s="3161"/>
      <c r="ULP44" s="3161"/>
      <c r="ULQ44" s="3161"/>
      <c r="ULR44" s="3161"/>
      <c r="ULS44" s="3161"/>
      <c r="ULT44" s="3161"/>
      <c r="ULU44" s="3161"/>
      <c r="ULV44" s="3161"/>
      <c r="ULW44" s="3161"/>
      <c r="ULX44" s="3161"/>
      <c r="ULY44" s="3161"/>
      <c r="ULZ44" s="3161"/>
      <c r="UMA44" s="3161"/>
      <c r="UMB44" s="3161"/>
      <c r="UMC44" s="3161"/>
      <c r="UMD44" s="3161"/>
      <c r="UME44" s="3161"/>
      <c r="UMF44" s="3161"/>
      <c r="UMG44" s="3161"/>
      <c r="UMH44" s="3161"/>
      <c r="UMI44" s="3161"/>
      <c r="UMJ44" s="3161"/>
      <c r="UMK44" s="3161"/>
      <c r="UML44" s="3161"/>
      <c r="UMM44" s="3161"/>
      <c r="UMN44" s="3161"/>
      <c r="UMO44" s="3161"/>
      <c r="UMP44" s="3161"/>
      <c r="UMQ44" s="3161"/>
      <c r="UMR44" s="3161"/>
      <c r="UMS44" s="3161"/>
      <c r="UMT44" s="3161"/>
      <c r="UMU44" s="3161"/>
      <c r="UMV44" s="3161"/>
      <c r="UMW44" s="3161"/>
      <c r="UMX44" s="3161"/>
      <c r="UMY44" s="3161"/>
      <c r="UMZ44" s="3161"/>
      <c r="UNA44" s="3161"/>
      <c r="UNB44" s="3161"/>
      <c r="UNC44" s="3161"/>
      <c r="UND44" s="3161"/>
      <c r="UNE44" s="3161"/>
      <c r="UNF44" s="3161"/>
      <c r="UNG44" s="3161"/>
      <c r="UNH44" s="3161"/>
      <c r="UNI44" s="3161"/>
      <c r="UNJ44" s="3161"/>
      <c r="UNK44" s="3161"/>
      <c r="UNL44" s="3161"/>
      <c r="UNM44" s="3161"/>
      <c r="UNN44" s="3161"/>
      <c r="UNO44" s="3161"/>
      <c r="UNP44" s="3161"/>
      <c r="UNQ44" s="3161"/>
      <c r="UNR44" s="3161"/>
      <c r="UNS44" s="3161"/>
      <c r="UNT44" s="3161"/>
      <c r="UNU44" s="3161"/>
      <c r="UNV44" s="3161"/>
      <c r="UNW44" s="3161"/>
      <c r="UNX44" s="3161"/>
      <c r="UNY44" s="3161"/>
      <c r="UNZ44" s="3161"/>
      <c r="UOA44" s="3161"/>
      <c r="UOB44" s="3161"/>
      <c r="UOC44" s="3161"/>
      <c r="UOD44" s="3161"/>
      <c r="UOE44" s="3161"/>
      <c r="UOF44" s="3161"/>
      <c r="UOG44" s="3161"/>
      <c r="UOH44" s="3161"/>
      <c r="UOI44" s="3161"/>
      <c r="UOJ44" s="3161"/>
      <c r="UOK44" s="3161"/>
      <c r="UOL44" s="3161"/>
      <c r="UOM44" s="3161"/>
      <c r="UON44" s="3161"/>
      <c r="UOO44" s="3161"/>
      <c r="UOP44" s="3161"/>
      <c r="UOQ44" s="3161"/>
      <c r="UOR44" s="3161"/>
      <c r="UOS44" s="3161"/>
      <c r="UOT44" s="3161"/>
      <c r="UOU44" s="3161"/>
      <c r="UOV44" s="3161"/>
      <c r="UOW44" s="3161"/>
      <c r="UOX44" s="3161"/>
      <c r="UOY44" s="3161"/>
      <c r="UOZ44" s="3161"/>
      <c r="UPA44" s="3161"/>
      <c r="UPB44" s="3161"/>
      <c r="UPC44" s="3161"/>
      <c r="UPD44" s="3161"/>
      <c r="UPE44" s="3161"/>
      <c r="UPF44" s="3161"/>
      <c r="UPG44" s="3161"/>
      <c r="UPH44" s="3161"/>
      <c r="UPI44" s="3161"/>
      <c r="UPJ44" s="3161"/>
      <c r="UPK44" s="3161"/>
      <c r="UPL44" s="3161"/>
      <c r="UPM44" s="3161"/>
      <c r="UPN44" s="3161"/>
      <c r="UPO44" s="3161"/>
      <c r="UPP44" s="3161"/>
      <c r="UPQ44" s="3161"/>
      <c r="UPR44" s="3161"/>
      <c r="UPS44" s="3161"/>
      <c r="UPT44" s="3161"/>
      <c r="UPU44" s="3161"/>
      <c r="UPV44" s="3161"/>
      <c r="UPW44" s="3161"/>
      <c r="UPX44" s="3161"/>
      <c r="UPY44" s="3161"/>
      <c r="UPZ44" s="3161"/>
      <c r="UQA44" s="3161"/>
      <c r="UQB44" s="3161"/>
      <c r="UQC44" s="3161"/>
      <c r="UQD44" s="3161"/>
      <c r="UQE44" s="3161"/>
      <c r="UQF44" s="3161"/>
      <c r="UQG44" s="3161"/>
      <c r="UQH44" s="3161"/>
      <c r="UQI44" s="3161"/>
      <c r="UQJ44" s="3161"/>
      <c r="UQK44" s="3161"/>
      <c r="UQL44" s="3161"/>
      <c r="UQM44" s="3161"/>
      <c r="UQN44" s="3161"/>
      <c r="UQO44" s="3161"/>
      <c r="UQP44" s="3161"/>
      <c r="UQQ44" s="3161"/>
      <c r="UQR44" s="3161"/>
      <c r="UQS44" s="3161"/>
      <c r="UQT44" s="3161"/>
      <c r="UQU44" s="3161"/>
      <c r="UQV44" s="3161"/>
      <c r="UQW44" s="3161"/>
      <c r="UQX44" s="3161"/>
      <c r="UQY44" s="3161"/>
      <c r="UQZ44" s="3161"/>
      <c r="URA44" s="3161"/>
      <c r="URB44" s="3161"/>
      <c r="URC44" s="3161"/>
      <c r="URD44" s="3161"/>
      <c r="URE44" s="3161"/>
      <c r="URF44" s="3161"/>
      <c r="URG44" s="3161"/>
      <c r="URH44" s="3161"/>
      <c r="URI44" s="3161"/>
      <c r="URJ44" s="3161"/>
      <c r="URK44" s="3161"/>
      <c r="URL44" s="3161"/>
      <c r="URM44" s="3161"/>
      <c r="URN44" s="3161"/>
      <c r="URO44" s="3161"/>
      <c r="URP44" s="3161"/>
      <c r="URQ44" s="3161"/>
      <c r="URR44" s="3161"/>
      <c r="URS44" s="3161"/>
      <c r="URT44" s="3161"/>
      <c r="URU44" s="3161"/>
      <c r="URV44" s="3161"/>
      <c r="URW44" s="3161"/>
      <c r="URX44" s="3161"/>
      <c r="URY44" s="3161"/>
      <c r="URZ44" s="3161"/>
      <c r="USA44" s="3161"/>
      <c r="USB44" s="3161"/>
      <c r="USC44" s="3161"/>
      <c r="USD44" s="3161"/>
      <c r="USE44" s="3161"/>
      <c r="USF44" s="3161"/>
      <c r="USG44" s="3161"/>
      <c r="USH44" s="3161"/>
      <c r="USI44" s="3161"/>
      <c r="USJ44" s="3161"/>
      <c r="USK44" s="3161"/>
      <c r="USL44" s="3161"/>
      <c r="USM44" s="3161"/>
      <c r="USN44" s="3161"/>
      <c r="USO44" s="3161"/>
      <c r="USP44" s="3161"/>
      <c r="USQ44" s="3161"/>
      <c r="USR44" s="3161"/>
      <c r="USS44" s="3161"/>
      <c r="UST44" s="3161"/>
      <c r="USU44" s="3161"/>
      <c r="USV44" s="3161"/>
      <c r="USW44" s="3161"/>
      <c r="USX44" s="3161"/>
      <c r="USY44" s="3161"/>
      <c r="USZ44" s="3161"/>
      <c r="UTA44" s="3161"/>
      <c r="UTB44" s="3161"/>
      <c r="UTC44" s="3161"/>
      <c r="UTD44" s="3161"/>
      <c r="UTE44" s="3161"/>
      <c r="UTF44" s="3161"/>
      <c r="UTG44" s="3161"/>
      <c r="UTH44" s="3161"/>
      <c r="UTI44" s="3161"/>
      <c r="UTJ44" s="3161"/>
      <c r="UTK44" s="3161"/>
      <c r="UTL44" s="3161"/>
      <c r="UTM44" s="3161"/>
      <c r="UTN44" s="3161"/>
      <c r="UTO44" s="3161"/>
      <c r="UTP44" s="3161"/>
      <c r="UTQ44" s="3161"/>
      <c r="UTR44" s="3161"/>
      <c r="UTS44" s="3161"/>
      <c r="UTT44" s="3161"/>
      <c r="UTU44" s="3161"/>
      <c r="UTV44" s="3161"/>
      <c r="UTW44" s="3161"/>
      <c r="UTX44" s="3161"/>
      <c r="UTY44" s="3161"/>
      <c r="UTZ44" s="3161"/>
      <c r="UUA44" s="3161"/>
      <c r="UUB44" s="3161"/>
      <c r="UUC44" s="3161"/>
      <c r="UUD44" s="3161"/>
      <c r="UUE44" s="3161"/>
      <c r="UUF44" s="3161"/>
      <c r="UUG44" s="3161"/>
      <c r="UUH44" s="3161"/>
      <c r="UUI44" s="3161"/>
      <c r="UUJ44" s="3161"/>
      <c r="UUK44" s="3161"/>
      <c r="UUL44" s="3161"/>
      <c r="UUM44" s="3161"/>
      <c r="UUN44" s="3161"/>
      <c r="UUO44" s="3161"/>
      <c r="UUP44" s="3161"/>
      <c r="UUQ44" s="3161"/>
      <c r="UUR44" s="3161"/>
      <c r="UUS44" s="3161"/>
      <c r="UUT44" s="3161"/>
      <c r="UUU44" s="3161"/>
      <c r="UUV44" s="3161"/>
      <c r="UUW44" s="3161"/>
      <c r="UUX44" s="3161"/>
      <c r="UUY44" s="3161"/>
      <c r="UUZ44" s="3161"/>
      <c r="UVA44" s="3161"/>
      <c r="UVB44" s="3161"/>
      <c r="UVC44" s="3161"/>
      <c r="UVD44" s="3161"/>
      <c r="UVE44" s="3161"/>
      <c r="UVF44" s="3161"/>
      <c r="UVG44" s="3161"/>
      <c r="UVH44" s="3161"/>
      <c r="UVI44" s="3161"/>
      <c r="UVJ44" s="3161"/>
      <c r="UVK44" s="3161"/>
      <c r="UVL44" s="3161"/>
      <c r="UVM44" s="3161"/>
      <c r="UVN44" s="3161"/>
      <c r="UVO44" s="3161"/>
      <c r="UVP44" s="3161"/>
      <c r="UVQ44" s="3161"/>
      <c r="UVR44" s="3161"/>
      <c r="UVS44" s="3161"/>
      <c r="UVT44" s="3161"/>
      <c r="UVU44" s="3161"/>
      <c r="UVV44" s="3161"/>
      <c r="UVW44" s="3161"/>
      <c r="UVX44" s="3161"/>
      <c r="UVY44" s="3161"/>
      <c r="UVZ44" s="3161"/>
      <c r="UWA44" s="3161"/>
      <c r="UWB44" s="3161"/>
      <c r="UWC44" s="3161"/>
      <c r="UWD44" s="3161"/>
      <c r="UWE44" s="3161"/>
      <c r="UWF44" s="3161"/>
      <c r="UWG44" s="3161"/>
      <c r="UWH44" s="3161"/>
      <c r="UWI44" s="3161"/>
      <c r="UWJ44" s="3161"/>
      <c r="UWK44" s="3161"/>
      <c r="UWL44" s="3161"/>
      <c r="UWM44" s="3161"/>
      <c r="UWN44" s="3161"/>
      <c r="UWO44" s="3161"/>
      <c r="UWP44" s="3161"/>
      <c r="UWQ44" s="3161"/>
      <c r="UWR44" s="3161"/>
      <c r="UWS44" s="3161"/>
      <c r="UWT44" s="3161"/>
      <c r="UWU44" s="3161"/>
      <c r="UWV44" s="3161"/>
      <c r="UWW44" s="3161"/>
      <c r="UWX44" s="3161"/>
      <c r="UWY44" s="3161"/>
      <c r="UWZ44" s="3161"/>
      <c r="UXA44" s="3161"/>
      <c r="UXB44" s="3161"/>
      <c r="UXC44" s="3161"/>
      <c r="UXD44" s="3161"/>
      <c r="UXE44" s="3161"/>
      <c r="UXF44" s="3161"/>
      <c r="UXG44" s="3161"/>
      <c r="UXH44" s="3161"/>
      <c r="UXI44" s="3161"/>
      <c r="UXJ44" s="3161"/>
      <c r="UXK44" s="3161"/>
      <c r="UXL44" s="3161"/>
      <c r="UXM44" s="3161"/>
      <c r="UXN44" s="3161"/>
      <c r="UXO44" s="3161"/>
      <c r="UXP44" s="3161"/>
      <c r="UXQ44" s="3161"/>
      <c r="UXR44" s="3161"/>
      <c r="UXS44" s="3161"/>
      <c r="UXT44" s="3161"/>
      <c r="UXU44" s="3161"/>
      <c r="UXV44" s="3161"/>
      <c r="UXW44" s="3161"/>
      <c r="UXX44" s="3161"/>
      <c r="UXY44" s="3161"/>
      <c r="UXZ44" s="3161"/>
      <c r="UYA44" s="3161"/>
      <c r="UYB44" s="3161"/>
      <c r="UYC44" s="3161"/>
      <c r="UYD44" s="3161"/>
      <c r="UYE44" s="3161"/>
      <c r="UYF44" s="3161"/>
      <c r="UYG44" s="3161"/>
      <c r="UYH44" s="3161"/>
      <c r="UYI44" s="3161"/>
      <c r="UYJ44" s="3161"/>
      <c r="UYK44" s="3161"/>
      <c r="UYL44" s="3161"/>
      <c r="UYM44" s="3161"/>
      <c r="UYN44" s="3161"/>
      <c r="UYO44" s="3161"/>
      <c r="UYP44" s="3161"/>
      <c r="UYQ44" s="3161"/>
      <c r="UYR44" s="3161"/>
      <c r="UYS44" s="3161"/>
      <c r="UYT44" s="3161"/>
      <c r="UYU44" s="3161"/>
      <c r="UYV44" s="3161"/>
      <c r="UYW44" s="3161"/>
      <c r="UYX44" s="3161"/>
      <c r="UYY44" s="3161"/>
      <c r="UYZ44" s="3161"/>
      <c r="UZA44" s="3161"/>
      <c r="UZB44" s="3161"/>
      <c r="UZC44" s="3161"/>
      <c r="UZD44" s="3161"/>
      <c r="UZE44" s="3161"/>
      <c r="UZF44" s="3161"/>
      <c r="UZG44" s="3161"/>
      <c r="UZH44" s="3161"/>
      <c r="UZI44" s="3161"/>
      <c r="UZJ44" s="3161"/>
      <c r="UZK44" s="3161"/>
      <c r="UZL44" s="3161"/>
      <c r="UZM44" s="3161"/>
      <c r="UZN44" s="3161"/>
      <c r="UZO44" s="3161"/>
      <c r="UZP44" s="3161"/>
      <c r="UZQ44" s="3161"/>
      <c r="UZR44" s="3161"/>
      <c r="UZS44" s="3161"/>
      <c r="UZT44" s="3161"/>
      <c r="UZU44" s="3161"/>
      <c r="UZV44" s="3161"/>
      <c r="UZW44" s="3161"/>
      <c r="UZX44" s="3161"/>
      <c r="UZY44" s="3161"/>
      <c r="UZZ44" s="3161"/>
      <c r="VAA44" s="3161"/>
      <c r="VAB44" s="3161"/>
      <c r="VAC44" s="3161"/>
      <c r="VAD44" s="3161"/>
      <c r="VAE44" s="3161"/>
      <c r="VAF44" s="3161"/>
      <c r="VAG44" s="3161"/>
      <c r="VAH44" s="3161"/>
      <c r="VAI44" s="3161"/>
      <c r="VAJ44" s="3161"/>
      <c r="VAK44" s="3161"/>
      <c r="VAL44" s="3161"/>
      <c r="VAM44" s="3161"/>
      <c r="VAN44" s="3161"/>
      <c r="VAO44" s="3161"/>
      <c r="VAP44" s="3161"/>
      <c r="VAQ44" s="3161"/>
      <c r="VAR44" s="3161"/>
      <c r="VAS44" s="3161"/>
      <c r="VAT44" s="3161"/>
      <c r="VAU44" s="3161"/>
      <c r="VAV44" s="3161"/>
      <c r="VAW44" s="3161"/>
      <c r="VAX44" s="3161"/>
      <c r="VAY44" s="3161"/>
      <c r="VAZ44" s="3161"/>
      <c r="VBA44" s="3161"/>
      <c r="VBB44" s="3161"/>
      <c r="VBC44" s="3161"/>
      <c r="VBD44" s="3161"/>
      <c r="VBE44" s="3161"/>
      <c r="VBF44" s="3161"/>
      <c r="VBG44" s="3161"/>
      <c r="VBH44" s="3161"/>
      <c r="VBI44" s="3161"/>
      <c r="VBJ44" s="3161"/>
      <c r="VBK44" s="3161"/>
      <c r="VBL44" s="3161"/>
      <c r="VBM44" s="3161"/>
      <c r="VBN44" s="3161"/>
      <c r="VBO44" s="3161"/>
      <c r="VBP44" s="3161"/>
      <c r="VBQ44" s="3161"/>
      <c r="VBR44" s="3161"/>
      <c r="VBS44" s="3161"/>
      <c r="VBT44" s="3161"/>
      <c r="VBU44" s="3161"/>
      <c r="VBV44" s="3161"/>
      <c r="VBW44" s="3161"/>
      <c r="VBX44" s="3161"/>
      <c r="VBY44" s="3161"/>
      <c r="VBZ44" s="3161"/>
      <c r="VCA44" s="3161"/>
      <c r="VCB44" s="3161"/>
      <c r="VCC44" s="3161"/>
      <c r="VCD44" s="3161"/>
      <c r="VCE44" s="3161"/>
      <c r="VCF44" s="3161"/>
      <c r="VCG44" s="3161"/>
      <c r="VCH44" s="3161"/>
      <c r="VCI44" s="3161"/>
      <c r="VCJ44" s="3161"/>
      <c r="VCK44" s="3161"/>
      <c r="VCL44" s="3161"/>
      <c r="VCM44" s="3161"/>
      <c r="VCN44" s="3161"/>
      <c r="VCO44" s="3161"/>
      <c r="VCP44" s="3161"/>
      <c r="VCQ44" s="3161"/>
      <c r="VCR44" s="3161"/>
      <c r="VCS44" s="3161"/>
      <c r="VCT44" s="3161"/>
      <c r="VCU44" s="3161"/>
      <c r="VCV44" s="3161"/>
      <c r="VCW44" s="3161"/>
      <c r="VCX44" s="3161"/>
      <c r="VCY44" s="3161"/>
      <c r="VCZ44" s="3161"/>
      <c r="VDA44" s="3161"/>
      <c r="VDB44" s="3161"/>
      <c r="VDC44" s="3161"/>
      <c r="VDD44" s="3161"/>
      <c r="VDE44" s="3161"/>
      <c r="VDF44" s="3161"/>
      <c r="VDG44" s="3161"/>
      <c r="VDH44" s="3161"/>
      <c r="VDI44" s="3161"/>
      <c r="VDJ44" s="3161"/>
      <c r="VDK44" s="3161"/>
      <c r="VDL44" s="3161"/>
      <c r="VDM44" s="3161"/>
      <c r="VDN44" s="3161"/>
      <c r="VDO44" s="3161"/>
      <c r="VDP44" s="3161"/>
      <c r="VDQ44" s="3161"/>
      <c r="VDR44" s="3161"/>
      <c r="VDS44" s="3161"/>
      <c r="VDT44" s="3161"/>
      <c r="VDU44" s="3161"/>
      <c r="VDV44" s="3161"/>
      <c r="VDW44" s="3161"/>
      <c r="VDX44" s="3161"/>
      <c r="VDY44" s="3161"/>
      <c r="VDZ44" s="3161"/>
      <c r="VEA44" s="3161"/>
      <c r="VEB44" s="3161"/>
      <c r="VEC44" s="3161"/>
      <c r="VED44" s="3161"/>
      <c r="VEE44" s="3161"/>
      <c r="VEF44" s="3161"/>
      <c r="VEG44" s="3161"/>
      <c r="VEH44" s="3161"/>
      <c r="VEI44" s="3161"/>
      <c r="VEJ44" s="3161"/>
      <c r="VEK44" s="3161"/>
      <c r="VEL44" s="3161"/>
      <c r="VEM44" s="3161"/>
      <c r="VEN44" s="3161"/>
      <c r="VEO44" s="3161"/>
      <c r="VEP44" s="3161"/>
      <c r="VEQ44" s="3161"/>
      <c r="VER44" s="3161"/>
      <c r="VES44" s="3161"/>
      <c r="VET44" s="3161"/>
      <c r="VEU44" s="3161"/>
      <c r="VEV44" s="3161"/>
      <c r="VEW44" s="3161"/>
      <c r="VEX44" s="3161"/>
      <c r="VEY44" s="3161"/>
      <c r="VEZ44" s="3161"/>
      <c r="VFA44" s="3161"/>
      <c r="VFB44" s="3161"/>
      <c r="VFC44" s="3161"/>
      <c r="VFD44" s="3161"/>
      <c r="VFE44" s="3161"/>
      <c r="VFF44" s="3161"/>
      <c r="VFG44" s="3161"/>
      <c r="VFH44" s="3161"/>
      <c r="VFI44" s="3161"/>
      <c r="VFJ44" s="3161"/>
      <c r="VFK44" s="3161"/>
      <c r="VFL44" s="3161"/>
      <c r="VFM44" s="3161"/>
      <c r="VFN44" s="3161"/>
      <c r="VFO44" s="3161"/>
      <c r="VFP44" s="3161"/>
      <c r="VFQ44" s="3161"/>
      <c r="VFR44" s="3161"/>
      <c r="VFS44" s="3161"/>
      <c r="VFT44" s="3161"/>
      <c r="VFU44" s="3161"/>
      <c r="VFV44" s="3161"/>
      <c r="VFW44" s="3161"/>
      <c r="VFX44" s="3161"/>
      <c r="VFY44" s="3161"/>
      <c r="VFZ44" s="3161"/>
      <c r="VGA44" s="3161"/>
      <c r="VGB44" s="3161"/>
      <c r="VGC44" s="3161"/>
      <c r="VGD44" s="3161"/>
      <c r="VGE44" s="3161"/>
      <c r="VGF44" s="3161"/>
      <c r="VGG44" s="3161"/>
      <c r="VGH44" s="3161"/>
      <c r="VGI44" s="3161"/>
      <c r="VGJ44" s="3161"/>
      <c r="VGK44" s="3161"/>
      <c r="VGL44" s="3161"/>
      <c r="VGM44" s="3161"/>
      <c r="VGN44" s="3161"/>
      <c r="VGO44" s="3161"/>
      <c r="VGP44" s="3161"/>
      <c r="VGQ44" s="3161"/>
      <c r="VGR44" s="3161"/>
      <c r="VGS44" s="3161"/>
      <c r="VGT44" s="3161"/>
      <c r="VGU44" s="3161"/>
      <c r="VGV44" s="3161"/>
      <c r="VGW44" s="3161"/>
      <c r="VGX44" s="3161"/>
      <c r="VGY44" s="3161"/>
      <c r="VGZ44" s="3161"/>
      <c r="VHA44" s="3161"/>
      <c r="VHB44" s="3161"/>
      <c r="VHC44" s="3161"/>
      <c r="VHD44" s="3161"/>
      <c r="VHE44" s="3161"/>
      <c r="VHF44" s="3161"/>
      <c r="VHG44" s="3161"/>
      <c r="VHH44" s="3161"/>
      <c r="VHI44" s="3161"/>
      <c r="VHJ44" s="3161"/>
      <c r="VHK44" s="3161"/>
      <c r="VHL44" s="3161"/>
      <c r="VHM44" s="3161"/>
      <c r="VHN44" s="3161"/>
      <c r="VHO44" s="3161"/>
      <c r="VHP44" s="3161"/>
      <c r="VHQ44" s="3161"/>
      <c r="VHR44" s="3161"/>
      <c r="VHS44" s="3161"/>
      <c r="VHT44" s="3161"/>
      <c r="VHU44" s="3161"/>
      <c r="VHV44" s="3161"/>
      <c r="VHW44" s="3161"/>
      <c r="VHX44" s="3161"/>
      <c r="VHY44" s="3161"/>
      <c r="VHZ44" s="3161"/>
      <c r="VIA44" s="3161"/>
      <c r="VIB44" s="3161"/>
      <c r="VIC44" s="3161"/>
      <c r="VID44" s="3161"/>
      <c r="VIE44" s="3161"/>
      <c r="VIF44" s="3161"/>
      <c r="VIG44" s="3161"/>
      <c r="VIH44" s="3161"/>
      <c r="VII44" s="3161"/>
      <c r="VIJ44" s="3161"/>
      <c r="VIK44" s="3161"/>
      <c r="VIL44" s="3161"/>
      <c r="VIM44" s="3161"/>
      <c r="VIN44" s="3161"/>
      <c r="VIO44" s="3161"/>
      <c r="VIP44" s="3161"/>
      <c r="VIQ44" s="3161"/>
      <c r="VIR44" s="3161"/>
      <c r="VIS44" s="3161"/>
      <c r="VIT44" s="3161"/>
      <c r="VIU44" s="3161"/>
      <c r="VIV44" s="3161"/>
      <c r="VIW44" s="3161"/>
      <c r="VIX44" s="3161"/>
      <c r="VIY44" s="3161"/>
      <c r="VIZ44" s="3161"/>
      <c r="VJA44" s="3161"/>
      <c r="VJB44" s="3161"/>
      <c r="VJC44" s="3161"/>
      <c r="VJD44" s="3161"/>
      <c r="VJE44" s="3161"/>
      <c r="VJF44" s="3161"/>
      <c r="VJG44" s="3161"/>
      <c r="VJH44" s="3161"/>
      <c r="VJI44" s="3161"/>
      <c r="VJJ44" s="3161"/>
      <c r="VJK44" s="3161"/>
      <c r="VJL44" s="3161"/>
      <c r="VJM44" s="3161"/>
      <c r="VJN44" s="3161"/>
      <c r="VJO44" s="3161"/>
      <c r="VJP44" s="3161"/>
      <c r="VJQ44" s="3161"/>
      <c r="VJR44" s="3161"/>
      <c r="VJS44" s="3161"/>
      <c r="VJT44" s="3161"/>
      <c r="VJU44" s="3161"/>
      <c r="VJV44" s="3161"/>
      <c r="VJW44" s="3161"/>
      <c r="VJX44" s="3161"/>
      <c r="VJY44" s="3161"/>
      <c r="VJZ44" s="3161"/>
      <c r="VKA44" s="3161"/>
      <c r="VKB44" s="3161"/>
      <c r="VKC44" s="3161"/>
      <c r="VKD44" s="3161"/>
      <c r="VKE44" s="3161"/>
      <c r="VKF44" s="3161"/>
      <c r="VKG44" s="3161"/>
      <c r="VKH44" s="3161"/>
      <c r="VKI44" s="3161"/>
      <c r="VKJ44" s="3161"/>
      <c r="VKK44" s="3161"/>
      <c r="VKL44" s="3161"/>
      <c r="VKM44" s="3161"/>
      <c r="VKN44" s="3161"/>
      <c r="VKO44" s="3161"/>
      <c r="VKP44" s="3161"/>
      <c r="VKQ44" s="3161"/>
      <c r="VKR44" s="3161"/>
      <c r="VKS44" s="3161"/>
      <c r="VKT44" s="3161"/>
      <c r="VKU44" s="3161"/>
      <c r="VKV44" s="3161"/>
      <c r="VKW44" s="3161"/>
      <c r="VKX44" s="3161"/>
      <c r="VKY44" s="3161"/>
      <c r="VKZ44" s="3161"/>
      <c r="VLA44" s="3161"/>
      <c r="VLB44" s="3161"/>
      <c r="VLC44" s="3161"/>
      <c r="VLD44" s="3161"/>
      <c r="VLE44" s="3161"/>
      <c r="VLF44" s="3161"/>
      <c r="VLG44" s="3161"/>
      <c r="VLH44" s="3161"/>
      <c r="VLI44" s="3161"/>
      <c r="VLJ44" s="3161"/>
      <c r="VLK44" s="3161"/>
      <c r="VLL44" s="3161"/>
      <c r="VLM44" s="3161"/>
      <c r="VLN44" s="3161"/>
      <c r="VLO44" s="3161"/>
      <c r="VLP44" s="3161"/>
      <c r="VLQ44" s="3161"/>
      <c r="VLR44" s="3161"/>
      <c r="VLS44" s="3161"/>
      <c r="VLT44" s="3161"/>
      <c r="VLU44" s="3161"/>
      <c r="VLV44" s="3161"/>
      <c r="VLW44" s="3161"/>
      <c r="VLX44" s="3161"/>
      <c r="VLY44" s="3161"/>
      <c r="VLZ44" s="3161"/>
      <c r="VMA44" s="3161"/>
      <c r="VMB44" s="3161"/>
      <c r="VMC44" s="3161"/>
      <c r="VMD44" s="3161"/>
      <c r="VME44" s="3161"/>
      <c r="VMF44" s="3161"/>
      <c r="VMG44" s="3161"/>
      <c r="VMH44" s="3161"/>
      <c r="VMI44" s="3161"/>
      <c r="VMJ44" s="3161"/>
      <c r="VMK44" s="3161"/>
      <c r="VML44" s="3161"/>
      <c r="VMM44" s="3161"/>
      <c r="VMN44" s="3161"/>
      <c r="VMO44" s="3161"/>
      <c r="VMP44" s="3161"/>
      <c r="VMQ44" s="3161"/>
      <c r="VMR44" s="3161"/>
      <c r="VMS44" s="3161"/>
      <c r="VMT44" s="3161"/>
      <c r="VMU44" s="3161"/>
      <c r="VMV44" s="3161"/>
      <c r="VMW44" s="3161"/>
      <c r="VMX44" s="3161"/>
      <c r="VMY44" s="3161"/>
      <c r="VMZ44" s="3161"/>
      <c r="VNA44" s="3161"/>
      <c r="VNB44" s="3161"/>
      <c r="VNC44" s="3161"/>
      <c r="VND44" s="3161"/>
      <c r="VNE44" s="3161"/>
      <c r="VNF44" s="3161"/>
      <c r="VNG44" s="3161"/>
      <c r="VNH44" s="3161"/>
      <c r="VNI44" s="3161"/>
      <c r="VNJ44" s="3161"/>
      <c r="VNK44" s="3161"/>
      <c r="VNL44" s="3161"/>
      <c r="VNM44" s="3161"/>
      <c r="VNN44" s="3161"/>
      <c r="VNO44" s="3161"/>
      <c r="VNP44" s="3161"/>
      <c r="VNQ44" s="3161"/>
      <c r="VNR44" s="3161"/>
      <c r="VNS44" s="3161"/>
      <c r="VNT44" s="3161"/>
      <c r="VNU44" s="3161"/>
      <c r="VNV44" s="3161"/>
      <c r="VNW44" s="3161"/>
      <c r="VNX44" s="3161"/>
      <c r="VNY44" s="3161"/>
      <c r="VNZ44" s="3161"/>
      <c r="VOA44" s="3161"/>
      <c r="VOB44" s="3161"/>
      <c r="VOC44" s="3161"/>
      <c r="VOD44" s="3161"/>
      <c r="VOE44" s="3161"/>
      <c r="VOF44" s="3161"/>
      <c r="VOG44" s="3161"/>
      <c r="VOH44" s="3161"/>
      <c r="VOI44" s="3161"/>
      <c r="VOJ44" s="3161"/>
      <c r="VOK44" s="3161"/>
      <c r="VOL44" s="3161"/>
      <c r="VOM44" s="3161"/>
      <c r="VON44" s="3161"/>
      <c r="VOO44" s="3161"/>
      <c r="VOP44" s="3161"/>
      <c r="VOQ44" s="3161"/>
      <c r="VOR44" s="3161"/>
      <c r="VOS44" s="3161"/>
      <c r="VOT44" s="3161"/>
      <c r="VOU44" s="3161"/>
      <c r="VOV44" s="3161"/>
      <c r="VOW44" s="3161"/>
      <c r="VOX44" s="3161"/>
      <c r="VOY44" s="3161"/>
      <c r="VOZ44" s="3161"/>
      <c r="VPA44" s="3161"/>
      <c r="VPB44" s="3161"/>
      <c r="VPC44" s="3161"/>
      <c r="VPD44" s="3161"/>
      <c r="VPE44" s="3161"/>
      <c r="VPF44" s="3161"/>
      <c r="VPG44" s="3161"/>
      <c r="VPH44" s="3161"/>
      <c r="VPI44" s="3161"/>
      <c r="VPJ44" s="3161"/>
      <c r="VPK44" s="3161"/>
      <c r="VPL44" s="3161"/>
      <c r="VPM44" s="3161"/>
      <c r="VPN44" s="3161"/>
      <c r="VPO44" s="3161"/>
      <c r="VPP44" s="3161"/>
      <c r="VPQ44" s="3161"/>
      <c r="VPR44" s="3161"/>
      <c r="VPS44" s="3161"/>
      <c r="VPT44" s="3161"/>
      <c r="VPU44" s="3161"/>
      <c r="VPV44" s="3161"/>
      <c r="VPW44" s="3161"/>
      <c r="VPX44" s="3161"/>
      <c r="VPY44" s="3161"/>
      <c r="VPZ44" s="3161"/>
      <c r="VQA44" s="3161"/>
      <c r="VQB44" s="3161"/>
      <c r="VQC44" s="3161"/>
      <c r="VQD44" s="3161"/>
      <c r="VQE44" s="3161"/>
      <c r="VQF44" s="3161"/>
      <c r="VQG44" s="3161"/>
      <c r="VQH44" s="3161"/>
      <c r="VQI44" s="3161"/>
      <c r="VQJ44" s="3161"/>
      <c r="VQK44" s="3161"/>
      <c r="VQL44" s="3161"/>
      <c r="VQM44" s="3161"/>
      <c r="VQN44" s="3161"/>
      <c r="VQO44" s="3161"/>
      <c r="VQP44" s="3161"/>
      <c r="VQQ44" s="3161"/>
      <c r="VQR44" s="3161"/>
      <c r="VQS44" s="3161"/>
      <c r="VQT44" s="3161"/>
      <c r="VQU44" s="3161"/>
      <c r="VQV44" s="3161"/>
      <c r="VQW44" s="3161"/>
      <c r="VQX44" s="3161"/>
      <c r="VQY44" s="3161"/>
      <c r="VQZ44" s="3161"/>
      <c r="VRA44" s="3161"/>
      <c r="VRB44" s="3161"/>
      <c r="VRC44" s="3161"/>
      <c r="VRD44" s="3161"/>
      <c r="VRE44" s="3161"/>
      <c r="VRF44" s="3161"/>
      <c r="VRG44" s="3161"/>
      <c r="VRH44" s="3161"/>
      <c r="VRI44" s="3161"/>
      <c r="VRJ44" s="3161"/>
      <c r="VRK44" s="3161"/>
      <c r="VRL44" s="3161"/>
      <c r="VRM44" s="3161"/>
      <c r="VRN44" s="3161"/>
      <c r="VRO44" s="3161"/>
      <c r="VRP44" s="3161"/>
      <c r="VRQ44" s="3161"/>
      <c r="VRR44" s="3161"/>
      <c r="VRS44" s="3161"/>
      <c r="VRT44" s="3161"/>
      <c r="VRU44" s="3161"/>
      <c r="VRV44" s="3161"/>
      <c r="VRW44" s="3161"/>
      <c r="VRX44" s="3161"/>
      <c r="VRY44" s="3161"/>
      <c r="VRZ44" s="3161"/>
      <c r="VSA44" s="3161"/>
      <c r="VSB44" s="3161"/>
      <c r="VSC44" s="3161"/>
      <c r="VSD44" s="3161"/>
      <c r="VSE44" s="3161"/>
      <c r="VSF44" s="3161"/>
      <c r="VSG44" s="3161"/>
      <c r="VSH44" s="3161"/>
      <c r="VSI44" s="3161"/>
      <c r="VSJ44" s="3161"/>
      <c r="VSK44" s="3161"/>
      <c r="VSL44" s="3161"/>
      <c r="VSM44" s="3161"/>
      <c r="VSN44" s="3161"/>
      <c r="VSO44" s="3161"/>
      <c r="VSP44" s="3161"/>
      <c r="VSQ44" s="3161"/>
      <c r="VSR44" s="3161"/>
      <c r="VSS44" s="3161"/>
      <c r="VST44" s="3161"/>
      <c r="VSU44" s="3161"/>
      <c r="VSV44" s="3161"/>
      <c r="VSW44" s="3161"/>
      <c r="VSX44" s="3161"/>
      <c r="VSY44" s="3161"/>
      <c r="VSZ44" s="3161"/>
      <c r="VTA44" s="3161"/>
      <c r="VTB44" s="3161"/>
      <c r="VTC44" s="3161"/>
      <c r="VTD44" s="3161"/>
      <c r="VTE44" s="3161"/>
      <c r="VTF44" s="3161"/>
      <c r="VTG44" s="3161"/>
      <c r="VTH44" s="3161"/>
      <c r="VTI44" s="3161"/>
      <c r="VTJ44" s="3161"/>
      <c r="VTK44" s="3161"/>
      <c r="VTL44" s="3161"/>
      <c r="VTM44" s="3161"/>
      <c r="VTN44" s="3161"/>
      <c r="VTO44" s="3161"/>
      <c r="VTP44" s="3161"/>
      <c r="VTQ44" s="3161"/>
      <c r="VTR44" s="3161"/>
      <c r="VTS44" s="3161"/>
      <c r="VTT44" s="3161"/>
      <c r="VTU44" s="3161"/>
      <c r="VTV44" s="3161"/>
      <c r="VTW44" s="3161"/>
      <c r="VTX44" s="3161"/>
      <c r="VTY44" s="3161"/>
      <c r="VTZ44" s="3161"/>
      <c r="VUA44" s="3161"/>
      <c r="VUB44" s="3161"/>
      <c r="VUC44" s="3161"/>
      <c r="VUD44" s="3161"/>
      <c r="VUE44" s="3161"/>
      <c r="VUF44" s="3161"/>
      <c r="VUG44" s="3161"/>
      <c r="VUH44" s="3161"/>
      <c r="VUI44" s="3161"/>
      <c r="VUJ44" s="3161"/>
      <c r="VUK44" s="3161"/>
      <c r="VUL44" s="3161"/>
      <c r="VUM44" s="3161"/>
      <c r="VUN44" s="3161"/>
      <c r="VUO44" s="3161"/>
      <c r="VUP44" s="3161"/>
      <c r="VUQ44" s="3161"/>
      <c r="VUR44" s="3161"/>
      <c r="VUS44" s="3161"/>
      <c r="VUT44" s="3161"/>
      <c r="VUU44" s="3161"/>
      <c r="VUV44" s="3161"/>
      <c r="VUW44" s="3161"/>
      <c r="VUX44" s="3161"/>
      <c r="VUY44" s="3161"/>
      <c r="VUZ44" s="3161"/>
      <c r="VVA44" s="3161"/>
      <c r="VVB44" s="3161"/>
      <c r="VVC44" s="3161"/>
      <c r="VVD44" s="3161"/>
      <c r="VVE44" s="3161"/>
      <c r="VVF44" s="3161"/>
      <c r="VVG44" s="3161"/>
      <c r="VVH44" s="3161"/>
      <c r="VVI44" s="3161"/>
      <c r="VVJ44" s="3161"/>
      <c r="VVK44" s="3161"/>
      <c r="VVL44" s="3161"/>
      <c r="VVM44" s="3161"/>
      <c r="VVN44" s="3161"/>
      <c r="VVO44" s="3161"/>
      <c r="VVP44" s="3161"/>
      <c r="VVQ44" s="3161"/>
      <c r="VVR44" s="3161"/>
      <c r="VVS44" s="3161"/>
      <c r="VVT44" s="3161"/>
      <c r="VVU44" s="3161"/>
      <c r="VVV44" s="3161"/>
      <c r="VVW44" s="3161"/>
      <c r="VVX44" s="3161"/>
      <c r="VVY44" s="3161"/>
      <c r="VVZ44" s="3161"/>
      <c r="VWA44" s="3161"/>
      <c r="VWB44" s="3161"/>
      <c r="VWC44" s="3161"/>
      <c r="VWD44" s="3161"/>
      <c r="VWE44" s="3161"/>
      <c r="VWF44" s="3161"/>
      <c r="VWG44" s="3161"/>
      <c r="VWH44" s="3161"/>
      <c r="VWI44" s="3161"/>
      <c r="VWJ44" s="3161"/>
      <c r="VWK44" s="3161"/>
      <c r="VWL44" s="3161"/>
      <c r="VWM44" s="3161"/>
      <c r="VWN44" s="3161"/>
      <c r="VWO44" s="3161"/>
      <c r="VWP44" s="3161"/>
      <c r="VWQ44" s="3161"/>
      <c r="VWR44" s="3161"/>
      <c r="VWS44" s="3161"/>
      <c r="VWT44" s="3161"/>
      <c r="VWU44" s="3161"/>
      <c r="VWV44" s="3161"/>
      <c r="VWW44" s="3161"/>
      <c r="VWX44" s="3161"/>
      <c r="VWY44" s="3161"/>
      <c r="VWZ44" s="3161"/>
      <c r="VXA44" s="3161"/>
      <c r="VXB44" s="3161"/>
      <c r="VXC44" s="3161"/>
      <c r="VXD44" s="3161"/>
      <c r="VXE44" s="3161"/>
      <c r="VXF44" s="3161"/>
      <c r="VXG44" s="3161"/>
      <c r="VXH44" s="3161"/>
      <c r="VXI44" s="3161"/>
      <c r="VXJ44" s="3161"/>
      <c r="VXK44" s="3161"/>
      <c r="VXL44" s="3161"/>
      <c r="VXM44" s="3161"/>
      <c r="VXN44" s="3161"/>
      <c r="VXO44" s="3161"/>
      <c r="VXP44" s="3161"/>
      <c r="VXQ44" s="3161"/>
      <c r="VXR44" s="3161"/>
      <c r="VXS44" s="3161"/>
      <c r="VXT44" s="3161"/>
      <c r="VXU44" s="3161"/>
      <c r="VXV44" s="3161"/>
      <c r="VXW44" s="3161"/>
      <c r="VXX44" s="3161"/>
      <c r="VXY44" s="3161"/>
      <c r="VXZ44" s="3161"/>
      <c r="VYA44" s="3161"/>
      <c r="VYB44" s="3161"/>
      <c r="VYC44" s="3161"/>
      <c r="VYD44" s="3161"/>
      <c r="VYE44" s="3161"/>
      <c r="VYF44" s="3161"/>
      <c r="VYG44" s="3161"/>
      <c r="VYH44" s="3161"/>
      <c r="VYI44" s="3161"/>
      <c r="VYJ44" s="3161"/>
      <c r="VYK44" s="3161"/>
      <c r="VYL44" s="3161"/>
      <c r="VYM44" s="3161"/>
      <c r="VYN44" s="3161"/>
      <c r="VYO44" s="3161"/>
      <c r="VYP44" s="3161"/>
      <c r="VYQ44" s="3161"/>
      <c r="VYR44" s="3161"/>
      <c r="VYS44" s="3161"/>
      <c r="VYT44" s="3161"/>
      <c r="VYU44" s="3161"/>
      <c r="VYV44" s="3161"/>
      <c r="VYW44" s="3161"/>
      <c r="VYX44" s="3161"/>
      <c r="VYY44" s="3161"/>
      <c r="VYZ44" s="3161"/>
      <c r="VZA44" s="3161"/>
      <c r="VZB44" s="3161"/>
      <c r="VZC44" s="3161"/>
      <c r="VZD44" s="3161"/>
      <c r="VZE44" s="3161"/>
      <c r="VZF44" s="3161"/>
      <c r="VZG44" s="3161"/>
      <c r="VZH44" s="3161"/>
      <c r="VZI44" s="3161"/>
      <c r="VZJ44" s="3161"/>
      <c r="VZK44" s="3161"/>
      <c r="VZL44" s="3161"/>
      <c r="VZM44" s="3161"/>
      <c r="VZN44" s="3161"/>
      <c r="VZO44" s="3161"/>
      <c r="VZP44" s="3161"/>
      <c r="VZQ44" s="3161"/>
      <c r="VZR44" s="3161"/>
      <c r="VZS44" s="3161"/>
      <c r="VZT44" s="3161"/>
      <c r="VZU44" s="3161"/>
      <c r="VZV44" s="3161"/>
      <c r="VZW44" s="3161"/>
      <c r="VZX44" s="3161"/>
      <c r="VZY44" s="3161"/>
      <c r="VZZ44" s="3161"/>
      <c r="WAA44" s="3161"/>
      <c r="WAB44" s="3161"/>
      <c r="WAC44" s="3161"/>
      <c r="WAD44" s="3161"/>
      <c r="WAE44" s="3161"/>
      <c r="WAF44" s="3161"/>
      <c r="WAG44" s="3161"/>
      <c r="WAH44" s="3161"/>
      <c r="WAI44" s="3161"/>
      <c r="WAJ44" s="3161"/>
      <c r="WAK44" s="3161"/>
      <c r="WAL44" s="3161"/>
      <c r="WAM44" s="3161"/>
      <c r="WAN44" s="3161"/>
      <c r="WAO44" s="3161"/>
      <c r="WAP44" s="3161"/>
      <c r="WAQ44" s="3161"/>
      <c r="WAR44" s="3161"/>
      <c r="WAS44" s="3161"/>
      <c r="WAT44" s="3161"/>
      <c r="WAU44" s="3161"/>
      <c r="WAV44" s="3161"/>
      <c r="WAW44" s="3161"/>
      <c r="WAX44" s="3161"/>
      <c r="WAY44" s="3161"/>
      <c r="WAZ44" s="3161"/>
      <c r="WBA44" s="3161"/>
      <c r="WBB44" s="3161"/>
      <c r="WBC44" s="3161"/>
      <c r="WBD44" s="3161"/>
      <c r="WBE44" s="3161"/>
      <c r="WBF44" s="3161"/>
      <c r="WBG44" s="3161"/>
      <c r="WBH44" s="3161"/>
      <c r="WBI44" s="3161"/>
      <c r="WBJ44" s="3161"/>
      <c r="WBK44" s="3161"/>
      <c r="WBL44" s="3161"/>
      <c r="WBM44" s="3161"/>
      <c r="WBN44" s="3161"/>
      <c r="WBO44" s="3161"/>
      <c r="WBP44" s="3161"/>
      <c r="WBQ44" s="3161"/>
      <c r="WBR44" s="3161"/>
      <c r="WBS44" s="3161"/>
      <c r="WBT44" s="3161"/>
      <c r="WBU44" s="3161"/>
      <c r="WBV44" s="3161"/>
      <c r="WBW44" s="3161"/>
      <c r="WBX44" s="3161"/>
      <c r="WBY44" s="3161"/>
      <c r="WBZ44" s="3161"/>
      <c r="WCA44" s="3161"/>
      <c r="WCB44" s="3161"/>
      <c r="WCC44" s="3161"/>
      <c r="WCD44" s="3161"/>
      <c r="WCE44" s="3161"/>
      <c r="WCF44" s="3161"/>
      <c r="WCG44" s="3161"/>
      <c r="WCH44" s="3161"/>
      <c r="WCI44" s="3161"/>
      <c r="WCJ44" s="3161"/>
      <c r="WCK44" s="3161"/>
      <c r="WCL44" s="3161"/>
      <c r="WCM44" s="3161"/>
      <c r="WCN44" s="3161"/>
      <c r="WCO44" s="3161"/>
      <c r="WCP44" s="3161"/>
      <c r="WCQ44" s="3161"/>
      <c r="WCR44" s="3161"/>
      <c r="WCS44" s="3161"/>
      <c r="WCT44" s="3161"/>
      <c r="WCU44" s="3161"/>
      <c r="WCV44" s="3161"/>
      <c r="WCW44" s="3161"/>
      <c r="WCX44" s="3161"/>
      <c r="WCY44" s="3161"/>
      <c r="WCZ44" s="3161"/>
      <c r="WDA44" s="3161"/>
      <c r="WDB44" s="3161"/>
      <c r="WDC44" s="3161"/>
      <c r="WDD44" s="3161"/>
      <c r="WDE44" s="3161"/>
      <c r="WDF44" s="3161"/>
      <c r="WDG44" s="3161"/>
      <c r="WDH44" s="3161"/>
      <c r="WDI44" s="3161"/>
      <c r="WDJ44" s="3161"/>
      <c r="WDK44" s="3161"/>
      <c r="WDL44" s="3161"/>
      <c r="WDM44" s="3161"/>
      <c r="WDN44" s="3161"/>
      <c r="WDO44" s="3161"/>
      <c r="WDP44" s="3161"/>
      <c r="WDQ44" s="3161"/>
      <c r="WDR44" s="3161"/>
      <c r="WDS44" s="3161"/>
      <c r="WDT44" s="3161"/>
      <c r="WDU44" s="3161"/>
      <c r="WDV44" s="3161"/>
      <c r="WDW44" s="3161"/>
      <c r="WDX44" s="3161"/>
      <c r="WDY44" s="3161"/>
      <c r="WDZ44" s="3161"/>
      <c r="WEA44" s="3161"/>
      <c r="WEB44" s="3161"/>
      <c r="WEC44" s="3161"/>
      <c r="WED44" s="3161"/>
      <c r="WEE44" s="3161"/>
      <c r="WEF44" s="3161"/>
      <c r="WEG44" s="3161"/>
      <c r="WEH44" s="3161"/>
      <c r="WEI44" s="3161"/>
      <c r="WEJ44" s="3161"/>
      <c r="WEK44" s="3161"/>
      <c r="WEL44" s="3161"/>
      <c r="WEM44" s="3161"/>
      <c r="WEN44" s="3161"/>
      <c r="WEO44" s="3161"/>
      <c r="WEP44" s="3161"/>
      <c r="WEQ44" s="3161"/>
      <c r="WER44" s="3161"/>
      <c r="WES44" s="3161"/>
      <c r="WET44" s="3161"/>
      <c r="WEU44" s="3161"/>
      <c r="WEV44" s="3161"/>
      <c r="WEW44" s="3161"/>
      <c r="WEX44" s="3161"/>
      <c r="WEY44" s="3161"/>
      <c r="WEZ44" s="3161"/>
      <c r="WFA44" s="3161"/>
      <c r="WFB44" s="3161"/>
      <c r="WFC44" s="3161"/>
      <c r="WFD44" s="3161"/>
      <c r="WFE44" s="3161"/>
      <c r="WFF44" s="3161"/>
      <c r="WFG44" s="3161"/>
      <c r="WFH44" s="3161"/>
      <c r="WFI44" s="3161"/>
      <c r="WFJ44" s="3161"/>
      <c r="WFK44" s="3161"/>
      <c r="WFL44" s="3161"/>
      <c r="WFM44" s="3161"/>
      <c r="WFN44" s="3161"/>
      <c r="WFO44" s="3161"/>
      <c r="WFP44" s="3161"/>
      <c r="WFQ44" s="3161"/>
      <c r="WFR44" s="3161"/>
      <c r="WFS44" s="3161"/>
      <c r="WFT44" s="3161"/>
      <c r="WFU44" s="3161"/>
      <c r="WFV44" s="3161"/>
      <c r="WFW44" s="3161"/>
      <c r="WFX44" s="3161"/>
      <c r="WFY44" s="3161"/>
      <c r="WFZ44" s="3161"/>
      <c r="WGA44" s="3161"/>
      <c r="WGB44" s="3161"/>
      <c r="WGC44" s="3161"/>
      <c r="WGD44" s="3161"/>
      <c r="WGE44" s="3161"/>
      <c r="WGF44" s="3161"/>
      <c r="WGG44" s="3161"/>
      <c r="WGH44" s="3161"/>
      <c r="WGI44" s="3161"/>
      <c r="WGJ44" s="3161"/>
      <c r="WGK44" s="3161"/>
      <c r="WGL44" s="3161"/>
      <c r="WGM44" s="3161"/>
      <c r="WGN44" s="3161"/>
      <c r="WGO44" s="3161"/>
      <c r="WGP44" s="3161"/>
      <c r="WGQ44" s="3161"/>
      <c r="WGR44" s="3161"/>
      <c r="WGS44" s="3161"/>
      <c r="WGT44" s="3161"/>
      <c r="WGU44" s="3161"/>
      <c r="WGV44" s="3161"/>
      <c r="WGW44" s="3161"/>
      <c r="WGX44" s="3161"/>
      <c r="WGY44" s="3161"/>
      <c r="WGZ44" s="3161"/>
      <c r="WHA44" s="3161"/>
      <c r="WHB44" s="3161"/>
      <c r="WHC44" s="3161"/>
      <c r="WHD44" s="3161"/>
      <c r="WHE44" s="3161"/>
      <c r="WHF44" s="3161"/>
      <c r="WHG44" s="3161"/>
      <c r="WHH44" s="3161"/>
      <c r="WHI44" s="3161"/>
      <c r="WHJ44" s="3161"/>
      <c r="WHK44" s="3161"/>
      <c r="WHL44" s="3161"/>
      <c r="WHM44" s="3161"/>
      <c r="WHN44" s="3161"/>
      <c r="WHO44" s="3161"/>
      <c r="WHP44" s="3161"/>
      <c r="WHQ44" s="3161"/>
      <c r="WHR44" s="3161"/>
      <c r="WHS44" s="3161"/>
      <c r="WHT44" s="3161"/>
      <c r="WHU44" s="3161"/>
      <c r="WHV44" s="3161"/>
      <c r="WHW44" s="3161"/>
      <c r="WHX44" s="3161"/>
      <c r="WHY44" s="3161"/>
      <c r="WHZ44" s="3161"/>
      <c r="WIA44" s="3161"/>
      <c r="WIB44" s="3161"/>
      <c r="WIC44" s="3161"/>
      <c r="WID44" s="3161"/>
      <c r="WIE44" s="3161"/>
      <c r="WIF44" s="3161"/>
      <c r="WIG44" s="3161"/>
      <c r="WIH44" s="3161"/>
      <c r="WII44" s="3161"/>
      <c r="WIJ44" s="3161"/>
      <c r="WIK44" s="3161"/>
      <c r="WIL44" s="3161"/>
      <c r="WIM44" s="3161"/>
      <c r="WIN44" s="3161"/>
      <c r="WIO44" s="3161"/>
      <c r="WIP44" s="3161"/>
      <c r="WIQ44" s="3161"/>
      <c r="WIR44" s="3161"/>
      <c r="WIS44" s="3161"/>
      <c r="WIT44" s="3161"/>
      <c r="WIU44" s="3161"/>
      <c r="WIV44" s="3161"/>
      <c r="WIW44" s="3161"/>
      <c r="WIX44" s="3161"/>
      <c r="WIY44" s="3161"/>
      <c r="WIZ44" s="3161"/>
      <c r="WJA44" s="3161"/>
      <c r="WJB44" s="3161"/>
      <c r="WJC44" s="3161"/>
      <c r="WJD44" s="3161"/>
      <c r="WJE44" s="3161"/>
      <c r="WJF44" s="3161"/>
      <c r="WJG44" s="3161"/>
      <c r="WJH44" s="3161"/>
      <c r="WJI44" s="3161"/>
      <c r="WJJ44" s="3161"/>
      <c r="WJK44" s="3161"/>
      <c r="WJL44" s="3161"/>
      <c r="WJM44" s="3161"/>
      <c r="WJN44" s="3161"/>
      <c r="WJO44" s="3161"/>
      <c r="WJP44" s="3161"/>
      <c r="WJQ44" s="3161"/>
      <c r="WJR44" s="3161"/>
      <c r="WJS44" s="3161"/>
      <c r="WJT44" s="3161"/>
      <c r="WJU44" s="3161"/>
      <c r="WJV44" s="3161"/>
      <c r="WJW44" s="3161"/>
      <c r="WJX44" s="3161"/>
      <c r="WJY44" s="3161"/>
      <c r="WJZ44" s="3161"/>
      <c r="WKA44" s="3161"/>
      <c r="WKB44" s="3161"/>
      <c r="WKC44" s="3161"/>
      <c r="WKD44" s="3161"/>
      <c r="WKE44" s="3161"/>
      <c r="WKF44" s="3161"/>
      <c r="WKG44" s="3161"/>
      <c r="WKH44" s="3161"/>
      <c r="WKI44" s="3161"/>
      <c r="WKJ44" s="3161"/>
      <c r="WKK44" s="3161"/>
      <c r="WKL44" s="3161"/>
      <c r="WKM44" s="3161"/>
      <c r="WKN44" s="3161"/>
      <c r="WKO44" s="3161"/>
      <c r="WKP44" s="3161"/>
      <c r="WKQ44" s="3161"/>
      <c r="WKR44" s="3161"/>
      <c r="WKS44" s="3161"/>
      <c r="WKT44" s="3161"/>
      <c r="WKU44" s="3161"/>
      <c r="WKV44" s="3161"/>
      <c r="WKW44" s="3161"/>
      <c r="WKX44" s="3161"/>
      <c r="WKY44" s="3161"/>
      <c r="WKZ44" s="3161"/>
      <c r="WLA44" s="3161"/>
      <c r="WLB44" s="3161"/>
      <c r="WLC44" s="3161"/>
      <c r="WLD44" s="3161"/>
      <c r="WLE44" s="3161"/>
      <c r="WLF44" s="3161"/>
      <c r="WLG44" s="3161"/>
      <c r="WLH44" s="3161"/>
      <c r="WLI44" s="3161"/>
      <c r="WLJ44" s="3161"/>
      <c r="WLK44" s="3161"/>
      <c r="WLL44" s="3161"/>
      <c r="WLM44" s="3161"/>
      <c r="WLN44" s="3161"/>
      <c r="WLO44" s="3161"/>
      <c r="WLP44" s="3161"/>
      <c r="WLQ44" s="3161"/>
      <c r="WLR44" s="3161"/>
      <c r="WLS44" s="3161"/>
      <c r="WLT44" s="3161"/>
      <c r="WLU44" s="3161"/>
      <c r="WLV44" s="3161"/>
      <c r="WLW44" s="3161"/>
      <c r="WLX44" s="3161"/>
      <c r="WLY44" s="3161"/>
      <c r="WLZ44" s="3161"/>
      <c r="WMA44" s="3161"/>
      <c r="WMB44" s="3161"/>
      <c r="WMC44" s="3161"/>
      <c r="WMD44" s="3161"/>
      <c r="WME44" s="3161"/>
      <c r="WMF44" s="3161"/>
      <c r="WMG44" s="3161"/>
      <c r="WMH44" s="3161"/>
      <c r="WMI44" s="3161"/>
      <c r="WMJ44" s="3161"/>
      <c r="WMK44" s="3161"/>
      <c r="WML44" s="3161"/>
      <c r="WMM44" s="3161"/>
      <c r="WMN44" s="3161"/>
      <c r="WMO44" s="3161"/>
      <c r="WMP44" s="3161"/>
      <c r="WMQ44" s="3161"/>
      <c r="WMR44" s="3161"/>
      <c r="WMS44" s="3161"/>
      <c r="WMT44" s="3161"/>
      <c r="WMU44" s="3161"/>
      <c r="WMV44" s="3161"/>
      <c r="WMW44" s="3161"/>
      <c r="WMX44" s="3161"/>
      <c r="WMY44" s="3161"/>
      <c r="WMZ44" s="3161"/>
      <c r="WNA44" s="3161"/>
      <c r="WNB44" s="3161"/>
      <c r="WNC44" s="3161"/>
      <c r="WND44" s="3161"/>
      <c r="WNE44" s="3161"/>
      <c r="WNF44" s="3161"/>
      <c r="WNG44" s="3161"/>
      <c r="WNH44" s="3161"/>
      <c r="WNI44" s="3161"/>
      <c r="WNJ44" s="3161"/>
      <c r="WNK44" s="3161"/>
      <c r="WNL44" s="3161"/>
      <c r="WNM44" s="3161"/>
      <c r="WNN44" s="3161"/>
      <c r="WNO44" s="3161"/>
      <c r="WNP44" s="3161"/>
      <c r="WNQ44" s="3161"/>
      <c r="WNR44" s="3161"/>
      <c r="WNS44" s="3161"/>
      <c r="WNT44" s="3161"/>
      <c r="WNU44" s="3161"/>
      <c r="WNV44" s="3161"/>
      <c r="WNW44" s="3161"/>
      <c r="WNX44" s="3161"/>
      <c r="WNY44" s="3161"/>
      <c r="WNZ44" s="3161"/>
      <c r="WOA44" s="3161"/>
      <c r="WOB44" s="3161"/>
      <c r="WOC44" s="3161"/>
      <c r="WOD44" s="3161"/>
      <c r="WOE44" s="3161"/>
      <c r="WOF44" s="3161"/>
      <c r="WOG44" s="3161"/>
      <c r="WOH44" s="3161"/>
      <c r="WOI44" s="3161"/>
      <c r="WOJ44" s="3161"/>
      <c r="WOK44" s="3161"/>
      <c r="WOL44" s="3161"/>
      <c r="WOM44" s="3161"/>
      <c r="WON44" s="3161"/>
      <c r="WOO44" s="3161"/>
      <c r="WOP44" s="3161"/>
      <c r="WOQ44" s="3161"/>
      <c r="WOR44" s="3161"/>
      <c r="WOS44" s="3161"/>
      <c r="WOT44" s="3161"/>
      <c r="WOU44" s="3161"/>
      <c r="WOV44" s="3161"/>
      <c r="WOW44" s="3161"/>
      <c r="WOX44" s="3161"/>
      <c r="WOY44" s="3161"/>
      <c r="WOZ44" s="3161"/>
      <c r="WPA44" s="3161"/>
      <c r="WPB44" s="3161"/>
      <c r="WPC44" s="3161"/>
      <c r="WPD44" s="3161"/>
      <c r="WPE44" s="3161"/>
      <c r="WPF44" s="3161"/>
      <c r="WPG44" s="3161"/>
      <c r="WPH44" s="3161"/>
      <c r="WPI44" s="3161"/>
      <c r="WPJ44" s="3161"/>
      <c r="WPK44" s="3161"/>
      <c r="WPL44" s="3161"/>
      <c r="WPM44" s="3161"/>
      <c r="WPN44" s="3161"/>
      <c r="WPO44" s="3161"/>
      <c r="WPP44" s="3161"/>
      <c r="WPQ44" s="3161"/>
      <c r="WPR44" s="3161"/>
      <c r="WPS44" s="3161"/>
      <c r="WPT44" s="3161"/>
      <c r="WPU44" s="3161"/>
      <c r="WPV44" s="3161"/>
      <c r="WPW44" s="3161"/>
      <c r="WPX44" s="3161"/>
      <c r="WPY44" s="3161"/>
      <c r="WPZ44" s="3161"/>
      <c r="WQA44" s="3161"/>
      <c r="WQB44" s="3161"/>
      <c r="WQC44" s="3161"/>
      <c r="WQD44" s="3161"/>
      <c r="WQE44" s="3161"/>
      <c r="WQF44" s="3161"/>
      <c r="WQG44" s="3161"/>
      <c r="WQH44" s="3161"/>
      <c r="WQI44" s="3161"/>
      <c r="WQJ44" s="3161"/>
      <c r="WQK44" s="3161"/>
      <c r="WQL44" s="3161"/>
      <c r="WQM44" s="3161"/>
      <c r="WQN44" s="3161"/>
      <c r="WQO44" s="3161"/>
      <c r="WQP44" s="3161"/>
      <c r="WQQ44" s="3161"/>
      <c r="WQR44" s="3161"/>
      <c r="WQS44" s="3161"/>
      <c r="WQT44" s="3161"/>
      <c r="WQU44" s="3161"/>
      <c r="WQV44" s="3161"/>
      <c r="WQW44" s="3161"/>
      <c r="WQX44" s="3161"/>
      <c r="WQY44" s="3161"/>
      <c r="WQZ44" s="3161"/>
      <c r="WRA44" s="3161"/>
      <c r="WRB44" s="3161"/>
      <c r="WRC44" s="3161"/>
      <c r="WRD44" s="3161"/>
      <c r="WRE44" s="3161"/>
      <c r="WRF44" s="3161"/>
      <c r="WRG44" s="3161"/>
      <c r="WRH44" s="3161"/>
      <c r="WRI44" s="3161"/>
      <c r="WRJ44" s="3161"/>
      <c r="WRK44" s="3161"/>
      <c r="WRL44" s="3161"/>
      <c r="WRM44" s="3161"/>
      <c r="WRN44" s="3161"/>
      <c r="WRO44" s="3161"/>
      <c r="WRP44" s="3161"/>
      <c r="WRQ44" s="3161"/>
      <c r="WRR44" s="3161"/>
      <c r="WRS44" s="3161"/>
      <c r="WRT44" s="3161"/>
      <c r="WRU44" s="3161"/>
      <c r="WRV44" s="3161"/>
      <c r="WRW44" s="3161"/>
      <c r="WRX44" s="3161"/>
      <c r="WRY44" s="3161"/>
      <c r="WRZ44" s="3161"/>
      <c r="WSA44" s="3161"/>
      <c r="WSB44" s="3161"/>
      <c r="WSC44" s="3161"/>
      <c r="WSD44" s="3161"/>
      <c r="WSE44" s="3161"/>
      <c r="WSF44" s="3161"/>
      <c r="WSG44" s="3161"/>
      <c r="WSH44" s="3161"/>
      <c r="WSI44" s="3161"/>
      <c r="WSJ44" s="3161"/>
      <c r="WSK44" s="3161"/>
      <c r="WSL44" s="3161"/>
      <c r="WSM44" s="3161"/>
      <c r="WSN44" s="3161"/>
      <c r="WSO44" s="3161"/>
      <c r="WSP44" s="3161"/>
      <c r="WSQ44" s="3161"/>
      <c r="WSR44" s="3161"/>
      <c r="WSS44" s="3161"/>
      <c r="WST44" s="3161"/>
      <c r="WSU44" s="3161"/>
      <c r="WSV44" s="3161"/>
      <c r="WSW44" s="3161"/>
      <c r="WSX44" s="3161"/>
      <c r="WSY44" s="3161"/>
      <c r="WSZ44" s="3161"/>
      <c r="WTA44" s="3161"/>
      <c r="WTB44" s="3161"/>
      <c r="WTC44" s="3161"/>
      <c r="WTD44" s="3161"/>
      <c r="WTE44" s="3161"/>
      <c r="WTF44" s="3161"/>
      <c r="WTG44" s="3161"/>
      <c r="WTH44" s="3161"/>
      <c r="WTI44" s="3161"/>
      <c r="WTJ44" s="3161"/>
      <c r="WTK44" s="3161"/>
      <c r="WTL44" s="3161"/>
      <c r="WTM44" s="3161"/>
      <c r="WTN44" s="3161"/>
      <c r="WTO44" s="3161"/>
      <c r="WTP44" s="3161"/>
      <c r="WTQ44" s="3161"/>
      <c r="WTR44" s="3161"/>
      <c r="WTS44" s="3161"/>
      <c r="WTT44" s="3161"/>
      <c r="WTU44" s="3161"/>
      <c r="WTV44" s="3161"/>
      <c r="WTW44" s="3161"/>
      <c r="WTX44" s="3161"/>
      <c r="WTY44" s="3161"/>
      <c r="WTZ44" s="3161"/>
      <c r="WUA44" s="3161"/>
      <c r="WUB44" s="3161"/>
      <c r="WUC44" s="3161"/>
      <c r="WUD44" s="3161"/>
      <c r="WUE44" s="3161"/>
      <c r="WUF44" s="3161"/>
      <c r="WUG44" s="3161"/>
      <c r="WUH44" s="3161"/>
      <c r="WUI44" s="3161"/>
      <c r="WUJ44" s="3161"/>
      <c r="WUK44" s="3161"/>
      <c r="WUL44" s="3161"/>
      <c r="WUM44" s="3161"/>
      <c r="WUN44" s="3161"/>
      <c r="WUO44" s="3161"/>
      <c r="WUP44" s="3161"/>
      <c r="WUQ44" s="3161"/>
      <c r="WUR44" s="3161"/>
      <c r="WUS44" s="3161"/>
      <c r="WUT44" s="3161"/>
      <c r="WUU44" s="3161"/>
      <c r="WUV44" s="3161"/>
      <c r="WUW44" s="3161"/>
      <c r="WUX44" s="3161"/>
      <c r="WUY44" s="3161"/>
      <c r="WUZ44" s="3161"/>
      <c r="WVA44" s="3161"/>
      <c r="WVB44" s="3161"/>
      <c r="WVC44" s="3161"/>
      <c r="WVD44" s="3161"/>
      <c r="WVE44" s="3161"/>
      <c r="WVF44" s="3161"/>
      <c r="WVG44" s="3161"/>
      <c r="WVH44" s="3161"/>
      <c r="WVI44" s="3161"/>
      <c r="WVJ44" s="3161"/>
      <c r="WVK44" s="3161"/>
      <c r="WVL44" s="3161"/>
      <c r="WVM44" s="3161"/>
      <c r="WVN44" s="3161"/>
      <c r="WVO44" s="3161"/>
      <c r="WVP44" s="3161"/>
      <c r="WVQ44" s="3161"/>
      <c r="WVR44" s="3161"/>
      <c r="WVS44" s="3161"/>
      <c r="WVT44" s="3161"/>
      <c r="WVU44" s="3161"/>
      <c r="WVV44" s="3161"/>
      <c r="WVW44" s="3161"/>
      <c r="WVX44" s="3161"/>
      <c r="WVY44" s="3161"/>
      <c r="WVZ44" s="3161"/>
      <c r="WWA44" s="3161"/>
      <c r="WWB44" s="3161"/>
      <c r="WWC44" s="3161"/>
      <c r="WWD44" s="3161"/>
      <c r="WWE44" s="3161"/>
      <c r="WWF44" s="3161"/>
      <c r="WWG44" s="3161"/>
      <c r="WWH44" s="3161"/>
      <c r="WWI44" s="3161"/>
      <c r="WWJ44" s="3161"/>
      <c r="WWK44" s="3161"/>
      <c r="WWL44" s="3161"/>
      <c r="WWM44" s="3161"/>
      <c r="WWN44" s="3161"/>
      <c r="WWO44" s="3161"/>
      <c r="WWP44" s="3161"/>
      <c r="WWQ44" s="3161"/>
      <c r="WWR44" s="3161"/>
      <c r="WWS44" s="3161"/>
      <c r="WWT44" s="3161"/>
      <c r="WWU44" s="3161"/>
      <c r="WWV44" s="3161"/>
      <c r="WWW44" s="3161"/>
      <c r="WWX44" s="3161"/>
      <c r="WWY44" s="3161"/>
      <c r="WWZ44" s="3161"/>
      <c r="WXA44" s="3161"/>
      <c r="WXB44" s="3161"/>
      <c r="WXC44" s="3161"/>
      <c r="WXD44" s="3161"/>
      <c r="WXE44" s="3161"/>
      <c r="WXF44" s="3161"/>
      <c r="WXG44" s="3161"/>
      <c r="WXH44" s="3161"/>
      <c r="WXI44" s="3161"/>
      <c r="WXJ44" s="3161"/>
      <c r="WXK44" s="3161"/>
      <c r="WXL44" s="3161"/>
      <c r="WXM44" s="3161"/>
      <c r="WXN44" s="3161"/>
      <c r="WXO44" s="3161"/>
      <c r="WXP44" s="3161"/>
      <c r="WXQ44" s="3161"/>
      <c r="WXR44" s="3161"/>
      <c r="WXS44" s="3161"/>
      <c r="WXT44" s="3161"/>
      <c r="WXU44" s="3161"/>
      <c r="WXV44" s="3161"/>
      <c r="WXW44" s="3161"/>
      <c r="WXX44" s="3161"/>
      <c r="WXY44" s="3161"/>
      <c r="WXZ44" s="3161"/>
      <c r="WYA44" s="3161"/>
      <c r="WYB44" s="3161"/>
      <c r="WYC44" s="3161"/>
      <c r="WYD44" s="3161"/>
      <c r="WYE44" s="3161"/>
      <c r="WYF44" s="3161"/>
      <c r="WYG44" s="3161"/>
      <c r="WYH44" s="3161"/>
      <c r="WYI44" s="3161"/>
      <c r="WYJ44" s="3161"/>
      <c r="WYK44" s="3161"/>
      <c r="WYL44" s="3161"/>
      <c r="WYM44" s="3161"/>
      <c r="WYN44" s="3161"/>
      <c r="WYO44" s="3161"/>
      <c r="WYP44" s="3161"/>
      <c r="WYQ44" s="3161"/>
      <c r="WYR44" s="3161"/>
      <c r="WYS44" s="3161"/>
      <c r="WYT44" s="3161"/>
      <c r="WYU44" s="3161"/>
      <c r="WYV44" s="3161"/>
      <c r="WYW44" s="3161"/>
      <c r="WYX44" s="3161"/>
      <c r="WYY44" s="3161"/>
      <c r="WYZ44" s="3161"/>
      <c r="WZA44" s="3161"/>
      <c r="WZB44" s="3161"/>
      <c r="WZC44" s="3161"/>
      <c r="WZD44" s="3161"/>
      <c r="WZE44" s="3161"/>
      <c r="WZF44" s="3161"/>
      <c r="WZG44" s="3161"/>
      <c r="WZH44" s="3161"/>
      <c r="WZI44" s="3161"/>
      <c r="WZJ44" s="3161"/>
      <c r="WZK44" s="3161"/>
      <c r="WZL44" s="3161"/>
      <c r="WZM44" s="3161"/>
      <c r="WZN44" s="3161"/>
      <c r="WZO44" s="3161"/>
      <c r="WZP44" s="3161"/>
      <c r="WZQ44" s="3161"/>
      <c r="WZR44" s="3161"/>
      <c r="WZS44" s="3161"/>
      <c r="WZT44" s="3161"/>
      <c r="WZU44" s="3161"/>
      <c r="WZV44" s="3161"/>
      <c r="WZW44" s="3161"/>
      <c r="WZX44" s="3161"/>
      <c r="WZY44" s="3161"/>
      <c r="WZZ44" s="3161"/>
      <c r="XAA44" s="3161"/>
      <c r="XAB44" s="3161"/>
      <c r="XAC44" s="3161"/>
      <c r="XAD44" s="3161"/>
      <c r="XAE44" s="3161"/>
      <c r="XAF44" s="3161"/>
      <c r="XAG44" s="3161"/>
      <c r="XAH44" s="3161"/>
      <c r="XAI44" s="3161"/>
      <c r="XAJ44" s="3161"/>
      <c r="XAK44" s="3161"/>
      <c r="XAL44" s="3161"/>
      <c r="XAM44" s="3161"/>
      <c r="XAN44" s="3161"/>
      <c r="XAO44" s="3161"/>
      <c r="XAP44" s="3161"/>
      <c r="XAQ44" s="3161"/>
      <c r="XAR44" s="3161"/>
      <c r="XAS44" s="3161"/>
      <c r="XAT44" s="3161"/>
      <c r="XAU44" s="3161"/>
      <c r="XAV44" s="3161"/>
      <c r="XAW44" s="3161"/>
      <c r="XAX44" s="3161"/>
      <c r="XAY44" s="3161"/>
      <c r="XAZ44" s="3161"/>
      <c r="XBA44" s="3161"/>
      <c r="XBB44" s="3161"/>
      <c r="XBC44" s="3161"/>
      <c r="XBD44" s="3161"/>
      <c r="XBE44" s="3161"/>
      <c r="XBF44" s="3161"/>
      <c r="XBG44" s="3161"/>
      <c r="XBH44" s="3161"/>
      <c r="XBI44" s="3161"/>
      <c r="XBJ44" s="3161"/>
      <c r="XBK44" s="3161"/>
      <c r="XBL44" s="3161"/>
      <c r="XBM44" s="3161"/>
      <c r="XBN44" s="3161"/>
      <c r="XBO44" s="3161"/>
      <c r="XBP44" s="3161"/>
      <c r="XBQ44" s="3161"/>
      <c r="XBR44" s="3161"/>
      <c r="XBS44" s="3161"/>
      <c r="XBT44" s="3161"/>
      <c r="XBU44" s="3161"/>
      <c r="XBV44" s="3161"/>
      <c r="XBW44" s="3161"/>
      <c r="XBX44" s="3161"/>
      <c r="XBY44" s="3161"/>
      <c r="XBZ44" s="3161"/>
      <c r="XCA44" s="3161"/>
      <c r="XCB44" s="3161"/>
      <c r="XCC44" s="3161"/>
      <c r="XCD44" s="3161"/>
      <c r="XCE44" s="3161"/>
      <c r="XCF44" s="3161"/>
      <c r="XCG44" s="3161"/>
      <c r="XCH44" s="3161"/>
      <c r="XCI44" s="3161"/>
      <c r="XCJ44" s="3161"/>
      <c r="XCK44" s="3161"/>
      <c r="XCL44" s="3161"/>
      <c r="XCM44" s="3161"/>
      <c r="XCN44" s="3161"/>
      <c r="XCO44" s="3161"/>
      <c r="XCP44" s="3161"/>
      <c r="XCQ44" s="3161"/>
      <c r="XCR44" s="3161"/>
      <c r="XCS44" s="3161"/>
      <c r="XCT44" s="3161"/>
      <c r="XCU44" s="3161"/>
      <c r="XCV44" s="3161"/>
      <c r="XCW44" s="3161"/>
      <c r="XCX44" s="3161"/>
      <c r="XCY44" s="3161"/>
      <c r="XCZ44" s="3161"/>
      <c r="XDA44" s="3161"/>
      <c r="XDB44" s="3161"/>
      <c r="XDC44" s="3161"/>
      <c r="XDD44" s="3161"/>
      <c r="XDE44" s="3161"/>
      <c r="XDF44" s="3161"/>
      <c r="XDG44" s="3161"/>
      <c r="XDH44" s="3161"/>
      <c r="XDI44" s="3161"/>
      <c r="XDJ44" s="3161"/>
      <c r="XDK44" s="3161"/>
      <c r="XDL44" s="3161"/>
      <c r="XDM44" s="3161"/>
      <c r="XDN44" s="3161"/>
      <c r="XDO44" s="3161"/>
      <c r="XDP44" s="3161"/>
      <c r="XDQ44" s="3161"/>
      <c r="XDR44" s="3161"/>
      <c r="XDS44" s="3161"/>
      <c r="XDT44" s="3161"/>
    </row>
    <row r="45" spans="1:16348" s="3183" customFormat="1" ht="34.5" customHeight="1">
      <c r="A45" s="3170">
        <v>294</v>
      </c>
      <c r="B45" s="3170">
        <v>42</v>
      </c>
      <c r="C45" s="3171" t="s">
        <v>3949</v>
      </c>
      <c r="D45" s="3172" t="s">
        <v>3945</v>
      </c>
      <c r="E45" s="3173" t="s">
        <v>3779</v>
      </c>
      <c r="F45" s="3171" t="s">
        <v>3950</v>
      </c>
      <c r="G45" s="3174">
        <v>32</v>
      </c>
      <c r="H45" s="3175" t="s">
        <v>3951</v>
      </c>
      <c r="I45" s="3173" t="s">
        <v>3952</v>
      </c>
      <c r="J45" s="3176" t="s">
        <v>3783</v>
      </c>
      <c r="K45" s="3177"/>
      <c r="L45" s="3178">
        <v>6.16</v>
      </c>
      <c r="M45" s="3179">
        <v>3.08</v>
      </c>
      <c r="N45" s="3180"/>
      <c r="O45" s="3180">
        <f t="shared" si="21"/>
        <v>9.24</v>
      </c>
      <c r="P45" s="3180">
        <v>6000</v>
      </c>
      <c r="Q45" s="3180">
        <v>3000</v>
      </c>
      <c r="R45" s="3180"/>
      <c r="S45" s="3180">
        <f t="shared" si="22"/>
        <v>9000</v>
      </c>
      <c r="T45" s="3180">
        <v>58500</v>
      </c>
      <c r="U45" s="3180">
        <v>36000</v>
      </c>
      <c r="V45" s="3180">
        <f t="shared" si="24"/>
        <v>0</v>
      </c>
      <c r="W45" s="3180">
        <f t="shared" si="25"/>
        <v>94500</v>
      </c>
      <c r="X45" s="3181">
        <v>45184</v>
      </c>
      <c r="Y45" s="3181">
        <v>45657</v>
      </c>
      <c r="Z45" s="3181" t="s">
        <v>3784</v>
      </c>
      <c r="AA45" s="3182">
        <v>12</v>
      </c>
      <c r="AB45" s="3171" t="s">
        <v>3953</v>
      </c>
    </row>
    <row r="46" spans="1:16348" s="3183" customFormat="1" ht="34.5" customHeight="1">
      <c r="A46" s="3170">
        <v>25</v>
      </c>
      <c r="B46" s="3170">
        <v>43</v>
      </c>
      <c r="C46" s="3171" t="s">
        <v>3954</v>
      </c>
      <c r="D46" s="3172" t="s">
        <v>3945</v>
      </c>
      <c r="E46" s="3173" t="s">
        <v>3779</v>
      </c>
      <c r="F46" s="3171" t="s">
        <v>3955</v>
      </c>
      <c r="G46" s="3174">
        <v>335</v>
      </c>
      <c r="H46" s="3176" t="s">
        <v>3821</v>
      </c>
      <c r="I46" s="3171" t="s">
        <v>3956</v>
      </c>
      <c r="J46" s="3176" t="s">
        <v>3783</v>
      </c>
      <c r="K46" s="3177"/>
      <c r="L46" s="3179">
        <v>8</v>
      </c>
      <c r="M46" s="3179">
        <v>3</v>
      </c>
      <c r="N46" s="3180"/>
      <c r="O46" s="3180">
        <f t="shared" si="21"/>
        <v>11</v>
      </c>
      <c r="P46" s="3180">
        <f>L46*G46*365/12</f>
        <v>81516.666666666672</v>
      </c>
      <c r="Q46" s="3180">
        <f>M46*G46*365/12</f>
        <v>30568.75</v>
      </c>
      <c r="R46" s="3180"/>
      <c r="S46" s="3180">
        <f t="shared" si="22"/>
        <v>112085.41666666667</v>
      </c>
      <c r="T46" s="3180">
        <v>733650.03</v>
      </c>
      <c r="U46" s="3180">
        <f>Q46*AA46</f>
        <v>275118.75</v>
      </c>
      <c r="V46" s="3180">
        <f t="shared" si="24"/>
        <v>0</v>
      </c>
      <c r="W46" s="3180">
        <f t="shared" si="25"/>
        <v>1008768.78</v>
      </c>
      <c r="X46" s="3181">
        <v>44470</v>
      </c>
      <c r="Y46" s="3181">
        <v>45565</v>
      </c>
      <c r="Z46" s="3181" t="s">
        <v>3784</v>
      </c>
      <c r="AA46" s="3182">
        <v>9</v>
      </c>
      <c r="AB46" s="3171" t="s">
        <v>3957</v>
      </c>
    </row>
    <row r="47" spans="1:16348" s="3183" customFormat="1" ht="34.5" customHeight="1">
      <c r="A47" s="3170">
        <v>64</v>
      </c>
      <c r="B47" s="3170">
        <v>44</v>
      </c>
      <c r="C47" s="3171" t="s">
        <v>3958</v>
      </c>
      <c r="D47" s="3172" t="s">
        <v>3945</v>
      </c>
      <c r="E47" s="3173" t="s">
        <v>3779</v>
      </c>
      <c r="F47" s="3171" t="s">
        <v>3959</v>
      </c>
      <c r="G47" s="3174">
        <v>152</v>
      </c>
      <c r="H47" s="3176" t="s">
        <v>3960</v>
      </c>
      <c r="I47" s="3171" t="s">
        <v>3961</v>
      </c>
      <c r="J47" s="3176" t="s">
        <v>3783</v>
      </c>
      <c r="K47" s="3177"/>
      <c r="L47" s="3179">
        <v>7</v>
      </c>
      <c r="M47" s="3179">
        <v>3</v>
      </c>
      <c r="N47" s="3180"/>
      <c r="O47" s="3180">
        <f t="shared" si="21"/>
        <v>10</v>
      </c>
      <c r="P47" s="3180">
        <v>32363.33</v>
      </c>
      <c r="Q47" s="3180">
        <f>M47*G47*365/12</f>
        <v>13870</v>
      </c>
      <c r="R47" s="3180"/>
      <c r="S47" s="3180">
        <f t="shared" si="22"/>
        <v>46233.33</v>
      </c>
      <c r="T47" s="3180">
        <v>258906.64</v>
      </c>
      <c r="U47" s="3180">
        <f>Q47*AA47</f>
        <v>110960</v>
      </c>
      <c r="V47" s="3180">
        <f t="shared" si="24"/>
        <v>0</v>
      </c>
      <c r="W47" s="3180">
        <f t="shared" si="25"/>
        <v>369866.64</v>
      </c>
      <c r="X47" s="3181">
        <v>44440</v>
      </c>
      <c r="Y47" s="3181">
        <v>45535</v>
      </c>
      <c r="Z47" s="3181" t="s">
        <v>3784</v>
      </c>
      <c r="AA47" s="3182">
        <v>8</v>
      </c>
      <c r="AB47" s="3171" t="s">
        <v>3962</v>
      </c>
    </row>
    <row r="48" spans="1:16348" s="3183" customFormat="1" ht="34.5" customHeight="1">
      <c r="A48" s="3170">
        <v>33</v>
      </c>
      <c r="B48" s="3170">
        <v>45</v>
      </c>
      <c r="C48" s="3171" t="s">
        <v>3963</v>
      </c>
      <c r="D48" s="3172" t="s">
        <v>3945</v>
      </c>
      <c r="E48" s="3173" t="s">
        <v>3779</v>
      </c>
      <c r="F48" s="3171" t="s">
        <v>3964</v>
      </c>
      <c r="G48" s="3174">
        <v>175</v>
      </c>
      <c r="H48" s="3176" t="s">
        <v>3965</v>
      </c>
      <c r="I48" s="3171" t="s">
        <v>3966</v>
      </c>
      <c r="J48" s="3176" t="s">
        <v>3783</v>
      </c>
      <c r="K48" s="3177"/>
      <c r="L48" s="3179">
        <v>9</v>
      </c>
      <c r="M48" s="3179">
        <v>2</v>
      </c>
      <c r="N48" s="3180"/>
      <c r="O48" s="3180">
        <f t="shared" si="21"/>
        <v>11</v>
      </c>
      <c r="P48" s="3180">
        <f>L48*G48*365/12</f>
        <v>47906.25</v>
      </c>
      <c r="Q48" s="3180">
        <v>10645.83</v>
      </c>
      <c r="R48" s="3180"/>
      <c r="S48" s="3180">
        <f t="shared" si="22"/>
        <v>58552.08</v>
      </c>
      <c r="T48" s="3180">
        <v>431156.25</v>
      </c>
      <c r="U48" s="3180">
        <f>Q48*AA48</f>
        <v>95812.47</v>
      </c>
      <c r="V48" s="3180">
        <f t="shared" si="24"/>
        <v>0</v>
      </c>
      <c r="W48" s="3180">
        <f t="shared" si="25"/>
        <v>526968.72</v>
      </c>
      <c r="X48" s="3181">
        <v>44378</v>
      </c>
      <c r="Y48" s="3181">
        <v>45565</v>
      </c>
      <c r="Z48" s="3181" t="s">
        <v>3784</v>
      </c>
      <c r="AA48" s="3182">
        <v>9</v>
      </c>
      <c r="AB48" s="3171" t="s">
        <v>3967</v>
      </c>
    </row>
    <row r="49" spans="1:28" s="3183" customFormat="1" ht="34.5" customHeight="1">
      <c r="A49" s="3170">
        <v>49</v>
      </c>
      <c r="B49" s="3170">
        <v>46</v>
      </c>
      <c r="C49" s="3171" t="s">
        <v>3968</v>
      </c>
      <c r="D49" s="3172" t="s">
        <v>3945</v>
      </c>
      <c r="E49" s="3173" t="s">
        <v>3779</v>
      </c>
      <c r="F49" s="3171" t="s">
        <v>3969</v>
      </c>
      <c r="G49" s="3174">
        <f>248-18</f>
        <v>230</v>
      </c>
      <c r="H49" s="3176" t="s">
        <v>3970</v>
      </c>
      <c r="I49" s="3171" t="s">
        <v>3971</v>
      </c>
      <c r="J49" s="3176" t="s">
        <v>3783</v>
      </c>
      <c r="K49" s="3177"/>
      <c r="L49" s="3179">
        <v>7</v>
      </c>
      <c r="M49" s="3179">
        <v>3</v>
      </c>
      <c r="N49" s="3180"/>
      <c r="O49" s="3180">
        <f t="shared" si="21"/>
        <v>10</v>
      </c>
      <c r="P49" s="3180">
        <f>48970.83</f>
        <v>48970.83</v>
      </c>
      <c r="Q49" s="3180">
        <f>M49*G49*365/12</f>
        <v>20987.5</v>
      </c>
      <c r="R49" s="3180"/>
      <c r="S49" s="3180">
        <f t="shared" si="22"/>
        <v>69958.33</v>
      </c>
      <c r="T49" s="3180">
        <v>608637.48</v>
      </c>
      <c r="U49" s="3180">
        <v>251850</v>
      </c>
      <c r="V49" s="3180">
        <f t="shared" si="24"/>
        <v>0</v>
      </c>
      <c r="W49" s="3180">
        <f t="shared" si="25"/>
        <v>860487.48</v>
      </c>
      <c r="X49" s="3181">
        <v>44470</v>
      </c>
      <c r="Y49" s="3181">
        <v>46660</v>
      </c>
      <c r="Z49" s="3181" t="s">
        <v>3784</v>
      </c>
      <c r="AA49" s="3182">
        <v>12</v>
      </c>
      <c r="AB49" s="3171" t="s">
        <v>3972</v>
      </c>
    </row>
    <row r="50" spans="1:28" s="3183" customFormat="1" ht="34.5" customHeight="1">
      <c r="A50" s="3170">
        <v>180</v>
      </c>
      <c r="B50" s="3170">
        <v>47</v>
      </c>
      <c r="C50" s="3171" t="s">
        <v>3973</v>
      </c>
      <c r="D50" s="3172" t="s">
        <v>3945</v>
      </c>
      <c r="E50" s="3173" t="s">
        <v>3779</v>
      </c>
      <c r="F50" s="3171" t="s">
        <v>3974</v>
      </c>
      <c r="G50" s="3174">
        <v>45</v>
      </c>
      <c r="H50" s="3175" t="s">
        <v>3781</v>
      </c>
      <c r="I50" s="3173" t="s">
        <v>3975</v>
      </c>
      <c r="J50" s="3176" t="s">
        <v>3783</v>
      </c>
      <c r="K50" s="3177"/>
      <c r="L50" s="3179">
        <v>2.99</v>
      </c>
      <c r="M50" s="3179">
        <v>3</v>
      </c>
      <c r="N50" s="3180"/>
      <c r="O50" s="3180">
        <f t="shared" si="21"/>
        <v>5.99</v>
      </c>
      <c r="P50" s="3180">
        <f>L50*G50*365/12</f>
        <v>4092.5625000000005</v>
      </c>
      <c r="Q50" s="3180">
        <f>M50*G50*365/12</f>
        <v>4106.25</v>
      </c>
      <c r="R50" s="3180"/>
      <c r="S50" s="3180">
        <f t="shared" si="22"/>
        <v>8198.8125</v>
      </c>
      <c r="T50" s="3180">
        <v>47961</v>
      </c>
      <c r="U50" s="3180">
        <f t="shared" ref="U50:U66" si="26">M50*G50*365</f>
        <v>49275</v>
      </c>
      <c r="V50" s="3180">
        <f t="shared" si="24"/>
        <v>0</v>
      </c>
      <c r="W50" s="3180">
        <f t="shared" si="25"/>
        <v>97236</v>
      </c>
      <c r="X50" s="3181">
        <v>45108</v>
      </c>
      <c r="Y50" s="3181">
        <v>45838</v>
      </c>
      <c r="Z50" s="3181" t="s">
        <v>3784</v>
      </c>
      <c r="AA50" s="3182">
        <v>12</v>
      </c>
      <c r="AB50" s="3171" t="s">
        <v>3976</v>
      </c>
    </row>
    <row r="51" spans="1:28" s="3183" customFormat="1" ht="34.5" customHeight="1">
      <c r="A51" s="3170">
        <v>216</v>
      </c>
      <c r="B51" s="3170">
        <v>48</v>
      </c>
      <c r="C51" s="3171" t="s">
        <v>3977</v>
      </c>
      <c r="D51" s="3172" t="s">
        <v>3945</v>
      </c>
      <c r="E51" s="3173" t="s">
        <v>3779</v>
      </c>
      <c r="F51" s="3171" t="s">
        <v>3978</v>
      </c>
      <c r="G51" s="3174">
        <v>16</v>
      </c>
      <c r="H51" s="3175" t="s">
        <v>3979</v>
      </c>
      <c r="I51" s="3173" t="s">
        <v>3980</v>
      </c>
      <c r="J51" s="3176" t="s">
        <v>3783</v>
      </c>
      <c r="K51" s="3177"/>
      <c r="L51" s="3179">
        <v>7</v>
      </c>
      <c r="M51" s="3179">
        <v>3</v>
      </c>
      <c r="N51" s="3180"/>
      <c r="O51" s="3180">
        <f t="shared" si="21"/>
        <v>10</v>
      </c>
      <c r="P51" s="3180">
        <f>L51*G51*365/12</f>
        <v>3406.6666666666665</v>
      </c>
      <c r="Q51" s="3180">
        <f>M51*G51*365/12</f>
        <v>1460</v>
      </c>
      <c r="R51" s="3180"/>
      <c r="S51" s="3180">
        <f t="shared" si="22"/>
        <v>4866.6666666666661</v>
      </c>
      <c r="T51" s="3180">
        <v>42826.67</v>
      </c>
      <c r="U51" s="3180">
        <f t="shared" si="26"/>
        <v>17520</v>
      </c>
      <c r="V51" s="3180">
        <f t="shared" si="24"/>
        <v>0</v>
      </c>
      <c r="W51" s="3180">
        <f t="shared" si="25"/>
        <v>60346.67</v>
      </c>
      <c r="X51" s="3181">
        <v>45170</v>
      </c>
      <c r="Y51" s="3181">
        <v>46265</v>
      </c>
      <c r="Z51" s="3181" t="s">
        <v>3784</v>
      </c>
      <c r="AA51" s="3182">
        <v>12</v>
      </c>
      <c r="AB51" s="3171" t="s">
        <v>3981</v>
      </c>
    </row>
    <row r="52" spans="1:28" s="3183" customFormat="1" ht="34.5" customHeight="1">
      <c r="A52" s="3170">
        <v>234</v>
      </c>
      <c r="B52" s="3170">
        <v>49</v>
      </c>
      <c r="C52" s="3171" t="s">
        <v>3982</v>
      </c>
      <c r="D52" s="3172" t="s">
        <v>3945</v>
      </c>
      <c r="E52" s="3173" t="s">
        <v>3779</v>
      </c>
      <c r="F52" s="3171" t="s">
        <v>3983</v>
      </c>
      <c r="G52" s="3174">
        <v>16</v>
      </c>
      <c r="H52" s="3175" t="s">
        <v>3903</v>
      </c>
      <c r="I52" s="3173" t="s">
        <v>3984</v>
      </c>
      <c r="J52" s="3176" t="s">
        <v>3783</v>
      </c>
      <c r="K52" s="3177"/>
      <c r="L52" s="3179">
        <v>10.27</v>
      </c>
      <c r="M52" s="3179">
        <v>4.1100000000000003</v>
      </c>
      <c r="N52" s="3180"/>
      <c r="O52" s="3180">
        <f t="shared" si="21"/>
        <v>14.379999999999999</v>
      </c>
      <c r="P52" s="3180">
        <v>5000</v>
      </c>
      <c r="Q52" s="3180">
        <v>2000</v>
      </c>
      <c r="R52" s="3180"/>
      <c r="S52" s="3180">
        <f t="shared" si="22"/>
        <v>7000</v>
      </c>
      <c r="T52" s="3180">
        <f>P52*AA52</f>
        <v>50000</v>
      </c>
      <c r="U52" s="3180">
        <f>Q52*AA52</f>
        <v>20000</v>
      </c>
      <c r="V52" s="3180">
        <f t="shared" si="24"/>
        <v>0</v>
      </c>
      <c r="W52" s="3180">
        <f t="shared" si="25"/>
        <v>70000</v>
      </c>
      <c r="X52" s="3181">
        <v>45352</v>
      </c>
      <c r="Y52" s="3181">
        <v>46081</v>
      </c>
      <c r="Z52" s="3181" t="s">
        <v>3784</v>
      </c>
      <c r="AA52" s="3182">
        <v>10</v>
      </c>
      <c r="AB52" s="3171"/>
    </row>
    <row r="53" spans="1:28" s="3183" customFormat="1" ht="34.5" customHeight="1">
      <c r="A53" s="3170">
        <v>87</v>
      </c>
      <c r="B53" s="3170">
        <v>50</v>
      </c>
      <c r="C53" s="3171" t="s">
        <v>3985</v>
      </c>
      <c r="D53" s="3172" t="s">
        <v>3945</v>
      </c>
      <c r="E53" s="3173" t="s">
        <v>3779</v>
      </c>
      <c r="F53" s="3188" t="s">
        <v>3986</v>
      </c>
      <c r="G53" s="3174">
        <v>321</v>
      </c>
      <c r="H53" s="3176" t="s">
        <v>3987</v>
      </c>
      <c r="I53" s="3171" t="s">
        <v>3988</v>
      </c>
      <c r="J53" s="3176" t="s">
        <v>3783</v>
      </c>
      <c r="K53" s="3177"/>
      <c r="L53" s="3179">
        <v>6</v>
      </c>
      <c r="M53" s="3179">
        <v>3</v>
      </c>
      <c r="N53" s="3180"/>
      <c r="O53" s="3180">
        <f t="shared" si="21"/>
        <v>9</v>
      </c>
      <c r="P53" s="3180">
        <f>L53*G53*365/12</f>
        <v>58582.5</v>
      </c>
      <c r="Q53" s="3180">
        <f>M53*G53*365/12</f>
        <v>29291.25</v>
      </c>
      <c r="R53" s="3180"/>
      <c r="S53" s="3180">
        <f t="shared" si="22"/>
        <v>87873.75</v>
      </c>
      <c r="T53" s="3180">
        <v>702990</v>
      </c>
      <c r="U53" s="3180">
        <f t="shared" si="26"/>
        <v>351495</v>
      </c>
      <c r="V53" s="3180">
        <f t="shared" si="24"/>
        <v>0</v>
      </c>
      <c r="W53" s="3180">
        <f t="shared" si="25"/>
        <v>1054485</v>
      </c>
      <c r="X53" s="3181">
        <v>44562</v>
      </c>
      <c r="Y53" s="3181">
        <v>46387</v>
      </c>
      <c r="Z53" s="3181" t="s">
        <v>3784</v>
      </c>
      <c r="AA53" s="3182">
        <v>12</v>
      </c>
      <c r="AB53" s="3171"/>
    </row>
    <row r="54" spans="1:28" s="3183" customFormat="1" ht="34.5" customHeight="1">
      <c r="A54" s="3170">
        <v>95</v>
      </c>
      <c r="B54" s="3170">
        <v>51</v>
      </c>
      <c r="C54" s="3171" t="s">
        <v>3989</v>
      </c>
      <c r="D54" s="3172" t="s">
        <v>3945</v>
      </c>
      <c r="E54" s="3173" t="s">
        <v>3779</v>
      </c>
      <c r="F54" s="3171" t="s">
        <v>3990</v>
      </c>
      <c r="G54" s="3174">
        <v>365</v>
      </c>
      <c r="H54" s="3186" t="s">
        <v>3991</v>
      </c>
      <c r="I54" s="3171" t="s">
        <v>3992</v>
      </c>
      <c r="J54" s="3176" t="s">
        <v>3783</v>
      </c>
      <c r="K54" s="3177"/>
      <c r="L54" s="3179">
        <v>6.5</v>
      </c>
      <c r="M54" s="3179">
        <v>3</v>
      </c>
      <c r="N54" s="3180"/>
      <c r="O54" s="3180">
        <f t="shared" si="21"/>
        <v>9.5</v>
      </c>
      <c r="P54" s="3180">
        <f>L54*G54*365/12</f>
        <v>72163.541666666672</v>
      </c>
      <c r="Q54" s="3180">
        <f>M54*G54*365/12</f>
        <v>33306.25</v>
      </c>
      <c r="R54" s="3180"/>
      <c r="S54" s="3180">
        <f t="shared" si="22"/>
        <v>105469.79166666667</v>
      </c>
      <c r="T54" s="3180">
        <v>854860.4</v>
      </c>
      <c r="U54" s="3180">
        <f t="shared" si="26"/>
        <v>399675</v>
      </c>
      <c r="V54" s="3180">
        <f t="shared" si="24"/>
        <v>0</v>
      </c>
      <c r="W54" s="3180">
        <f t="shared" si="25"/>
        <v>1254535.3999999999</v>
      </c>
      <c r="X54" s="3181">
        <v>44581</v>
      </c>
      <c r="Y54" s="3181">
        <v>46387</v>
      </c>
      <c r="Z54" s="3181" t="s">
        <v>3784</v>
      </c>
      <c r="AA54" s="3182">
        <v>12</v>
      </c>
      <c r="AB54" s="3171" t="s">
        <v>3993</v>
      </c>
    </row>
    <row r="55" spans="1:28" ht="34.5" customHeight="1">
      <c r="A55" s="3170">
        <v>240</v>
      </c>
      <c r="B55" s="3170">
        <v>52</v>
      </c>
      <c r="C55" s="3171" t="s">
        <v>3994</v>
      </c>
      <c r="D55" s="3172" t="s">
        <v>3945</v>
      </c>
      <c r="E55" s="3173" t="s">
        <v>3779</v>
      </c>
      <c r="F55" s="3171" t="s">
        <v>3995</v>
      </c>
      <c r="G55" s="3174">
        <v>18</v>
      </c>
      <c r="H55" s="3175" t="s">
        <v>3996</v>
      </c>
      <c r="I55" s="3173" t="s">
        <v>3997</v>
      </c>
      <c r="J55" s="3176" t="s">
        <v>3783</v>
      </c>
      <c r="K55" s="3177"/>
      <c r="L55" s="3179">
        <v>0.91</v>
      </c>
      <c r="M55" s="3179">
        <v>5.48</v>
      </c>
      <c r="N55" s="3180"/>
      <c r="O55" s="3180">
        <f t="shared" si="21"/>
        <v>6.3900000000000006</v>
      </c>
      <c r="P55" s="3180">
        <v>500</v>
      </c>
      <c r="Q55" s="3180">
        <v>3000</v>
      </c>
      <c r="R55" s="3180"/>
      <c r="S55" s="3180">
        <f t="shared" si="22"/>
        <v>3500</v>
      </c>
      <c r="T55" s="3180">
        <f>P55*AA55</f>
        <v>4500</v>
      </c>
      <c r="U55" s="3180">
        <f>Q55*AA55</f>
        <v>27000</v>
      </c>
      <c r="V55" s="3180">
        <f t="shared" si="24"/>
        <v>0</v>
      </c>
      <c r="W55" s="3180">
        <f t="shared" si="25"/>
        <v>31500</v>
      </c>
      <c r="X55" s="3181">
        <v>45194</v>
      </c>
      <c r="Y55" s="3181">
        <v>45565</v>
      </c>
      <c r="Z55" s="3181" t="s">
        <v>3784</v>
      </c>
      <c r="AA55" s="3182">
        <v>9</v>
      </c>
      <c r="AB55" s="3171"/>
    </row>
    <row r="56" spans="1:28" s="3183" customFormat="1" ht="34.5" customHeight="1">
      <c r="A56" s="3170">
        <v>97</v>
      </c>
      <c r="B56" s="3170">
        <v>53</v>
      </c>
      <c r="C56" s="3171" t="s">
        <v>3998</v>
      </c>
      <c r="D56" s="3172" t="s">
        <v>3945</v>
      </c>
      <c r="E56" s="3173" t="s">
        <v>3779</v>
      </c>
      <c r="F56" s="3171" t="s">
        <v>3999</v>
      </c>
      <c r="G56" s="3174">
        <v>187</v>
      </c>
      <c r="H56" s="3176" t="s">
        <v>4000</v>
      </c>
      <c r="I56" s="3171" t="s">
        <v>4001</v>
      </c>
      <c r="J56" s="3176" t="s">
        <v>3783</v>
      </c>
      <c r="K56" s="3177"/>
      <c r="L56" s="3179">
        <v>11</v>
      </c>
      <c r="M56" s="3179">
        <v>3</v>
      </c>
      <c r="N56" s="3180"/>
      <c r="O56" s="3180">
        <f t="shared" si="21"/>
        <v>14</v>
      </c>
      <c r="P56" s="3180">
        <f>L56*G56*365/12</f>
        <v>62567.083333333336</v>
      </c>
      <c r="Q56" s="3180">
        <f t="shared" ref="Q56:Q65" si="27">M56*G56*365/12</f>
        <v>17063.75</v>
      </c>
      <c r="R56" s="3180"/>
      <c r="S56" s="3180">
        <f t="shared" si="22"/>
        <v>79630.833333333343</v>
      </c>
      <c r="T56" s="3180">
        <v>728053.34</v>
      </c>
      <c r="U56" s="3180">
        <f t="shared" si="26"/>
        <v>204765</v>
      </c>
      <c r="V56" s="3180">
        <f t="shared" si="24"/>
        <v>0</v>
      </c>
      <c r="W56" s="3180">
        <f t="shared" si="25"/>
        <v>932818.34</v>
      </c>
      <c r="X56" s="3181">
        <v>44682</v>
      </c>
      <c r="Y56" s="3181">
        <v>45777</v>
      </c>
      <c r="Z56" s="3181" t="s">
        <v>3784</v>
      </c>
      <c r="AA56" s="3182">
        <v>12</v>
      </c>
      <c r="AB56" s="3171" t="s">
        <v>4002</v>
      </c>
    </row>
    <row r="57" spans="1:28" s="3183" customFormat="1" ht="34.5" customHeight="1">
      <c r="A57" s="3170">
        <v>102</v>
      </c>
      <c r="B57" s="3170">
        <v>54</v>
      </c>
      <c r="C57" s="3171" t="s">
        <v>4003</v>
      </c>
      <c r="D57" s="3172" t="s">
        <v>3945</v>
      </c>
      <c r="E57" s="3173" t="s">
        <v>3779</v>
      </c>
      <c r="F57" s="3171" t="s">
        <v>4004</v>
      </c>
      <c r="G57" s="3174">
        <v>152</v>
      </c>
      <c r="H57" s="3175" t="s">
        <v>4005</v>
      </c>
      <c r="I57" s="3173" t="s">
        <v>4006</v>
      </c>
      <c r="J57" s="3176" t="s">
        <v>3783</v>
      </c>
      <c r="K57" s="3177"/>
      <c r="L57" s="3179">
        <v>6</v>
      </c>
      <c r="M57" s="3179">
        <v>3</v>
      </c>
      <c r="N57" s="3180"/>
      <c r="O57" s="3180">
        <f t="shared" si="21"/>
        <v>9</v>
      </c>
      <c r="P57" s="3180">
        <f>L57*G57*365/12</f>
        <v>27740</v>
      </c>
      <c r="Q57" s="3180">
        <f t="shared" si="27"/>
        <v>13870</v>
      </c>
      <c r="R57" s="3180"/>
      <c r="S57" s="3180">
        <f t="shared" si="22"/>
        <v>41610</v>
      </c>
      <c r="T57" s="3180">
        <v>328256.67</v>
      </c>
      <c r="U57" s="3180">
        <f t="shared" si="26"/>
        <v>166440</v>
      </c>
      <c r="V57" s="3180">
        <f t="shared" si="24"/>
        <v>0</v>
      </c>
      <c r="W57" s="3180">
        <f t="shared" si="25"/>
        <v>494696.67</v>
      </c>
      <c r="X57" s="3181">
        <v>44621</v>
      </c>
      <c r="Y57" s="3181">
        <v>46812</v>
      </c>
      <c r="Z57" s="3181" t="s">
        <v>3784</v>
      </c>
      <c r="AA57" s="3182">
        <v>12</v>
      </c>
      <c r="AB57" s="3171" t="s">
        <v>4007</v>
      </c>
    </row>
    <row r="58" spans="1:28" s="3183" customFormat="1" ht="34.5" customHeight="1">
      <c r="A58" s="3170">
        <v>21</v>
      </c>
      <c r="B58" s="3170">
        <v>55</v>
      </c>
      <c r="C58" s="3171" t="s">
        <v>4008</v>
      </c>
      <c r="D58" s="3172" t="s">
        <v>3945</v>
      </c>
      <c r="E58" s="3173" t="s">
        <v>3779</v>
      </c>
      <c r="F58" s="3171" t="s">
        <v>4009</v>
      </c>
      <c r="G58" s="3174">
        <v>98</v>
      </c>
      <c r="H58" s="3176" t="s">
        <v>3791</v>
      </c>
      <c r="I58" s="3171" t="s">
        <v>3792</v>
      </c>
      <c r="J58" s="3176" t="s">
        <v>3783</v>
      </c>
      <c r="K58" s="3177"/>
      <c r="L58" s="3179">
        <v>11.678557450377401</v>
      </c>
      <c r="M58" s="3179">
        <v>3</v>
      </c>
      <c r="N58" s="3180"/>
      <c r="O58" s="3180">
        <f t="shared" si="21"/>
        <v>14.678557450377401</v>
      </c>
      <c r="P58" s="3180">
        <f>417742/12</f>
        <v>34811.833333333336</v>
      </c>
      <c r="Q58" s="3180">
        <f t="shared" si="27"/>
        <v>8942.5</v>
      </c>
      <c r="R58" s="3180"/>
      <c r="S58" s="3180">
        <f t="shared" si="22"/>
        <v>43754.333333333336</v>
      </c>
      <c r="T58" s="3180">
        <f t="shared" si="23"/>
        <v>417741.99999999959</v>
      </c>
      <c r="U58" s="3180">
        <f t="shared" si="26"/>
        <v>107310</v>
      </c>
      <c r="V58" s="3180">
        <f t="shared" si="24"/>
        <v>0</v>
      </c>
      <c r="W58" s="3180">
        <f t="shared" si="25"/>
        <v>525051.99999999953</v>
      </c>
      <c r="X58" s="3181">
        <v>44331</v>
      </c>
      <c r="Y58" s="3181">
        <v>47982</v>
      </c>
      <c r="Z58" s="3181" t="s">
        <v>3784</v>
      </c>
      <c r="AA58" s="3182">
        <v>12</v>
      </c>
      <c r="AB58" s="3171"/>
    </row>
    <row r="59" spans="1:28" s="3183" customFormat="1" ht="34.5" customHeight="1">
      <c r="A59" s="3170">
        <v>125</v>
      </c>
      <c r="B59" s="3170">
        <v>56</v>
      </c>
      <c r="C59" s="3171" t="s">
        <v>4010</v>
      </c>
      <c r="D59" s="3172" t="s">
        <v>3945</v>
      </c>
      <c r="E59" s="3173" t="s">
        <v>3779</v>
      </c>
      <c r="F59" s="3171" t="s">
        <v>4011</v>
      </c>
      <c r="G59" s="3174">
        <v>172</v>
      </c>
      <c r="H59" s="3175" t="s">
        <v>4012</v>
      </c>
      <c r="I59" s="3173" t="s">
        <v>4013</v>
      </c>
      <c r="J59" s="3176" t="s">
        <v>3783</v>
      </c>
      <c r="K59" s="3177"/>
      <c r="L59" s="3179">
        <v>6</v>
      </c>
      <c r="M59" s="3179">
        <v>3</v>
      </c>
      <c r="N59" s="3180"/>
      <c r="O59" s="3180">
        <f t="shared" si="21"/>
        <v>9</v>
      </c>
      <c r="P59" s="3180">
        <f t="shared" ref="P59:P65" si="28">L59*G59*365/12</f>
        <v>31390</v>
      </c>
      <c r="Q59" s="3180">
        <f t="shared" si="27"/>
        <v>15695</v>
      </c>
      <c r="R59" s="3180"/>
      <c r="S59" s="3180">
        <f t="shared" si="22"/>
        <v>47085</v>
      </c>
      <c r="T59" s="3180">
        <v>350521.67</v>
      </c>
      <c r="U59" s="3180">
        <f t="shared" si="26"/>
        <v>188340</v>
      </c>
      <c r="V59" s="3180">
        <f t="shared" si="24"/>
        <v>0</v>
      </c>
      <c r="W59" s="3180">
        <f t="shared" si="25"/>
        <v>538861.66999999993</v>
      </c>
      <c r="X59" s="3181">
        <v>44696</v>
      </c>
      <c r="Y59" s="3181">
        <v>47982</v>
      </c>
      <c r="Z59" s="3181" t="s">
        <v>3784</v>
      </c>
      <c r="AA59" s="3182">
        <v>12</v>
      </c>
      <c r="AB59" s="3171" t="s">
        <v>4014</v>
      </c>
    </row>
    <row r="60" spans="1:28" s="3183" customFormat="1" ht="34.5" customHeight="1">
      <c r="A60" s="3170">
        <v>126</v>
      </c>
      <c r="B60" s="3170">
        <v>57</v>
      </c>
      <c r="C60" s="3171" t="s">
        <v>4015</v>
      </c>
      <c r="D60" s="3172" t="s">
        <v>3945</v>
      </c>
      <c r="E60" s="3173" t="s">
        <v>3779</v>
      </c>
      <c r="F60" s="3171" t="s">
        <v>4016</v>
      </c>
      <c r="G60" s="3174">
        <v>81</v>
      </c>
      <c r="H60" s="3175" t="s">
        <v>4012</v>
      </c>
      <c r="I60" s="3173" t="s">
        <v>4013</v>
      </c>
      <c r="J60" s="3176" t="s">
        <v>3783</v>
      </c>
      <c r="K60" s="3177"/>
      <c r="L60" s="3179">
        <v>5.5</v>
      </c>
      <c r="M60" s="3179">
        <v>3</v>
      </c>
      <c r="N60" s="3180"/>
      <c r="O60" s="3180">
        <f t="shared" si="21"/>
        <v>8.5</v>
      </c>
      <c r="P60" s="3180">
        <f t="shared" si="28"/>
        <v>13550.625</v>
      </c>
      <c r="Q60" s="3180">
        <f t="shared" si="27"/>
        <v>7391.25</v>
      </c>
      <c r="R60" s="3180"/>
      <c r="S60" s="3180">
        <f t="shared" si="22"/>
        <v>20941.875</v>
      </c>
      <c r="T60" s="3180">
        <v>156448.13</v>
      </c>
      <c r="U60" s="3180">
        <f t="shared" si="26"/>
        <v>88695</v>
      </c>
      <c r="V60" s="3180">
        <f t="shared" si="24"/>
        <v>0</v>
      </c>
      <c r="W60" s="3180">
        <f t="shared" si="25"/>
        <v>245143.13</v>
      </c>
      <c r="X60" s="3181">
        <v>44696</v>
      </c>
      <c r="Y60" s="3181">
        <v>47982</v>
      </c>
      <c r="Z60" s="3181" t="s">
        <v>3784</v>
      </c>
      <c r="AA60" s="3182">
        <v>12</v>
      </c>
      <c r="AB60" s="3171" t="s">
        <v>4014</v>
      </c>
    </row>
    <row r="61" spans="1:28" s="3183" customFormat="1" ht="34.5" customHeight="1">
      <c r="A61" s="3170">
        <v>154</v>
      </c>
      <c r="B61" s="3170">
        <v>58</v>
      </c>
      <c r="C61" s="3171" t="s">
        <v>4017</v>
      </c>
      <c r="D61" s="3172" t="s">
        <v>3945</v>
      </c>
      <c r="E61" s="3173" t="s">
        <v>3779</v>
      </c>
      <c r="F61" s="3171" t="s">
        <v>4018</v>
      </c>
      <c r="G61" s="3174">
        <v>200</v>
      </c>
      <c r="H61" s="3175" t="s">
        <v>4019</v>
      </c>
      <c r="I61" s="3173" t="s">
        <v>4020</v>
      </c>
      <c r="J61" s="3176" t="s">
        <v>3783</v>
      </c>
      <c r="K61" s="3177"/>
      <c r="L61" s="3179">
        <v>2.5</v>
      </c>
      <c r="M61" s="3179">
        <v>3</v>
      </c>
      <c r="N61" s="3180"/>
      <c r="O61" s="3180">
        <f t="shared" si="21"/>
        <v>5.5</v>
      </c>
      <c r="P61" s="3180">
        <f t="shared" si="28"/>
        <v>15208.333333333334</v>
      </c>
      <c r="Q61" s="3180">
        <f t="shared" si="27"/>
        <v>18250</v>
      </c>
      <c r="R61" s="3180"/>
      <c r="S61" s="3180">
        <f t="shared" si="22"/>
        <v>33458.333333333336</v>
      </c>
      <c r="T61" s="3180">
        <v>167291.67000000001</v>
      </c>
      <c r="U61" s="3180">
        <f t="shared" si="26"/>
        <v>219000</v>
      </c>
      <c r="V61" s="3180">
        <f t="shared" si="24"/>
        <v>0</v>
      </c>
      <c r="W61" s="3180">
        <f t="shared" si="25"/>
        <v>386291.67000000004</v>
      </c>
      <c r="X61" s="3181">
        <v>45078</v>
      </c>
      <c r="Y61" s="3181">
        <v>46173</v>
      </c>
      <c r="Z61" s="3181" t="s">
        <v>3784</v>
      </c>
      <c r="AA61" s="3182">
        <v>12</v>
      </c>
      <c r="AB61" s="3171" t="s">
        <v>4021</v>
      </c>
    </row>
    <row r="62" spans="1:28" s="3183" customFormat="1" ht="34.5" customHeight="1">
      <c r="A62" s="3170">
        <v>168</v>
      </c>
      <c r="B62" s="3170">
        <v>59</v>
      </c>
      <c r="C62" s="3171" t="s">
        <v>4022</v>
      </c>
      <c r="D62" s="3172" t="s">
        <v>3945</v>
      </c>
      <c r="E62" s="3173" t="s">
        <v>3779</v>
      </c>
      <c r="F62" s="3171" t="s">
        <v>4023</v>
      </c>
      <c r="G62" s="3174">
        <v>240</v>
      </c>
      <c r="H62" s="3175" t="s">
        <v>3821</v>
      </c>
      <c r="I62" s="3173" t="s">
        <v>4024</v>
      </c>
      <c r="J62" s="3176" t="s">
        <v>3783</v>
      </c>
      <c r="K62" s="3177"/>
      <c r="L62" s="3179">
        <v>4.5</v>
      </c>
      <c r="M62" s="3179">
        <v>3</v>
      </c>
      <c r="N62" s="3180"/>
      <c r="O62" s="3180">
        <f t="shared" si="21"/>
        <v>7.5</v>
      </c>
      <c r="P62" s="3180">
        <f t="shared" si="28"/>
        <v>32850</v>
      </c>
      <c r="Q62" s="3180">
        <f t="shared" si="27"/>
        <v>21900</v>
      </c>
      <c r="R62" s="3180"/>
      <c r="S62" s="3180">
        <f t="shared" si="22"/>
        <v>54750</v>
      </c>
      <c r="T62" s="3180">
        <f t="shared" si="23"/>
        <v>394200</v>
      </c>
      <c r="U62" s="3180">
        <f t="shared" si="26"/>
        <v>262800</v>
      </c>
      <c r="V62" s="3180">
        <f t="shared" si="24"/>
        <v>0</v>
      </c>
      <c r="W62" s="3180">
        <f t="shared" si="25"/>
        <v>657000</v>
      </c>
      <c r="X62" s="3181">
        <v>45078</v>
      </c>
      <c r="Y62" s="3181">
        <v>46173</v>
      </c>
      <c r="Z62" s="3181" t="s">
        <v>3784</v>
      </c>
      <c r="AA62" s="3182">
        <v>12</v>
      </c>
      <c r="AB62" s="3171"/>
    </row>
    <row r="63" spans="1:28" s="3183" customFormat="1" ht="34.5" customHeight="1">
      <c r="A63" s="3170">
        <v>164</v>
      </c>
      <c r="B63" s="3170">
        <v>60</v>
      </c>
      <c r="C63" s="3171" t="s">
        <v>4025</v>
      </c>
      <c r="D63" s="3172" t="s">
        <v>3945</v>
      </c>
      <c r="E63" s="3173" t="s">
        <v>3779</v>
      </c>
      <c r="F63" s="3171" t="s">
        <v>4026</v>
      </c>
      <c r="G63" s="3174">
        <v>145</v>
      </c>
      <c r="H63" s="3175" t="s">
        <v>3781</v>
      </c>
      <c r="I63" s="3173" t="s">
        <v>4027</v>
      </c>
      <c r="J63" s="3176" t="s">
        <v>3783</v>
      </c>
      <c r="K63" s="3177"/>
      <c r="L63" s="3179">
        <v>6</v>
      </c>
      <c r="M63" s="3179">
        <v>3</v>
      </c>
      <c r="N63" s="3180"/>
      <c r="O63" s="3180">
        <f t="shared" si="21"/>
        <v>9</v>
      </c>
      <c r="P63" s="3180">
        <f t="shared" si="28"/>
        <v>26462.5</v>
      </c>
      <c r="Q63" s="3180">
        <f t="shared" si="27"/>
        <v>13231.25</v>
      </c>
      <c r="R63" s="3180">
        <f>N63*G63*365/12</f>
        <v>0</v>
      </c>
      <c r="S63" s="3180">
        <f t="shared" si="22"/>
        <v>39693.75</v>
      </c>
      <c r="T63" s="3180">
        <v>295497.92</v>
      </c>
      <c r="U63" s="3180">
        <f t="shared" si="26"/>
        <v>158775</v>
      </c>
      <c r="V63" s="3180">
        <f t="shared" si="24"/>
        <v>0</v>
      </c>
      <c r="W63" s="3180">
        <f t="shared" si="25"/>
        <v>454272.92</v>
      </c>
      <c r="X63" s="3181">
        <v>45078</v>
      </c>
      <c r="Y63" s="3181">
        <v>46173</v>
      </c>
      <c r="Z63" s="3181" t="s">
        <v>3784</v>
      </c>
      <c r="AA63" s="3182">
        <v>12</v>
      </c>
      <c r="AB63" s="3171" t="s">
        <v>4014</v>
      </c>
    </row>
    <row r="64" spans="1:28" s="3183" customFormat="1" ht="34.5" customHeight="1">
      <c r="A64" s="3170">
        <v>138</v>
      </c>
      <c r="B64" s="3170">
        <v>61</v>
      </c>
      <c r="C64" s="3171" t="s">
        <v>4028</v>
      </c>
      <c r="D64" s="3172" t="s">
        <v>3945</v>
      </c>
      <c r="E64" s="3173" t="s">
        <v>3779</v>
      </c>
      <c r="F64" s="3171" t="s">
        <v>4029</v>
      </c>
      <c r="G64" s="3174">
        <v>48</v>
      </c>
      <c r="H64" s="3175" t="s">
        <v>3987</v>
      </c>
      <c r="I64" s="3173" t="s">
        <v>4030</v>
      </c>
      <c r="J64" s="3176" t="s">
        <v>3783</v>
      </c>
      <c r="K64" s="3177"/>
      <c r="L64" s="3179">
        <v>6</v>
      </c>
      <c r="M64" s="3179">
        <v>3</v>
      </c>
      <c r="N64" s="3180"/>
      <c r="O64" s="3180">
        <f t="shared" si="21"/>
        <v>9</v>
      </c>
      <c r="P64" s="3180">
        <f t="shared" si="28"/>
        <v>8760</v>
      </c>
      <c r="Q64" s="3180">
        <f t="shared" si="27"/>
        <v>4380</v>
      </c>
      <c r="R64" s="3180"/>
      <c r="S64" s="3180">
        <f t="shared" si="22"/>
        <v>13140</v>
      </c>
      <c r="T64" s="3180">
        <v>103660</v>
      </c>
      <c r="U64" s="3180">
        <f t="shared" si="26"/>
        <v>52560</v>
      </c>
      <c r="V64" s="3180">
        <f t="shared" si="24"/>
        <v>0</v>
      </c>
      <c r="W64" s="3180">
        <f t="shared" si="25"/>
        <v>156220</v>
      </c>
      <c r="X64" s="3181">
        <v>44805</v>
      </c>
      <c r="Y64" s="3181">
        <v>46812</v>
      </c>
      <c r="Z64" s="3181" t="s">
        <v>3784</v>
      </c>
      <c r="AA64" s="3182">
        <v>12</v>
      </c>
      <c r="AB64" s="3171" t="s">
        <v>4007</v>
      </c>
    </row>
    <row r="65" spans="1:29" s="3183" customFormat="1" ht="34.5" customHeight="1">
      <c r="A65" s="3170">
        <v>191</v>
      </c>
      <c r="B65" s="3170">
        <v>62</v>
      </c>
      <c r="C65" s="3171" t="s">
        <v>3856</v>
      </c>
      <c r="D65" s="3172" t="s">
        <v>3945</v>
      </c>
      <c r="E65" s="3173" t="s">
        <v>3779</v>
      </c>
      <c r="F65" s="3171" t="s">
        <v>4031</v>
      </c>
      <c r="G65" s="3174">
        <v>266</v>
      </c>
      <c r="H65" s="3175" t="s">
        <v>3781</v>
      </c>
      <c r="I65" s="3173" t="s">
        <v>3859</v>
      </c>
      <c r="J65" s="3176" t="s">
        <v>3783</v>
      </c>
      <c r="K65" s="3177"/>
      <c r="L65" s="3179">
        <v>0.8</v>
      </c>
      <c r="M65" s="3179">
        <v>3</v>
      </c>
      <c r="N65" s="3180"/>
      <c r="O65" s="3180">
        <f t="shared" si="21"/>
        <v>3.8</v>
      </c>
      <c r="P65" s="3180">
        <f t="shared" si="28"/>
        <v>6472.666666666667</v>
      </c>
      <c r="Q65" s="3180">
        <f t="shared" si="27"/>
        <v>24272.5</v>
      </c>
      <c r="R65" s="3180"/>
      <c r="S65" s="3180">
        <f t="shared" si="22"/>
        <v>30745.166666666668</v>
      </c>
      <c r="T65" s="3180">
        <v>63108.5</v>
      </c>
      <c r="U65" s="3180">
        <f t="shared" si="26"/>
        <v>291270</v>
      </c>
      <c r="V65" s="3180">
        <f t="shared" si="24"/>
        <v>0</v>
      </c>
      <c r="W65" s="3180">
        <f t="shared" si="25"/>
        <v>354378.5</v>
      </c>
      <c r="X65" s="3181">
        <v>45108</v>
      </c>
      <c r="Y65" s="3181">
        <v>45838</v>
      </c>
      <c r="Z65" s="3181" t="s">
        <v>3784</v>
      </c>
      <c r="AA65" s="3182">
        <v>12</v>
      </c>
      <c r="AB65" s="3171" t="s">
        <v>4032</v>
      </c>
    </row>
    <row r="66" spans="1:29" ht="34.5" customHeight="1">
      <c r="A66" s="3170">
        <v>207</v>
      </c>
      <c r="B66" s="3170">
        <v>63</v>
      </c>
      <c r="C66" s="3171" t="s">
        <v>4033</v>
      </c>
      <c r="D66" s="3172" t="s">
        <v>3945</v>
      </c>
      <c r="E66" s="3173" t="s">
        <v>3779</v>
      </c>
      <c r="F66" s="3171" t="s">
        <v>4034</v>
      </c>
      <c r="G66" s="3174">
        <v>30</v>
      </c>
      <c r="H66" s="3175" t="s">
        <v>4035</v>
      </c>
      <c r="I66" s="3173" t="s">
        <v>4036</v>
      </c>
      <c r="J66" s="3176" t="s">
        <v>3783</v>
      </c>
      <c r="K66" s="3177"/>
      <c r="L66" s="3179">
        <v>7.6712328767123301</v>
      </c>
      <c r="M66" s="3179">
        <v>3.2876712328767099</v>
      </c>
      <c r="N66" s="3180"/>
      <c r="O66" s="3180">
        <f t="shared" si="21"/>
        <v>10.95890410958904</v>
      </c>
      <c r="P66" s="3180">
        <v>7000</v>
      </c>
      <c r="Q66" s="3180">
        <v>3000</v>
      </c>
      <c r="R66" s="3180"/>
      <c r="S66" s="3180">
        <f t="shared" si="22"/>
        <v>10000</v>
      </c>
      <c r="T66" s="3180">
        <v>89000</v>
      </c>
      <c r="U66" s="3180">
        <f t="shared" si="26"/>
        <v>35999.999999999971</v>
      </c>
      <c r="V66" s="3180">
        <f t="shared" si="24"/>
        <v>0</v>
      </c>
      <c r="W66" s="3180">
        <f t="shared" si="25"/>
        <v>124999.99999999997</v>
      </c>
      <c r="X66" s="3181">
        <v>45153</v>
      </c>
      <c r="Y66" s="3181">
        <v>45883</v>
      </c>
      <c r="Z66" s="3181" t="s">
        <v>3784</v>
      </c>
      <c r="AA66" s="3182">
        <v>12</v>
      </c>
      <c r="AB66" s="3171" t="s">
        <v>4037</v>
      </c>
    </row>
    <row r="67" spans="1:29" s="3183" customFormat="1" ht="34.5" customHeight="1">
      <c r="A67" s="3170">
        <v>310</v>
      </c>
      <c r="B67" s="3170">
        <v>64</v>
      </c>
      <c r="C67" s="3190" t="s">
        <v>4038</v>
      </c>
      <c r="D67" s="3172" t="s">
        <v>3945</v>
      </c>
      <c r="E67" s="3173" t="s">
        <v>3779</v>
      </c>
      <c r="F67" s="3171" t="s">
        <v>4039</v>
      </c>
      <c r="G67" s="3174">
        <v>82</v>
      </c>
      <c r="H67" s="3175" t="s">
        <v>4040</v>
      </c>
      <c r="I67" s="3173" t="s">
        <v>4041</v>
      </c>
      <c r="J67" s="3176" t="s">
        <v>3783</v>
      </c>
      <c r="K67" s="3177"/>
      <c r="L67" s="3179">
        <v>2.5</v>
      </c>
      <c r="M67" s="3179">
        <v>3</v>
      </c>
      <c r="N67" s="3180"/>
      <c r="O67" s="3180">
        <f t="shared" si="21"/>
        <v>5.5</v>
      </c>
      <c r="P67" s="3180">
        <v>6235.42</v>
      </c>
      <c r="Q67" s="3180">
        <f>M67*G67*365/12</f>
        <v>7482.5</v>
      </c>
      <c r="R67" s="3180"/>
      <c r="S67" s="3179">
        <f t="shared" si="22"/>
        <v>13717.92</v>
      </c>
      <c r="T67" s="3180">
        <f>P67*AA67</f>
        <v>68589.62</v>
      </c>
      <c r="U67" s="3180">
        <f>Q67*AA67</f>
        <v>82307.5</v>
      </c>
      <c r="V67" s="3180">
        <f t="shared" si="24"/>
        <v>0</v>
      </c>
      <c r="W67" s="3180">
        <f t="shared" si="25"/>
        <v>150897.12</v>
      </c>
      <c r="X67" s="3181">
        <v>45293</v>
      </c>
      <c r="Y67" s="3181">
        <v>46387</v>
      </c>
      <c r="Z67" s="3181" t="s">
        <v>3784</v>
      </c>
      <c r="AA67" s="3182">
        <v>11</v>
      </c>
      <c r="AB67" s="3171"/>
    </row>
    <row r="68" spans="1:29" s="3183" customFormat="1" ht="34.5" customHeight="1">
      <c r="A68" s="3170">
        <v>220</v>
      </c>
      <c r="B68" s="3170">
        <v>65</v>
      </c>
      <c r="C68" s="3171" t="s">
        <v>4042</v>
      </c>
      <c r="D68" s="3172" t="s">
        <v>3945</v>
      </c>
      <c r="E68" s="3173" t="s">
        <v>3779</v>
      </c>
      <c r="F68" s="3171" t="s">
        <v>4043</v>
      </c>
      <c r="G68" s="3174">
        <v>30</v>
      </c>
      <c r="H68" s="3175" t="s">
        <v>4044</v>
      </c>
      <c r="I68" s="3173" t="s">
        <v>4045</v>
      </c>
      <c r="J68" s="3176" t="s">
        <v>3783</v>
      </c>
      <c r="K68" s="3177"/>
      <c r="L68" s="3179">
        <v>3.2876712328767099</v>
      </c>
      <c r="M68" s="3179">
        <v>2.1917808219178099</v>
      </c>
      <c r="N68" s="3180"/>
      <c r="O68" s="3180">
        <f t="shared" si="21"/>
        <v>5.4794520547945194</v>
      </c>
      <c r="P68" s="3180">
        <v>3000</v>
      </c>
      <c r="Q68" s="3180">
        <v>2000</v>
      </c>
      <c r="R68" s="3180"/>
      <c r="S68" s="3179">
        <f t="shared" si="22"/>
        <v>5000</v>
      </c>
      <c r="T68" s="3180">
        <f>P68*AA68</f>
        <v>24000</v>
      </c>
      <c r="U68" s="3180">
        <f>Q68*AA68</f>
        <v>16000</v>
      </c>
      <c r="V68" s="3180">
        <f t="shared" si="24"/>
        <v>0</v>
      </c>
      <c r="W68" s="3180">
        <f t="shared" si="25"/>
        <v>40000</v>
      </c>
      <c r="X68" s="3181">
        <v>45184</v>
      </c>
      <c r="Y68" s="3181">
        <v>45535</v>
      </c>
      <c r="Z68" s="3181" t="s">
        <v>3784</v>
      </c>
      <c r="AA68" s="3182">
        <v>8</v>
      </c>
      <c r="AB68" s="3171"/>
    </row>
    <row r="69" spans="1:29" s="3183" customFormat="1" ht="34.5" customHeight="1">
      <c r="A69" s="3170">
        <v>230</v>
      </c>
      <c r="B69" s="3170">
        <v>66</v>
      </c>
      <c r="C69" s="3171" t="s">
        <v>4046</v>
      </c>
      <c r="D69" s="3172" t="s">
        <v>3945</v>
      </c>
      <c r="E69" s="3173" t="s">
        <v>3779</v>
      </c>
      <c r="F69" s="3171" t="s">
        <v>4047</v>
      </c>
      <c r="G69" s="3174">
        <v>343</v>
      </c>
      <c r="H69" s="3175" t="s">
        <v>4040</v>
      </c>
      <c r="I69" s="3173" t="s">
        <v>4048</v>
      </c>
      <c r="J69" s="3176" t="s">
        <v>3783</v>
      </c>
      <c r="K69" s="3177"/>
      <c r="L69" s="3179">
        <v>1</v>
      </c>
      <c r="M69" s="3179">
        <v>3</v>
      </c>
      <c r="N69" s="3180"/>
      <c r="O69" s="3180">
        <f t="shared" si="21"/>
        <v>4</v>
      </c>
      <c r="P69" s="3180">
        <v>10432.92</v>
      </c>
      <c r="Q69" s="3180">
        <f>M69*G69*365/12</f>
        <v>31298.75</v>
      </c>
      <c r="R69" s="3180"/>
      <c r="S69" s="3179">
        <f t="shared" si="22"/>
        <v>41731.67</v>
      </c>
      <c r="T69" s="3180">
        <v>146060.88</v>
      </c>
      <c r="U69" s="3180">
        <f t="shared" ref="U69:U73" si="29">Q69*AA69</f>
        <v>375585</v>
      </c>
      <c r="V69" s="3180">
        <f t="shared" si="24"/>
        <v>0</v>
      </c>
      <c r="W69" s="3180">
        <f t="shared" si="25"/>
        <v>521645.88</v>
      </c>
      <c r="X69" s="3181">
        <v>45170</v>
      </c>
      <c r="Y69" s="3181">
        <v>46265</v>
      </c>
      <c r="Z69" s="3181" t="s">
        <v>3784</v>
      </c>
      <c r="AA69" s="3182">
        <v>12</v>
      </c>
      <c r="AB69" s="3171" t="s">
        <v>4049</v>
      </c>
    </row>
    <row r="70" spans="1:29" s="3183" customFormat="1" ht="34.5" customHeight="1">
      <c r="A70" s="3170">
        <v>265</v>
      </c>
      <c r="B70" s="3170">
        <v>67</v>
      </c>
      <c r="C70" s="3171" t="s">
        <v>4050</v>
      </c>
      <c r="D70" s="3172" t="s">
        <v>3945</v>
      </c>
      <c r="E70" s="3173" t="s">
        <v>3779</v>
      </c>
      <c r="F70" s="3171" t="s">
        <v>4051</v>
      </c>
      <c r="G70" s="3174">
        <v>36</v>
      </c>
      <c r="H70" s="3175" t="s">
        <v>3951</v>
      </c>
      <c r="I70" s="3173" t="s">
        <v>4052</v>
      </c>
      <c r="J70" s="3176" t="s">
        <v>3783</v>
      </c>
      <c r="K70" s="3177"/>
      <c r="L70" s="3179">
        <v>4.5662100456620998</v>
      </c>
      <c r="M70" s="3179">
        <v>2.7397260273972601</v>
      </c>
      <c r="N70" s="3180"/>
      <c r="O70" s="3180">
        <f t="shared" si="21"/>
        <v>7.3059360730593603</v>
      </c>
      <c r="P70" s="3180">
        <v>5000</v>
      </c>
      <c r="Q70" s="3180">
        <v>3000</v>
      </c>
      <c r="R70" s="3180"/>
      <c r="S70" s="3179">
        <f t="shared" si="22"/>
        <v>8000</v>
      </c>
      <c r="T70" s="3180">
        <f t="shared" ref="T70:T71" si="30">P70*AA70</f>
        <v>45000</v>
      </c>
      <c r="U70" s="3180">
        <f t="shared" si="29"/>
        <v>27000</v>
      </c>
      <c r="V70" s="3180">
        <f t="shared" si="24"/>
        <v>0</v>
      </c>
      <c r="W70" s="3180">
        <f t="shared" si="25"/>
        <v>72000</v>
      </c>
      <c r="X70" s="3181">
        <v>45184</v>
      </c>
      <c r="Y70" s="3181">
        <v>45565</v>
      </c>
      <c r="Z70" s="3181" t="s">
        <v>3784</v>
      </c>
      <c r="AA70" s="3182">
        <v>9</v>
      </c>
      <c r="AB70" s="3171"/>
    </row>
    <row r="71" spans="1:29" s="3183" customFormat="1" ht="34.5" customHeight="1">
      <c r="A71" s="3170">
        <v>268</v>
      </c>
      <c r="B71" s="3170">
        <v>68</v>
      </c>
      <c r="C71" s="3171" t="s">
        <v>4053</v>
      </c>
      <c r="D71" s="3172" t="s">
        <v>3945</v>
      </c>
      <c r="E71" s="3173" t="s">
        <v>3779</v>
      </c>
      <c r="F71" s="3171" t="s">
        <v>4054</v>
      </c>
      <c r="G71" s="3174">
        <v>18</v>
      </c>
      <c r="H71" s="3175" t="s">
        <v>4055</v>
      </c>
      <c r="I71" s="3173" t="s">
        <v>4056</v>
      </c>
      <c r="J71" s="3176" t="s">
        <v>3783</v>
      </c>
      <c r="K71" s="3177"/>
      <c r="L71" s="3179">
        <v>2.7397260273972601</v>
      </c>
      <c r="M71" s="3179">
        <v>5.4794520547945202</v>
      </c>
      <c r="N71" s="3180"/>
      <c r="O71" s="3180">
        <f t="shared" si="21"/>
        <v>8.2191780821917799</v>
      </c>
      <c r="P71" s="3180">
        <v>1500</v>
      </c>
      <c r="Q71" s="3180">
        <v>3000</v>
      </c>
      <c r="R71" s="3180"/>
      <c r="S71" s="3179">
        <f t="shared" si="22"/>
        <v>4500</v>
      </c>
      <c r="T71" s="3180">
        <f t="shared" si="30"/>
        <v>13500</v>
      </c>
      <c r="U71" s="3180">
        <f t="shared" si="29"/>
        <v>27000</v>
      </c>
      <c r="V71" s="3180">
        <f t="shared" si="24"/>
        <v>0</v>
      </c>
      <c r="W71" s="3180">
        <f t="shared" si="25"/>
        <v>40500</v>
      </c>
      <c r="X71" s="3181">
        <v>45194</v>
      </c>
      <c r="Y71" s="3181">
        <v>45565</v>
      </c>
      <c r="Z71" s="3181" t="s">
        <v>3784</v>
      </c>
      <c r="AA71" s="3182">
        <v>9</v>
      </c>
      <c r="AB71" s="3171"/>
    </row>
    <row r="72" spans="1:29" s="3183" customFormat="1" ht="34.5" customHeight="1">
      <c r="A72" s="3170">
        <v>281</v>
      </c>
      <c r="B72" s="3170">
        <v>69</v>
      </c>
      <c r="C72" s="3171" t="s">
        <v>4057</v>
      </c>
      <c r="D72" s="3172" t="s">
        <v>3945</v>
      </c>
      <c r="E72" s="3173" t="s">
        <v>3779</v>
      </c>
      <c r="F72" s="3171" t="s">
        <v>4058</v>
      </c>
      <c r="G72" s="3174">
        <v>18</v>
      </c>
      <c r="H72" s="3175" t="s">
        <v>4059</v>
      </c>
      <c r="I72" s="3173" t="s">
        <v>4060</v>
      </c>
      <c r="J72" s="3176" t="s">
        <v>3783</v>
      </c>
      <c r="K72" s="3170"/>
      <c r="L72" s="3179">
        <v>2.7397260273972601</v>
      </c>
      <c r="M72" s="3179">
        <v>3.6529680365296802</v>
      </c>
      <c r="N72" s="3180"/>
      <c r="O72" s="3180">
        <f t="shared" si="21"/>
        <v>6.3926940639269407</v>
      </c>
      <c r="P72" s="3180">
        <v>1500</v>
      </c>
      <c r="Q72" s="3180">
        <v>2000</v>
      </c>
      <c r="R72" s="3180"/>
      <c r="S72" s="3179">
        <f t="shared" si="22"/>
        <v>3500</v>
      </c>
      <c r="T72" s="3180">
        <v>13500</v>
      </c>
      <c r="U72" s="3180">
        <f t="shared" si="29"/>
        <v>18000</v>
      </c>
      <c r="V72" s="3180">
        <f t="shared" si="24"/>
        <v>0</v>
      </c>
      <c r="W72" s="3180">
        <f t="shared" si="25"/>
        <v>31500</v>
      </c>
      <c r="X72" s="3181">
        <v>45200</v>
      </c>
      <c r="Y72" s="3181">
        <v>45565</v>
      </c>
      <c r="Z72" s="3181" t="s">
        <v>3784</v>
      </c>
      <c r="AA72" s="3182">
        <v>9</v>
      </c>
      <c r="AB72" s="3171"/>
    </row>
    <row r="73" spans="1:29" s="3183" customFormat="1" ht="34.5" customHeight="1">
      <c r="A73" s="3170">
        <v>295</v>
      </c>
      <c r="B73" s="3170">
        <v>70</v>
      </c>
      <c r="C73" s="3171" t="s">
        <v>4061</v>
      </c>
      <c r="D73" s="3172" t="s">
        <v>3945</v>
      </c>
      <c r="E73" s="3173" t="s">
        <v>3857</v>
      </c>
      <c r="F73" s="3171" t="s">
        <v>4062</v>
      </c>
      <c r="G73" s="3174">
        <v>75</v>
      </c>
      <c r="H73" s="3175" t="s">
        <v>4019</v>
      </c>
      <c r="I73" s="3173" t="s">
        <v>4063</v>
      </c>
      <c r="J73" s="3176" t="s">
        <v>3783</v>
      </c>
      <c r="K73" s="3177"/>
      <c r="L73" s="3179"/>
      <c r="M73" s="3179"/>
      <c r="N73" s="3180">
        <v>1.75342465753425</v>
      </c>
      <c r="O73" s="3180">
        <f t="shared" si="21"/>
        <v>1.75342465753425</v>
      </c>
      <c r="P73" s="3180"/>
      <c r="Q73" s="3180"/>
      <c r="R73" s="3180">
        <v>4000</v>
      </c>
      <c r="S73" s="3179">
        <f t="shared" si="22"/>
        <v>4000</v>
      </c>
      <c r="T73" s="3180">
        <f t="shared" ref="T73" si="31">P73*AA73</f>
        <v>0</v>
      </c>
      <c r="U73" s="3180">
        <f t="shared" si="29"/>
        <v>0</v>
      </c>
      <c r="V73" s="3180">
        <f t="shared" si="24"/>
        <v>48000.000000000102</v>
      </c>
      <c r="W73" s="3180">
        <f t="shared" si="25"/>
        <v>48000.000000000102</v>
      </c>
      <c r="X73" s="3181">
        <v>45197</v>
      </c>
      <c r="Y73" s="3181">
        <v>45657</v>
      </c>
      <c r="Z73" s="3181" t="s">
        <v>3784</v>
      </c>
      <c r="AA73" s="3182">
        <v>12</v>
      </c>
      <c r="AB73" s="3171" t="s">
        <v>4064</v>
      </c>
    </row>
    <row r="74" spans="1:29" s="3183" customFormat="1" ht="34.5" customHeight="1">
      <c r="A74" s="3170"/>
      <c r="B74" s="3170">
        <v>71</v>
      </c>
      <c r="C74" s="3171" t="s">
        <v>4065</v>
      </c>
      <c r="D74" s="3172" t="s">
        <v>3945</v>
      </c>
      <c r="E74" s="3173" t="s">
        <v>3779</v>
      </c>
      <c r="F74" s="3171" t="s">
        <v>4066</v>
      </c>
      <c r="G74" s="3174">
        <v>89</v>
      </c>
      <c r="H74" s="3175" t="s">
        <v>4005</v>
      </c>
      <c r="I74" s="3173" t="s">
        <v>4067</v>
      </c>
      <c r="J74" s="3176" t="s">
        <v>3783</v>
      </c>
      <c r="K74" s="3170"/>
      <c r="L74" s="3179">
        <v>1</v>
      </c>
      <c r="M74" s="3179">
        <v>3</v>
      </c>
      <c r="N74" s="3180"/>
      <c r="O74" s="3180">
        <f t="shared" ref="O74" si="32">SUM(L74:N74)</f>
        <v>4</v>
      </c>
      <c r="P74" s="3180">
        <f>L74*G74*365/12</f>
        <v>2707.0833333333335</v>
      </c>
      <c r="Q74" s="3180">
        <f>M74*G74*365/12</f>
        <v>8121.25</v>
      </c>
      <c r="R74" s="3180"/>
      <c r="S74" s="3179">
        <f t="shared" si="22"/>
        <v>10828.333333333334</v>
      </c>
      <c r="T74" s="3180">
        <v>22101.67</v>
      </c>
      <c r="U74" s="3180">
        <v>66305</v>
      </c>
      <c r="V74" s="3180">
        <f t="shared" si="24"/>
        <v>0</v>
      </c>
      <c r="W74" s="3180">
        <f t="shared" si="25"/>
        <v>88406.67</v>
      </c>
      <c r="X74" s="3181">
        <v>45368</v>
      </c>
      <c r="Y74" s="3181">
        <v>46477</v>
      </c>
      <c r="Z74" s="3181" t="s">
        <v>3784</v>
      </c>
      <c r="AA74" s="3182">
        <v>9</v>
      </c>
      <c r="AB74" s="3171"/>
    </row>
    <row r="75" spans="1:29" s="3183" customFormat="1" ht="34.5" customHeight="1">
      <c r="A75" s="3213"/>
      <c r="B75" s="3170">
        <v>72</v>
      </c>
      <c r="C75" s="3171" t="s">
        <v>4068</v>
      </c>
      <c r="D75" s="3172" t="s">
        <v>4069</v>
      </c>
      <c r="E75" s="3173" t="s">
        <v>3779</v>
      </c>
      <c r="F75" s="3171">
        <v>219.22</v>
      </c>
      <c r="G75" s="3174">
        <v>689</v>
      </c>
      <c r="H75" s="3175" t="s">
        <v>4070</v>
      </c>
      <c r="I75" s="3173" t="s">
        <v>4071</v>
      </c>
      <c r="J75" s="3176" t="s">
        <v>4072</v>
      </c>
      <c r="K75" s="3170"/>
      <c r="L75" s="3179"/>
      <c r="M75" s="3179"/>
      <c r="N75" s="3180"/>
      <c r="O75" s="3180">
        <v>7</v>
      </c>
      <c r="P75" s="3180"/>
      <c r="Q75" s="3180"/>
      <c r="R75" s="3180"/>
      <c r="S75" s="3179">
        <f>O75*G75*365/12</f>
        <v>146699.58333333334</v>
      </c>
      <c r="T75" s="3180"/>
      <c r="U75" s="3180"/>
      <c r="V75" s="3180">
        <f t="shared" si="24"/>
        <v>0</v>
      </c>
      <c r="W75" s="3180">
        <f>S75*12</f>
        <v>1760395</v>
      </c>
      <c r="X75" s="3181">
        <v>44805</v>
      </c>
      <c r="Y75" s="3181">
        <v>45900</v>
      </c>
      <c r="Z75" s="3181"/>
      <c r="AA75" s="3182"/>
      <c r="AB75" s="3171"/>
    </row>
    <row r="76" spans="1:29" s="3189" customFormat="1" ht="27" customHeight="1">
      <c r="A76" s="3199"/>
      <c r="B76" s="3170">
        <v>73</v>
      </c>
      <c r="C76" s="3171" t="s">
        <v>4073</v>
      </c>
      <c r="D76" s="3170" t="s">
        <v>3945</v>
      </c>
      <c r="E76" s="3191" t="s">
        <v>3779</v>
      </c>
      <c r="F76" s="3171" t="s">
        <v>4074</v>
      </c>
      <c r="G76" s="3192">
        <v>89</v>
      </c>
      <c r="H76" s="3192" t="s">
        <v>3877</v>
      </c>
      <c r="I76" s="3191" t="s">
        <v>4075</v>
      </c>
      <c r="J76" s="3170" t="s">
        <v>3783</v>
      </c>
      <c r="K76" s="3170"/>
      <c r="L76" s="3178">
        <v>1.84700631060489</v>
      </c>
      <c r="M76" s="3178">
        <v>0.73880252424195803</v>
      </c>
      <c r="N76" s="3178"/>
      <c r="O76" s="3178">
        <f t="shared" ref="O76" si="33">SUM(L76:N76)</f>
        <v>2.5858088348468478</v>
      </c>
      <c r="P76" s="3194">
        <v>5000</v>
      </c>
      <c r="Q76" s="3194">
        <v>2000</v>
      </c>
      <c r="R76" s="3194"/>
      <c r="S76" s="3174">
        <f t="shared" ref="S76" si="34">SUM(P76:R76)</f>
        <v>7000</v>
      </c>
      <c r="T76" s="3194">
        <v>10000</v>
      </c>
      <c r="U76" s="3194">
        <v>4000</v>
      </c>
      <c r="V76" s="3194">
        <v>0</v>
      </c>
      <c r="W76" s="3174">
        <f t="shared" ref="W76" si="35">SUM(T76:V76)</f>
        <v>14000</v>
      </c>
      <c r="X76" s="3181">
        <v>45197</v>
      </c>
      <c r="Y76" s="3181">
        <v>45382</v>
      </c>
      <c r="Z76" s="3170"/>
      <c r="AA76" s="3182">
        <v>3</v>
      </c>
      <c r="AB76" s="3170" t="s">
        <v>4076</v>
      </c>
      <c r="AC76" s="3170"/>
    </row>
    <row r="77" spans="1:29" s="3183" customFormat="1" ht="34.5" customHeight="1">
      <c r="A77" s="3170">
        <v>209</v>
      </c>
      <c r="B77" s="3170">
        <v>74</v>
      </c>
      <c r="C77" s="3171" t="s">
        <v>4077</v>
      </c>
      <c r="D77" s="3172" t="s">
        <v>3945</v>
      </c>
      <c r="E77" s="3173" t="s">
        <v>3779</v>
      </c>
      <c r="F77" s="3171" t="s">
        <v>4078</v>
      </c>
      <c r="G77" s="3174">
        <v>132</v>
      </c>
      <c r="H77" s="3175" t="s">
        <v>3781</v>
      </c>
      <c r="I77" s="3173" t="s">
        <v>4079</v>
      </c>
      <c r="J77" s="3176" t="s">
        <v>3896</v>
      </c>
      <c r="K77" s="3177">
        <v>0.09</v>
      </c>
      <c r="L77" s="3196"/>
      <c r="M77" s="3179">
        <v>1</v>
      </c>
      <c r="N77" s="3180"/>
      <c r="O77" s="3180">
        <f t="shared" ref="O77:O84" si="36">SUM(L77:N77)</f>
        <v>1</v>
      </c>
      <c r="P77" s="3196">
        <v>2060.98</v>
      </c>
      <c r="Q77" s="3180">
        <f>M77*G77*365/12</f>
        <v>4015</v>
      </c>
      <c r="R77" s="3180"/>
      <c r="S77" s="3180"/>
      <c r="T77" s="3180"/>
      <c r="U77" s="3180">
        <f t="shared" ref="U77:U85" si="37">M77*G77*365</f>
        <v>48180</v>
      </c>
      <c r="V77" s="3180">
        <f t="shared" ref="V77:V85" si="38">N77*G77*365</f>
        <v>0</v>
      </c>
      <c r="W77" s="3180">
        <f t="shared" ref="W77:W85" si="39">SUM(T77:V77)</f>
        <v>48180</v>
      </c>
      <c r="X77" s="3181">
        <v>45139</v>
      </c>
      <c r="Y77" s="3181">
        <v>46234</v>
      </c>
      <c r="Z77" s="3181"/>
      <c r="AA77" s="3182">
        <v>12</v>
      </c>
      <c r="AB77" s="3171" t="s">
        <v>3901</v>
      </c>
    </row>
    <row r="78" spans="1:29" s="3183" customFormat="1" ht="34.5" customHeight="1">
      <c r="A78" s="3170">
        <v>173</v>
      </c>
      <c r="B78" s="3170">
        <v>75</v>
      </c>
      <c r="C78" s="3171" t="s">
        <v>4080</v>
      </c>
      <c r="D78" s="3172" t="s">
        <v>3945</v>
      </c>
      <c r="E78" s="3173" t="s">
        <v>3779</v>
      </c>
      <c r="F78" s="3171" t="s">
        <v>4081</v>
      </c>
      <c r="G78" s="3174">
        <v>653</v>
      </c>
      <c r="H78" s="3175" t="s">
        <v>4035</v>
      </c>
      <c r="I78" s="3173" t="s">
        <v>4082</v>
      </c>
      <c r="J78" s="3176" t="s">
        <v>4083</v>
      </c>
      <c r="K78" s="3214">
        <v>0.15</v>
      </c>
      <c r="L78" s="3179">
        <v>1</v>
      </c>
      <c r="M78" s="3185"/>
      <c r="N78" s="3188"/>
      <c r="O78" s="3180">
        <f t="shared" si="36"/>
        <v>1</v>
      </c>
      <c r="P78" s="3180">
        <f>L78*G78*365/12</f>
        <v>19862.083333333332</v>
      </c>
      <c r="Q78" s="3180"/>
      <c r="R78" s="3180"/>
      <c r="S78" s="3180"/>
      <c r="T78" s="3180"/>
      <c r="U78" s="3180">
        <f t="shared" si="37"/>
        <v>0</v>
      </c>
      <c r="V78" s="3180">
        <f t="shared" si="38"/>
        <v>0</v>
      </c>
      <c r="W78" s="3180">
        <f t="shared" si="39"/>
        <v>0</v>
      </c>
      <c r="X78" s="3181">
        <v>45093</v>
      </c>
      <c r="Y78" s="3181">
        <v>47299</v>
      </c>
      <c r="Z78" s="3181"/>
      <c r="AA78" s="3182">
        <v>12</v>
      </c>
      <c r="AB78" s="3171" t="s">
        <v>4084</v>
      </c>
    </row>
    <row r="79" spans="1:29" s="3183" customFormat="1" ht="34.5" customHeight="1">
      <c r="A79" s="3170">
        <v>174</v>
      </c>
      <c r="B79" s="3170">
        <v>76</v>
      </c>
      <c r="C79" s="3171" t="s">
        <v>4080</v>
      </c>
      <c r="D79" s="3172" t="s">
        <v>3945</v>
      </c>
      <c r="E79" s="3173" t="s">
        <v>3779</v>
      </c>
      <c r="F79" s="3171" t="s">
        <v>4085</v>
      </c>
      <c r="G79" s="3174">
        <v>101</v>
      </c>
      <c r="H79" s="3175" t="s">
        <v>3781</v>
      </c>
      <c r="I79" s="3173" t="s">
        <v>4086</v>
      </c>
      <c r="J79" s="3176" t="s">
        <v>4083</v>
      </c>
      <c r="K79" s="3214">
        <v>0.15</v>
      </c>
      <c r="L79" s="3179">
        <v>1</v>
      </c>
      <c r="M79" s="3185"/>
      <c r="N79" s="3188"/>
      <c r="O79" s="3180">
        <f t="shared" si="36"/>
        <v>1</v>
      </c>
      <c r="P79" s="3180">
        <f>L79*G79*365/12</f>
        <v>3072.0833333333335</v>
      </c>
      <c r="Q79" s="3180"/>
      <c r="R79" s="3180"/>
      <c r="S79" s="3180"/>
      <c r="T79" s="3180"/>
      <c r="U79" s="3180">
        <f t="shared" si="37"/>
        <v>0</v>
      </c>
      <c r="V79" s="3180">
        <f t="shared" si="38"/>
        <v>0</v>
      </c>
      <c r="W79" s="3180">
        <f t="shared" si="39"/>
        <v>0</v>
      </c>
      <c r="X79" s="3181">
        <v>45093</v>
      </c>
      <c r="Y79" s="3181">
        <v>47299</v>
      </c>
      <c r="Z79" s="3181"/>
      <c r="AA79" s="3182">
        <v>12</v>
      </c>
      <c r="AB79" s="3171" t="s">
        <v>4084</v>
      </c>
    </row>
    <row r="80" spans="1:29" s="3183" customFormat="1" ht="34.5" customHeight="1">
      <c r="A80" s="3170">
        <v>238</v>
      </c>
      <c r="B80" s="3170">
        <v>77</v>
      </c>
      <c r="C80" s="3171" t="s">
        <v>3911</v>
      </c>
      <c r="D80" s="3172" t="s">
        <v>3945</v>
      </c>
      <c r="E80" s="3173" t="s">
        <v>3779</v>
      </c>
      <c r="F80" s="3171" t="s">
        <v>4087</v>
      </c>
      <c r="G80" s="3174">
        <v>132</v>
      </c>
      <c r="H80" s="3175" t="s">
        <v>4088</v>
      </c>
      <c r="I80" s="3173" t="s">
        <v>4089</v>
      </c>
      <c r="J80" s="3176" t="s">
        <v>3884</v>
      </c>
      <c r="K80" s="3177">
        <v>0.1</v>
      </c>
      <c r="L80" s="3198"/>
      <c r="M80" s="3179"/>
      <c r="N80" s="3180"/>
      <c r="O80" s="3180">
        <f t="shared" si="36"/>
        <v>0</v>
      </c>
      <c r="P80" s="3180"/>
      <c r="Q80" s="3180"/>
      <c r="R80" s="3180"/>
      <c r="S80" s="3179"/>
      <c r="T80" s="3180"/>
      <c r="U80" s="3180">
        <f t="shared" si="37"/>
        <v>0</v>
      </c>
      <c r="V80" s="3180">
        <f t="shared" si="38"/>
        <v>0</v>
      </c>
      <c r="W80" s="3180">
        <f t="shared" si="39"/>
        <v>0</v>
      </c>
      <c r="X80" s="3181">
        <v>45170</v>
      </c>
      <c r="Y80" s="3181">
        <v>46265</v>
      </c>
      <c r="Z80" s="3181"/>
      <c r="AA80" s="3182">
        <v>12</v>
      </c>
      <c r="AB80" s="3171" t="s">
        <v>4090</v>
      </c>
    </row>
    <row r="81" spans="1:29" s="3183" customFormat="1" ht="34.5" customHeight="1">
      <c r="A81" s="3170">
        <v>241</v>
      </c>
      <c r="B81" s="3170">
        <v>78</v>
      </c>
      <c r="C81" s="3171" t="s">
        <v>4091</v>
      </c>
      <c r="D81" s="3172" t="s">
        <v>3945</v>
      </c>
      <c r="E81" s="3173" t="s">
        <v>3779</v>
      </c>
      <c r="F81" s="3171" t="s">
        <v>4092</v>
      </c>
      <c r="G81" s="3174">
        <v>78</v>
      </c>
      <c r="H81" s="3175" t="s">
        <v>4093</v>
      </c>
      <c r="I81" s="3173" t="s">
        <v>4094</v>
      </c>
      <c r="J81" s="3176" t="s">
        <v>3896</v>
      </c>
      <c r="K81" s="3177">
        <v>0.12</v>
      </c>
      <c r="L81" s="3196"/>
      <c r="M81" s="3179">
        <v>1.5</v>
      </c>
      <c r="N81" s="3180"/>
      <c r="O81" s="3180">
        <f t="shared" si="36"/>
        <v>1.5</v>
      </c>
      <c r="P81" s="3180">
        <v>2338.06</v>
      </c>
      <c r="Q81" s="3180">
        <f>M81*G81*365/12</f>
        <v>3558.75</v>
      </c>
      <c r="R81" s="3180"/>
      <c r="S81" s="3179"/>
      <c r="T81" s="3180"/>
      <c r="U81" s="3180">
        <f t="shared" si="37"/>
        <v>42705</v>
      </c>
      <c r="V81" s="3180">
        <f t="shared" si="38"/>
        <v>0</v>
      </c>
      <c r="W81" s="3180">
        <f t="shared" si="39"/>
        <v>42705</v>
      </c>
      <c r="X81" s="3181">
        <v>45163</v>
      </c>
      <c r="Y81" s="3181">
        <v>46265</v>
      </c>
      <c r="Z81" s="3181"/>
      <c r="AA81" s="3182">
        <v>12</v>
      </c>
      <c r="AB81" s="3171" t="s">
        <v>3897</v>
      </c>
    </row>
    <row r="82" spans="1:29" s="3183" customFormat="1" ht="34.5" customHeight="1">
      <c r="A82" s="3170">
        <v>242</v>
      </c>
      <c r="B82" s="3170">
        <v>79</v>
      </c>
      <c r="C82" s="3171" t="s">
        <v>4095</v>
      </c>
      <c r="D82" s="3172" t="s">
        <v>3945</v>
      </c>
      <c r="E82" s="3173" t="s">
        <v>3779</v>
      </c>
      <c r="F82" s="3171" t="s">
        <v>4096</v>
      </c>
      <c r="G82" s="3174">
        <v>137</v>
      </c>
      <c r="H82" s="3175" t="s">
        <v>4097</v>
      </c>
      <c r="I82" s="3173" t="s">
        <v>4098</v>
      </c>
      <c r="J82" s="3176" t="s">
        <v>3896</v>
      </c>
      <c r="K82" s="3177">
        <v>0.08</v>
      </c>
      <c r="L82" s="3196"/>
      <c r="M82" s="3179">
        <v>0.5</v>
      </c>
      <c r="N82" s="3180"/>
      <c r="O82" s="3180">
        <f t="shared" si="36"/>
        <v>0.5</v>
      </c>
      <c r="P82" s="3180">
        <v>2355.63</v>
      </c>
      <c r="Q82" s="3180">
        <f>M82*G82*365/12</f>
        <v>2083.5416666666665</v>
      </c>
      <c r="R82" s="3180"/>
      <c r="S82" s="3179"/>
      <c r="T82" s="3180"/>
      <c r="U82" s="3180">
        <f t="shared" si="37"/>
        <v>25002.5</v>
      </c>
      <c r="V82" s="3180">
        <f t="shared" si="38"/>
        <v>0</v>
      </c>
      <c r="W82" s="3180">
        <f t="shared" si="39"/>
        <v>25002.5</v>
      </c>
      <c r="X82" s="3181">
        <v>45184</v>
      </c>
      <c r="Y82" s="3181">
        <v>45930</v>
      </c>
      <c r="Z82" s="3181"/>
      <c r="AA82" s="3182">
        <v>12</v>
      </c>
      <c r="AB82" s="3171" t="s">
        <v>4099</v>
      </c>
    </row>
    <row r="83" spans="1:29" s="3183" customFormat="1" ht="34.5" customHeight="1">
      <c r="A83" s="3170">
        <v>254</v>
      </c>
      <c r="B83" s="3170">
        <v>80</v>
      </c>
      <c r="C83" s="3171" t="s">
        <v>4100</v>
      </c>
      <c r="D83" s="3172" t="s">
        <v>3945</v>
      </c>
      <c r="E83" s="3173" t="s">
        <v>3779</v>
      </c>
      <c r="F83" s="3171" t="s">
        <v>4101</v>
      </c>
      <c r="G83" s="3174">
        <v>161</v>
      </c>
      <c r="H83" s="3175" t="s">
        <v>4102</v>
      </c>
      <c r="I83" s="3173" t="s">
        <v>4103</v>
      </c>
      <c r="J83" s="3176" t="s">
        <v>3884</v>
      </c>
      <c r="K83" s="3177">
        <v>0.12</v>
      </c>
      <c r="L83" s="3196"/>
      <c r="M83" s="3179"/>
      <c r="N83" s="3180"/>
      <c r="O83" s="3180">
        <f t="shared" si="36"/>
        <v>0</v>
      </c>
      <c r="P83" s="3180">
        <v>3488.04</v>
      </c>
      <c r="Q83" s="3180"/>
      <c r="R83" s="3180"/>
      <c r="S83" s="3179"/>
      <c r="T83" s="3180"/>
      <c r="U83" s="3180">
        <f t="shared" si="37"/>
        <v>0</v>
      </c>
      <c r="V83" s="3180">
        <f t="shared" si="38"/>
        <v>0</v>
      </c>
      <c r="W83" s="3180">
        <f t="shared" si="39"/>
        <v>0</v>
      </c>
      <c r="X83" s="3181">
        <v>45163</v>
      </c>
      <c r="Y83" s="3181">
        <v>46265</v>
      </c>
      <c r="Z83" s="3181"/>
      <c r="AA83" s="3182">
        <v>12</v>
      </c>
      <c r="AB83" s="3171" t="s">
        <v>3919</v>
      </c>
    </row>
    <row r="84" spans="1:29" s="3183" customFormat="1" ht="34.5" customHeight="1">
      <c r="A84" s="3170">
        <v>283</v>
      </c>
      <c r="B84" s="3170">
        <v>81</v>
      </c>
      <c r="C84" s="3171" t="s">
        <v>4104</v>
      </c>
      <c r="D84" s="3172" t="s">
        <v>3945</v>
      </c>
      <c r="E84" s="3173" t="s">
        <v>3779</v>
      </c>
      <c r="F84" s="3171" t="s">
        <v>4105</v>
      </c>
      <c r="G84" s="3174">
        <v>139</v>
      </c>
      <c r="H84" s="3175" t="s">
        <v>4106</v>
      </c>
      <c r="I84" s="3173" t="s">
        <v>4107</v>
      </c>
      <c r="J84" s="3176" t="s">
        <v>3896</v>
      </c>
      <c r="K84" s="3177">
        <v>0.06</v>
      </c>
      <c r="L84" s="3196"/>
      <c r="M84" s="3179">
        <v>1</v>
      </c>
      <c r="N84" s="3180"/>
      <c r="O84" s="3180">
        <f t="shared" si="36"/>
        <v>1</v>
      </c>
      <c r="P84" s="3180">
        <v>55969.35</v>
      </c>
      <c r="Q84" s="3180">
        <f>M84*G84*365/12</f>
        <v>4227.916666666667</v>
      </c>
      <c r="R84" s="3180"/>
      <c r="S84" s="3179"/>
      <c r="T84" s="3180"/>
      <c r="U84" s="3180">
        <f t="shared" si="37"/>
        <v>50735</v>
      </c>
      <c r="V84" s="3180">
        <f t="shared" si="38"/>
        <v>0</v>
      </c>
      <c r="W84" s="3180">
        <f t="shared" si="39"/>
        <v>50735</v>
      </c>
      <c r="X84" s="3181">
        <v>45170</v>
      </c>
      <c r="Y84" s="3181">
        <v>46265</v>
      </c>
      <c r="Z84" s="3181"/>
      <c r="AA84" s="3182">
        <v>12</v>
      </c>
      <c r="AB84" s="3171" t="s">
        <v>4108</v>
      </c>
    </row>
    <row r="85" spans="1:29" s="3183" customFormat="1" ht="34.5" customHeight="1">
      <c r="A85" s="3170">
        <v>285</v>
      </c>
      <c r="B85" s="3170">
        <v>82</v>
      </c>
      <c r="C85" s="3171" t="s">
        <v>4109</v>
      </c>
      <c r="D85" s="3172" t="s">
        <v>3945</v>
      </c>
      <c r="E85" s="3173" t="s">
        <v>3779</v>
      </c>
      <c r="F85" s="3171" t="s">
        <v>4110</v>
      </c>
      <c r="G85" s="3174">
        <v>158</v>
      </c>
      <c r="H85" s="3175" t="s">
        <v>4088</v>
      </c>
      <c r="I85" s="3173" t="s">
        <v>4111</v>
      </c>
      <c r="J85" s="3176" t="s">
        <v>3896</v>
      </c>
      <c r="K85" s="3177">
        <v>0.09</v>
      </c>
      <c r="L85" s="3196"/>
      <c r="M85" s="3179">
        <v>1</v>
      </c>
      <c r="N85" s="3180"/>
      <c r="O85" s="3180">
        <f t="shared" ref="O85" si="40">SUM(L85:N85)</f>
        <v>1</v>
      </c>
      <c r="P85" s="3180">
        <v>38248.83</v>
      </c>
      <c r="Q85" s="3180">
        <f>M85*G85*365/12</f>
        <v>4805.833333333333</v>
      </c>
      <c r="R85" s="3180"/>
      <c r="S85" s="3179"/>
      <c r="T85" s="3180"/>
      <c r="U85" s="3180">
        <f t="shared" si="37"/>
        <v>57670</v>
      </c>
      <c r="V85" s="3180">
        <f t="shared" si="38"/>
        <v>0</v>
      </c>
      <c r="W85" s="3180">
        <f t="shared" si="39"/>
        <v>57670</v>
      </c>
      <c r="X85" s="3181">
        <v>45164</v>
      </c>
      <c r="Y85" s="3181">
        <v>46259</v>
      </c>
      <c r="Z85" s="3181"/>
      <c r="AA85" s="3182">
        <v>12</v>
      </c>
      <c r="AB85" s="3171" t="s">
        <v>3901</v>
      </c>
    </row>
    <row r="86" spans="1:29" s="3189" customFormat="1" ht="27" customHeight="1">
      <c r="A86" s="3199"/>
      <c r="B86" s="3170">
        <v>83</v>
      </c>
      <c r="C86" s="3171" t="s">
        <v>4112</v>
      </c>
      <c r="D86" s="3170" t="s">
        <v>3945</v>
      </c>
      <c r="E86" s="3191" t="s">
        <v>3857</v>
      </c>
      <c r="F86" s="3171" t="s">
        <v>4113</v>
      </c>
      <c r="G86" s="3192">
        <v>145</v>
      </c>
      <c r="H86" s="3192" t="s">
        <v>4114</v>
      </c>
      <c r="I86" s="3191" t="s">
        <v>4115</v>
      </c>
      <c r="J86" s="3170" t="s">
        <v>3884</v>
      </c>
      <c r="K86" s="3177">
        <v>0.12</v>
      </c>
      <c r="L86" s="3178"/>
      <c r="M86" s="3178">
        <v>1.5</v>
      </c>
      <c r="N86" s="3178"/>
      <c r="O86" s="3178">
        <f>SUM(L86:N86)</f>
        <v>1.5</v>
      </c>
      <c r="P86" s="3194">
        <v>0</v>
      </c>
      <c r="Q86" s="3194">
        <v>6615.63</v>
      </c>
      <c r="R86" s="3194">
        <v>1905.61</v>
      </c>
      <c r="S86" s="3174"/>
      <c r="T86" s="3194"/>
      <c r="U86" s="3194">
        <f>Q86*AA86</f>
        <v>19846.89</v>
      </c>
      <c r="V86" s="3194"/>
      <c r="W86" s="3174">
        <f>SUM(T86:V86)</f>
        <v>19846.89</v>
      </c>
      <c r="X86" s="3181">
        <v>45184</v>
      </c>
      <c r="Y86" s="3181">
        <v>45382</v>
      </c>
      <c r="Z86" s="3170"/>
      <c r="AA86" s="3182">
        <v>3</v>
      </c>
      <c r="AB86" s="3170" t="s">
        <v>4116</v>
      </c>
      <c r="AC86" s="3170"/>
    </row>
    <row r="87" spans="1:29" s="3183" customFormat="1" ht="34.5" customHeight="1">
      <c r="A87" s="3201"/>
      <c r="B87" s="3170"/>
      <c r="C87" s="3202" t="s">
        <v>4117</v>
      </c>
      <c r="D87" s="3203"/>
      <c r="E87" s="3204"/>
      <c r="F87" s="3202"/>
      <c r="G87" s="3205">
        <f>SUM(G44:G86)</f>
        <v>6831</v>
      </c>
      <c r="H87" s="3206"/>
      <c r="I87" s="3204"/>
      <c r="J87" s="3207"/>
      <c r="K87" s="3201"/>
      <c r="L87" s="3208"/>
      <c r="M87" s="3208"/>
      <c r="N87" s="3209"/>
      <c r="O87" s="3209">
        <f>W87/G87/365</f>
        <v>5.4012708582750273</v>
      </c>
      <c r="P87" s="3209">
        <f>SUM(P30:P86)</f>
        <v>837335.8991666669</v>
      </c>
      <c r="Q87" s="3209">
        <f>SUM(Q30:Q86)</f>
        <v>467134.59500000003</v>
      </c>
      <c r="R87" s="3209">
        <f>SUM(R30:R86)</f>
        <v>20572.730000000003</v>
      </c>
      <c r="S87" s="3209">
        <f>SUM(S44:S86)</f>
        <v>1190957.4758333336</v>
      </c>
      <c r="T87" s="3209">
        <f t="shared" ref="T87:W87" si="41">SUM(T44:T86)</f>
        <v>7230520.5399999991</v>
      </c>
      <c r="U87" s="3209">
        <f t="shared" si="41"/>
        <v>4428154.1099999994</v>
      </c>
      <c r="V87" s="3209">
        <f t="shared" si="41"/>
        <v>48000.000000000102</v>
      </c>
      <c r="W87" s="3209">
        <f t="shared" si="41"/>
        <v>13467069.65</v>
      </c>
      <c r="X87" s="3210"/>
      <c r="Y87" s="3210"/>
      <c r="Z87" s="3210"/>
      <c r="AA87" s="3211"/>
      <c r="AB87" s="3202"/>
    </row>
    <row r="88" spans="1:29" s="3183" customFormat="1" ht="34.5" customHeight="1">
      <c r="A88" s="3170">
        <v>11</v>
      </c>
      <c r="B88" s="3170">
        <v>84</v>
      </c>
      <c r="C88" s="3212" t="s">
        <v>4118</v>
      </c>
      <c r="D88" s="3172" t="s">
        <v>4119</v>
      </c>
      <c r="E88" s="3173" t="s">
        <v>3857</v>
      </c>
      <c r="F88" s="3171" t="s">
        <v>4120</v>
      </c>
      <c r="G88" s="3174">
        <v>266</v>
      </c>
      <c r="H88" s="3176" t="s">
        <v>3947</v>
      </c>
      <c r="I88" s="3171" t="s">
        <v>4121</v>
      </c>
      <c r="J88" s="3171" t="s">
        <v>4122</v>
      </c>
      <c r="K88" s="3177"/>
      <c r="L88" s="3193"/>
      <c r="M88" s="3179"/>
      <c r="N88" s="3180">
        <v>4.5</v>
      </c>
      <c r="O88" s="3180">
        <f t="shared" ref="O88:O140" si="42">SUM(L88:N88)</f>
        <v>4.5</v>
      </c>
      <c r="P88" s="3180"/>
      <c r="Q88" s="3180"/>
      <c r="R88" s="3180">
        <v>36408.75</v>
      </c>
      <c r="S88" s="3180">
        <f t="shared" ref="S88:S140" si="43">SUM(P88:R88)</f>
        <v>36408.75</v>
      </c>
      <c r="T88" s="3180">
        <f t="shared" ref="T88:T140" si="44">L88*G88*365</f>
        <v>0</v>
      </c>
      <c r="U88" s="3180">
        <f t="shared" ref="U88:U149" si="45">M88*G88*365</f>
        <v>0</v>
      </c>
      <c r="V88" s="3180">
        <v>431726.88</v>
      </c>
      <c r="W88" s="3180">
        <f t="shared" ref="W88:W151" si="46">SUM(T88:V88)</f>
        <v>431726.88</v>
      </c>
      <c r="X88" s="3181">
        <v>44317</v>
      </c>
      <c r="Y88" s="3181">
        <v>46142</v>
      </c>
      <c r="Z88" s="3181" t="s">
        <v>3784</v>
      </c>
      <c r="AA88" s="3182">
        <v>12</v>
      </c>
      <c r="AB88" s="3171" t="s">
        <v>4123</v>
      </c>
    </row>
    <row r="89" spans="1:29" s="3183" customFormat="1" ht="34.5" customHeight="1">
      <c r="A89" s="3170">
        <v>12</v>
      </c>
      <c r="B89" s="3170">
        <v>85</v>
      </c>
      <c r="C89" s="3171" t="s">
        <v>4124</v>
      </c>
      <c r="D89" s="3172" t="s">
        <v>4119</v>
      </c>
      <c r="E89" s="3173" t="s">
        <v>3857</v>
      </c>
      <c r="F89" s="3171" t="s">
        <v>4125</v>
      </c>
      <c r="G89" s="3174">
        <v>509</v>
      </c>
      <c r="H89" s="3176" t="s">
        <v>4126</v>
      </c>
      <c r="I89" s="3171" t="s">
        <v>4126</v>
      </c>
      <c r="J89" s="3171" t="s">
        <v>4122</v>
      </c>
      <c r="K89" s="3177"/>
      <c r="L89" s="3193"/>
      <c r="M89" s="3179"/>
      <c r="N89" s="3180">
        <v>4</v>
      </c>
      <c r="O89" s="3180">
        <f t="shared" si="42"/>
        <v>4</v>
      </c>
      <c r="P89" s="3180"/>
      <c r="Q89" s="3180"/>
      <c r="R89" s="3180">
        <v>61928.33</v>
      </c>
      <c r="S89" s="3180">
        <f t="shared" si="43"/>
        <v>61928.33</v>
      </c>
      <c r="T89" s="3180">
        <f t="shared" si="44"/>
        <v>0</v>
      </c>
      <c r="U89" s="3180">
        <f t="shared" si="45"/>
        <v>0</v>
      </c>
      <c r="V89" s="3180">
        <v>689262.33</v>
      </c>
      <c r="W89" s="3180">
        <f t="shared" si="46"/>
        <v>689262.33</v>
      </c>
      <c r="X89" s="3181">
        <v>44317</v>
      </c>
      <c r="Y89" s="3181">
        <v>45716</v>
      </c>
      <c r="Z89" s="3181" t="s">
        <v>3784</v>
      </c>
      <c r="AA89" s="3182">
        <v>12</v>
      </c>
      <c r="AB89" s="3171"/>
    </row>
    <row r="90" spans="1:29" s="3183" customFormat="1" ht="34.5" customHeight="1">
      <c r="A90" s="3170">
        <v>9</v>
      </c>
      <c r="B90" s="3170">
        <v>86</v>
      </c>
      <c r="C90" s="3171" t="s">
        <v>4127</v>
      </c>
      <c r="D90" s="3172" t="s">
        <v>4119</v>
      </c>
      <c r="E90" s="3173" t="s">
        <v>3857</v>
      </c>
      <c r="F90" s="3171" t="s">
        <v>4128</v>
      </c>
      <c r="G90" s="3174">
        <v>827</v>
      </c>
      <c r="H90" s="3176" t="s">
        <v>4129</v>
      </c>
      <c r="I90" s="3171" t="s">
        <v>4130</v>
      </c>
      <c r="J90" s="3171" t="s">
        <v>4122</v>
      </c>
      <c r="K90" s="3177"/>
      <c r="L90" s="3193"/>
      <c r="M90" s="3179"/>
      <c r="N90" s="3180">
        <v>4.7300000000000004</v>
      </c>
      <c r="O90" s="3180">
        <f t="shared" si="42"/>
        <v>4.7300000000000004</v>
      </c>
      <c r="P90" s="3180"/>
      <c r="Q90" s="3180"/>
      <c r="R90" s="3180">
        <f>V90/AA90</f>
        <v>117534.7925</v>
      </c>
      <c r="S90" s="3180">
        <f t="shared" si="43"/>
        <v>117534.7925</v>
      </c>
      <c r="T90" s="3180">
        <f t="shared" si="44"/>
        <v>0</v>
      </c>
      <c r="U90" s="3180">
        <f t="shared" si="45"/>
        <v>0</v>
      </c>
      <c r="V90" s="3180">
        <v>1410417.51</v>
      </c>
      <c r="W90" s="3180">
        <f t="shared" si="46"/>
        <v>1410417.51</v>
      </c>
      <c r="X90" s="3181">
        <v>44287</v>
      </c>
      <c r="Y90" s="3181">
        <v>46477</v>
      </c>
      <c r="Z90" s="3181" t="s">
        <v>3784</v>
      </c>
      <c r="AA90" s="3182">
        <v>12</v>
      </c>
      <c r="AB90" s="3171"/>
    </row>
    <row r="91" spans="1:29" s="3183" customFormat="1" ht="34.5" customHeight="1">
      <c r="A91" s="3170">
        <v>143</v>
      </c>
      <c r="B91" s="3170">
        <v>87</v>
      </c>
      <c r="C91" s="3171" t="s">
        <v>4131</v>
      </c>
      <c r="D91" s="3172" t="s">
        <v>4119</v>
      </c>
      <c r="E91" s="3173" t="s">
        <v>3857</v>
      </c>
      <c r="F91" s="3171" t="s">
        <v>4132</v>
      </c>
      <c r="G91" s="3174">
        <v>124</v>
      </c>
      <c r="H91" s="3176" t="s">
        <v>3821</v>
      </c>
      <c r="I91" s="3171" t="s">
        <v>4133</v>
      </c>
      <c r="J91" s="3171" t="s">
        <v>4122</v>
      </c>
      <c r="K91" s="3177"/>
      <c r="L91" s="3193"/>
      <c r="M91" s="3179"/>
      <c r="N91" s="3180">
        <v>5</v>
      </c>
      <c r="O91" s="3180">
        <f t="shared" si="42"/>
        <v>5</v>
      </c>
      <c r="P91" s="3180"/>
      <c r="Q91" s="3180"/>
      <c r="R91" s="3180">
        <v>18858.330000000002</v>
      </c>
      <c r="S91" s="3180">
        <f t="shared" si="43"/>
        <v>18858.330000000002</v>
      </c>
      <c r="T91" s="3180">
        <f t="shared" si="44"/>
        <v>0</v>
      </c>
      <c r="U91" s="3180">
        <f t="shared" si="45"/>
        <v>0</v>
      </c>
      <c r="V91" s="3180">
        <v>229037.52</v>
      </c>
      <c r="W91" s="3180">
        <f t="shared" si="46"/>
        <v>229037.52</v>
      </c>
      <c r="X91" s="3181">
        <v>44927</v>
      </c>
      <c r="Y91" s="3181">
        <v>45657</v>
      </c>
      <c r="Z91" s="3181" t="s">
        <v>3784</v>
      </c>
      <c r="AA91" s="3182">
        <v>12</v>
      </c>
      <c r="AB91" s="3171" t="s">
        <v>4134</v>
      </c>
    </row>
    <row r="92" spans="1:29" s="3183" customFormat="1" ht="34.5" customHeight="1">
      <c r="A92" s="3170">
        <v>14</v>
      </c>
      <c r="B92" s="3170">
        <v>88</v>
      </c>
      <c r="C92" s="3171" t="s">
        <v>4135</v>
      </c>
      <c r="D92" s="3172" t="s">
        <v>4119</v>
      </c>
      <c r="E92" s="3173" t="s">
        <v>3857</v>
      </c>
      <c r="F92" s="3171" t="s">
        <v>4136</v>
      </c>
      <c r="G92" s="3174">
        <f>255-9</f>
        <v>246</v>
      </c>
      <c r="H92" s="3176" t="s">
        <v>4137</v>
      </c>
      <c r="I92" s="3171" t="s">
        <v>4138</v>
      </c>
      <c r="J92" s="3171" t="s">
        <v>4122</v>
      </c>
      <c r="K92" s="3177"/>
      <c r="L92" s="3193"/>
      <c r="M92" s="3179"/>
      <c r="N92" s="3180">
        <v>5.51</v>
      </c>
      <c r="O92" s="3180">
        <f t="shared" si="42"/>
        <v>5.51</v>
      </c>
      <c r="P92" s="3180"/>
      <c r="Q92" s="3180"/>
      <c r="R92" s="3180">
        <v>41228.58</v>
      </c>
      <c r="S92" s="3180">
        <f t="shared" si="43"/>
        <v>41228.58</v>
      </c>
      <c r="T92" s="3180">
        <f t="shared" si="44"/>
        <v>0</v>
      </c>
      <c r="U92" s="3180">
        <f t="shared" si="45"/>
        <v>0</v>
      </c>
      <c r="V92" s="3180">
        <f>R92*AA92</f>
        <v>371057.22000000003</v>
      </c>
      <c r="W92" s="3180">
        <f t="shared" si="46"/>
        <v>371057.22000000003</v>
      </c>
      <c r="X92" s="3181">
        <v>44470</v>
      </c>
      <c r="Y92" s="3181">
        <v>45565</v>
      </c>
      <c r="Z92" s="3181" t="s">
        <v>3784</v>
      </c>
      <c r="AA92" s="3182">
        <v>9</v>
      </c>
      <c r="AB92" s="3171"/>
    </row>
    <row r="93" spans="1:29" s="3183" customFormat="1" ht="34.5" customHeight="1">
      <c r="A93" s="3170">
        <v>59</v>
      </c>
      <c r="B93" s="3170">
        <v>89</v>
      </c>
      <c r="C93" s="3171" t="s">
        <v>4139</v>
      </c>
      <c r="D93" s="3172" t="s">
        <v>4119</v>
      </c>
      <c r="E93" s="3173" t="s">
        <v>3857</v>
      </c>
      <c r="F93" s="3171" t="s">
        <v>4140</v>
      </c>
      <c r="G93" s="3174">
        <v>192</v>
      </c>
      <c r="H93" s="3176" t="s">
        <v>3960</v>
      </c>
      <c r="I93" s="3171" t="s">
        <v>4141</v>
      </c>
      <c r="J93" s="3171" t="s">
        <v>4122</v>
      </c>
      <c r="K93" s="3177"/>
      <c r="L93" s="3193"/>
      <c r="M93" s="3179"/>
      <c r="N93" s="3180">
        <v>6</v>
      </c>
      <c r="O93" s="3180">
        <f t="shared" si="42"/>
        <v>6</v>
      </c>
      <c r="P93" s="3180"/>
      <c r="Q93" s="3180"/>
      <c r="R93" s="3180">
        <v>35040</v>
      </c>
      <c r="S93" s="3180">
        <f t="shared" si="43"/>
        <v>35040</v>
      </c>
      <c r="T93" s="3180">
        <f t="shared" si="44"/>
        <v>0</v>
      </c>
      <c r="U93" s="3180">
        <f t="shared" si="45"/>
        <v>0</v>
      </c>
      <c r="V93" s="3180">
        <v>255648</v>
      </c>
      <c r="W93" s="3180">
        <f t="shared" si="46"/>
        <v>255648</v>
      </c>
      <c r="X93" s="3181">
        <v>44418</v>
      </c>
      <c r="Y93" s="3181">
        <v>45513</v>
      </c>
      <c r="Z93" s="3181" t="s">
        <v>3784</v>
      </c>
      <c r="AA93" s="3182">
        <v>7</v>
      </c>
      <c r="AB93" s="3171"/>
    </row>
    <row r="94" spans="1:29" s="3183" customFormat="1" ht="34.5" customHeight="1">
      <c r="A94" s="3170">
        <v>156</v>
      </c>
      <c r="B94" s="3170">
        <v>90</v>
      </c>
      <c r="C94" s="3171" t="s">
        <v>4142</v>
      </c>
      <c r="D94" s="3172" t="s">
        <v>4119</v>
      </c>
      <c r="E94" s="3173" t="s">
        <v>3857</v>
      </c>
      <c r="F94" s="3171" t="s">
        <v>4143</v>
      </c>
      <c r="G94" s="3174">
        <v>3</v>
      </c>
      <c r="H94" s="3175" t="s">
        <v>4019</v>
      </c>
      <c r="I94" s="3173" t="s">
        <v>4144</v>
      </c>
      <c r="J94" s="3171" t="s">
        <v>4122</v>
      </c>
      <c r="K94" s="3177"/>
      <c r="L94" s="3193"/>
      <c r="M94" s="3179"/>
      <c r="N94" s="3180">
        <v>10.958904109589</v>
      </c>
      <c r="O94" s="3180">
        <f t="shared" si="42"/>
        <v>10.958904109589</v>
      </c>
      <c r="P94" s="3180"/>
      <c r="Q94" s="3180"/>
      <c r="R94" s="3180">
        <v>1000</v>
      </c>
      <c r="S94" s="3180">
        <f t="shared" si="43"/>
        <v>1000</v>
      </c>
      <c r="T94" s="3180">
        <f t="shared" si="44"/>
        <v>0</v>
      </c>
      <c r="U94" s="3180">
        <f t="shared" si="45"/>
        <v>0</v>
      </c>
      <c r="V94" s="3180">
        <f t="shared" ref="V94:V138" si="47">N94*G94*365</f>
        <v>11999.999999999955</v>
      </c>
      <c r="W94" s="3180">
        <f t="shared" si="46"/>
        <v>11999.999999999955</v>
      </c>
      <c r="X94" s="3181">
        <v>45038</v>
      </c>
      <c r="Y94" s="3181">
        <v>45403</v>
      </c>
      <c r="Z94" s="3181" t="s">
        <v>3784</v>
      </c>
      <c r="AA94" s="3182">
        <v>12</v>
      </c>
      <c r="AB94" s="3171" t="s">
        <v>4145</v>
      </c>
    </row>
    <row r="95" spans="1:29" s="3183" customFormat="1" ht="34.5" customHeight="1">
      <c r="A95" s="3170">
        <v>37</v>
      </c>
      <c r="B95" s="3170">
        <v>91</v>
      </c>
      <c r="C95" s="3171" t="s">
        <v>4146</v>
      </c>
      <c r="D95" s="3172" t="s">
        <v>4119</v>
      </c>
      <c r="E95" s="3173" t="s">
        <v>3857</v>
      </c>
      <c r="F95" s="3171" t="s">
        <v>4147</v>
      </c>
      <c r="G95" s="3174">
        <v>486</v>
      </c>
      <c r="H95" s="3176" t="s">
        <v>4126</v>
      </c>
      <c r="I95" s="3171" t="s">
        <v>3970</v>
      </c>
      <c r="J95" s="3171" t="s">
        <v>4122</v>
      </c>
      <c r="K95" s="3177"/>
      <c r="L95" s="3193"/>
      <c r="M95" s="3179"/>
      <c r="N95" s="3180">
        <v>6</v>
      </c>
      <c r="O95" s="3180">
        <f t="shared" si="42"/>
        <v>6</v>
      </c>
      <c r="P95" s="3180"/>
      <c r="Q95" s="3180"/>
      <c r="R95" s="3180">
        <v>88695</v>
      </c>
      <c r="S95" s="3180">
        <f t="shared" si="43"/>
        <v>88695</v>
      </c>
      <c r="T95" s="3180">
        <f t="shared" si="44"/>
        <v>0</v>
      </c>
      <c r="U95" s="3180">
        <f t="shared" si="45"/>
        <v>0</v>
      </c>
      <c r="V95" s="3180">
        <v>997818.75</v>
      </c>
      <c r="W95" s="3180">
        <f t="shared" si="46"/>
        <v>997818.75</v>
      </c>
      <c r="X95" s="3181">
        <v>44470</v>
      </c>
      <c r="Y95" s="3181">
        <v>46295</v>
      </c>
      <c r="Z95" s="3181" t="s">
        <v>3784</v>
      </c>
      <c r="AA95" s="3182">
        <v>12</v>
      </c>
      <c r="AB95" s="3171" t="s">
        <v>4148</v>
      </c>
    </row>
    <row r="96" spans="1:29" s="3183" customFormat="1" ht="34.5" customHeight="1">
      <c r="A96" s="3170">
        <v>94</v>
      </c>
      <c r="B96" s="3170">
        <v>92</v>
      </c>
      <c r="C96" s="3171" t="s">
        <v>4149</v>
      </c>
      <c r="D96" s="3172" t="s">
        <v>4119</v>
      </c>
      <c r="E96" s="3173" t="s">
        <v>3857</v>
      </c>
      <c r="F96" s="3171" t="s">
        <v>4150</v>
      </c>
      <c r="G96" s="3174">
        <v>132</v>
      </c>
      <c r="H96" s="3176" t="s">
        <v>4151</v>
      </c>
      <c r="I96" s="3171" t="s">
        <v>4152</v>
      </c>
      <c r="J96" s="3171" t="s">
        <v>4122</v>
      </c>
      <c r="K96" s="3177"/>
      <c r="L96" s="3193"/>
      <c r="M96" s="3179"/>
      <c r="N96" s="3180">
        <v>6.5</v>
      </c>
      <c r="O96" s="3180">
        <f t="shared" si="42"/>
        <v>6.5</v>
      </c>
      <c r="P96" s="3180"/>
      <c r="Q96" s="3180"/>
      <c r="R96" s="3180">
        <v>26097.5</v>
      </c>
      <c r="S96" s="3180">
        <f t="shared" si="43"/>
        <v>26097.5</v>
      </c>
      <c r="T96" s="3180">
        <f t="shared" si="44"/>
        <v>0</v>
      </c>
      <c r="U96" s="3180">
        <f t="shared" si="45"/>
        <v>0</v>
      </c>
      <c r="V96" s="3180">
        <v>305140</v>
      </c>
      <c r="W96" s="3180">
        <f t="shared" si="46"/>
        <v>305140</v>
      </c>
      <c r="X96" s="3181">
        <v>44621</v>
      </c>
      <c r="Y96" s="3181">
        <v>45716</v>
      </c>
      <c r="Z96" s="3181" t="s">
        <v>3784</v>
      </c>
      <c r="AA96" s="3182">
        <v>12</v>
      </c>
      <c r="AB96" s="3171" t="s">
        <v>4153</v>
      </c>
    </row>
    <row r="97" spans="1:29" s="3183" customFormat="1" ht="34.5" customHeight="1">
      <c r="A97" s="3170">
        <v>98</v>
      </c>
      <c r="B97" s="3170">
        <v>93</v>
      </c>
      <c r="C97" s="3171" t="s">
        <v>4154</v>
      </c>
      <c r="D97" s="3172" t="s">
        <v>4119</v>
      </c>
      <c r="E97" s="3173" t="s">
        <v>3857</v>
      </c>
      <c r="F97" s="3171" t="s">
        <v>4155</v>
      </c>
      <c r="G97" s="3174">
        <v>192</v>
      </c>
      <c r="H97" s="3176" t="s">
        <v>4156</v>
      </c>
      <c r="I97" s="3171" t="s">
        <v>4157</v>
      </c>
      <c r="J97" s="3171" t="s">
        <v>4122</v>
      </c>
      <c r="K97" s="3177"/>
      <c r="L97" s="3193"/>
      <c r="M97" s="3179"/>
      <c r="N97" s="3180">
        <v>4.5</v>
      </c>
      <c r="O97" s="3180">
        <f t="shared" si="42"/>
        <v>4.5</v>
      </c>
      <c r="P97" s="3180"/>
      <c r="Q97" s="3180">
        <f>M97*G97*365/12</f>
        <v>0</v>
      </c>
      <c r="R97" s="3180">
        <v>26280</v>
      </c>
      <c r="S97" s="3180">
        <f t="shared" si="43"/>
        <v>26280</v>
      </c>
      <c r="T97" s="3180">
        <f t="shared" si="44"/>
        <v>0</v>
      </c>
      <c r="U97" s="3180">
        <f t="shared" si="45"/>
        <v>0</v>
      </c>
      <c r="V97" s="3180">
        <v>287352</v>
      </c>
      <c r="W97" s="3180">
        <f t="shared" si="46"/>
        <v>287352</v>
      </c>
      <c r="X97" s="3181">
        <v>44587</v>
      </c>
      <c r="Y97" s="3181">
        <v>45716</v>
      </c>
      <c r="Z97" s="3181" t="s">
        <v>3784</v>
      </c>
      <c r="AA97" s="3182">
        <v>12</v>
      </c>
      <c r="AB97" s="3171" t="s">
        <v>4158</v>
      </c>
    </row>
    <row r="98" spans="1:29" s="3183" customFormat="1" ht="34.5" customHeight="1">
      <c r="A98" s="3170">
        <v>169</v>
      </c>
      <c r="B98" s="3170">
        <v>94</v>
      </c>
      <c r="C98" s="3171" t="s">
        <v>4159</v>
      </c>
      <c r="D98" s="3172" t="s">
        <v>4119</v>
      </c>
      <c r="E98" s="3173" t="s">
        <v>3779</v>
      </c>
      <c r="F98" s="3171" t="s">
        <v>4160</v>
      </c>
      <c r="G98" s="3174">
        <v>290</v>
      </c>
      <c r="H98" s="3175" t="s">
        <v>4035</v>
      </c>
      <c r="I98" s="3173" t="s">
        <v>4161</v>
      </c>
      <c r="J98" s="3176" t="s">
        <v>3783</v>
      </c>
      <c r="K98" s="3177"/>
      <c r="L98" s="3179">
        <v>5.5</v>
      </c>
      <c r="M98" s="3179">
        <v>3</v>
      </c>
      <c r="N98" s="3180"/>
      <c r="O98" s="3180">
        <f t="shared" si="42"/>
        <v>8.5</v>
      </c>
      <c r="P98" s="3180">
        <f>L98*G98*365/12</f>
        <v>48514.583333333336</v>
      </c>
      <c r="Q98" s="3180">
        <f>M98*G98*365/12</f>
        <v>26462.5</v>
      </c>
      <c r="R98" s="3180"/>
      <c r="S98" s="3180">
        <f t="shared" si="43"/>
        <v>74977.083333333343</v>
      </c>
      <c r="T98" s="3180">
        <v>564533.31999999995</v>
      </c>
      <c r="U98" s="3180">
        <f t="shared" si="45"/>
        <v>317550</v>
      </c>
      <c r="V98" s="3180">
        <f t="shared" si="47"/>
        <v>0</v>
      </c>
      <c r="W98" s="3180">
        <f t="shared" si="46"/>
        <v>882083.32</v>
      </c>
      <c r="X98" s="3181">
        <v>45047</v>
      </c>
      <c r="Y98" s="3181">
        <v>46142</v>
      </c>
      <c r="Z98" s="3181" t="s">
        <v>3784</v>
      </c>
      <c r="AA98" s="3182">
        <v>12</v>
      </c>
      <c r="AB98" s="3171" t="s">
        <v>4162</v>
      </c>
    </row>
    <row r="99" spans="1:29" s="3183" customFormat="1" ht="34.5" customHeight="1">
      <c r="A99" s="3170">
        <v>149</v>
      </c>
      <c r="B99" s="3170">
        <v>95</v>
      </c>
      <c r="C99" s="3171" t="s">
        <v>4163</v>
      </c>
      <c r="D99" s="3172" t="s">
        <v>4119</v>
      </c>
      <c r="E99" s="3173" t="s">
        <v>3857</v>
      </c>
      <c r="F99" s="3171" t="s">
        <v>4164</v>
      </c>
      <c r="G99" s="3174">
        <v>97</v>
      </c>
      <c r="H99" s="3175" t="s">
        <v>3987</v>
      </c>
      <c r="I99" s="3173" t="s">
        <v>4165</v>
      </c>
      <c r="J99" s="3171" t="s">
        <v>4122</v>
      </c>
      <c r="K99" s="3177"/>
      <c r="L99" s="3179">
        <v>3.5</v>
      </c>
      <c r="M99" s="3179">
        <v>3</v>
      </c>
      <c r="N99" s="3180"/>
      <c r="O99" s="3180">
        <f t="shared" si="42"/>
        <v>6.5</v>
      </c>
      <c r="P99" s="3180">
        <f>L99*G99*365/12</f>
        <v>10326.458333333334</v>
      </c>
      <c r="Q99" s="3180">
        <f>M99*G99*365/12</f>
        <v>8851.25</v>
      </c>
      <c r="R99" s="3180"/>
      <c r="S99" s="3180">
        <f t="shared" si="43"/>
        <v>19177.708333333336</v>
      </c>
      <c r="T99" s="3180">
        <v>118671.42</v>
      </c>
      <c r="U99" s="3180">
        <f t="shared" si="45"/>
        <v>106215</v>
      </c>
      <c r="V99" s="3180">
        <f t="shared" si="47"/>
        <v>0</v>
      </c>
      <c r="W99" s="3180">
        <f t="shared" si="46"/>
        <v>224886.41999999998</v>
      </c>
      <c r="X99" s="3181">
        <v>45031</v>
      </c>
      <c r="Y99" s="3181">
        <v>45791</v>
      </c>
      <c r="Z99" s="3181" t="s">
        <v>3784</v>
      </c>
      <c r="AA99" s="3182">
        <v>12</v>
      </c>
      <c r="AB99" s="3171" t="s">
        <v>4166</v>
      </c>
    </row>
    <row r="100" spans="1:29" s="3183" customFormat="1" ht="34.5" customHeight="1">
      <c r="A100" s="3170">
        <v>323</v>
      </c>
      <c r="B100" s="3170">
        <v>96</v>
      </c>
      <c r="C100" s="3171" t="s">
        <v>4167</v>
      </c>
      <c r="D100" s="3172" t="s">
        <v>4119</v>
      </c>
      <c r="E100" s="3173" t="s">
        <v>3779</v>
      </c>
      <c r="F100" s="3171" t="s">
        <v>4168</v>
      </c>
      <c r="G100" s="3174">
        <v>4</v>
      </c>
      <c r="H100" s="3175" t="s">
        <v>3781</v>
      </c>
      <c r="I100" s="3173" t="s">
        <v>4169</v>
      </c>
      <c r="J100" s="3176" t="s">
        <v>3783</v>
      </c>
      <c r="K100" s="3170"/>
      <c r="L100" s="3179">
        <v>5.75</v>
      </c>
      <c r="M100" s="3179"/>
      <c r="N100" s="3180"/>
      <c r="O100" s="3180">
        <f t="shared" si="42"/>
        <v>5.75</v>
      </c>
      <c r="P100" s="3180">
        <v>700</v>
      </c>
      <c r="Q100" s="3180"/>
      <c r="R100" s="3180"/>
      <c r="S100" s="3180">
        <f t="shared" si="43"/>
        <v>700</v>
      </c>
      <c r="T100" s="3180">
        <v>7700</v>
      </c>
      <c r="U100" s="3180">
        <f t="shared" si="45"/>
        <v>0</v>
      </c>
      <c r="V100" s="3180">
        <f t="shared" si="47"/>
        <v>0</v>
      </c>
      <c r="W100" s="3180">
        <f t="shared" si="46"/>
        <v>7700</v>
      </c>
      <c r="X100" s="3181">
        <v>45323</v>
      </c>
      <c r="Y100" s="3181">
        <v>45504</v>
      </c>
      <c r="Z100" s="3181" t="s">
        <v>3784</v>
      </c>
      <c r="AA100" s="3182">
        <v>11</v>
      </c>
      <c r="AB100" s="3171" t="s">
        <v>4170</v>
      </c>
    </row>
    <row r="101" spans="1:29" s="3183" customFormat="1" ht="34.5" customHeight="1">
      <c r="A101" s="3170">
        <v>177</v>
      </c>
      <c r="B101" s="3170">
        <v>97</v>
      </c>
      <c r="C101" s="3171" t="s">
        <v>4171</v>
      </c>
      <c r="D101" s="3172" t="s">
        <v>4119</v>
      </c>
      <c r="E101" s="3173" t="s">
        <v>3857</v>
      </c>
      <c r="F101" s="3171" t="s">
        <v>4172</v>
      </c>
      <c r="G101" s="3174">
        <v>23</v>
      </c>
      <c r="H101" s="3175" t="s">
        <v>4035</v>
      </c>
      <c r="I101" s="3173" t="s">
        <v>4173</v>
      </c>
      <c r="J101" s="3176" t="s">
        <v>3783</v>
      </c>
      <c r="K101" s="3177"/>
      <c r="L101" s="3179"/>
      <c r="M101" s="3179"/>
      <c r="N101" s="3180">
        <v>2.86</v>
      </c>
      <c r="O101" s="3180">
        <f t="shared" si="42"/>
        <v>2.86</v>
      </c>
      <c r="P101" s="3180"/>
      <c r="Q101" s="3180"/>
      <c r="R101" s="3180">
        <v>2000</v>
      </c>
      <c r="S101" s="3180">
        <f t="shared" si="43"/>
        <v>2000</v>
      </c>
      <c r="T101" s="3180">
        <f t="shared" si="44"/>
        <v>0</v>
      </c>
      <c r="U101" s="3180">
        <f t="shared" si="45"/>
        <v>0</v>
      </c>
      <c r="V101" s="3180">
        <v>24000</v>
      </c>
      <c r="W101" s="3180">
        <f t="shared" si="46"/>
        <v>24000</v>
      </c>
      <c r="X101" s="3181">
        <v>45085</v>
      </c>
      <c r="Y101" s="3181">
        <v>45450</v>
      </c>
      <c r="Z101" s="3181" t="s">
        <v>3784</v>
      </c>
      <c r="AA101" s="3182">
        <v>12</v>
      </c>
      <c r="AB101" s="3171" t="s">
        <v>4174</v>
      </c>
    </row>
    <row r="102" spans="1:29" s="3183" customFormat="1" ht="34.5" customHeight="1">
      <c r="A102" s="3170">
        <v>319</v>
      </c>
      <c r="B102" s="3170">
        <v>98</v>
      </c>
      <c r="C102" s="3171" t="s">
        <v>3807</v>
      </c>
      <c r="D102" s="3172" t="s">
        <v>4119</v>
      </c>
      <c r="E102" s="3173" t="s">
        <v>3779</v>
      </c>
      <c r="F102" s="3171" t="s">
        <v>4175</v>
      </c>
      <c r="G102" s="3174">
        <v>240</v>
      </c>
      <c r="H102" s="3175" t="s">
        <v>4176</v>
      </c>
      <c r="I102" s="3173" t="s">
        <v>4177</v>
      </c>
      <c r="J102" s="3176" t="s">
        <v>3783</v>
      </c>
      <c r="K102" s="3170"/>
      <c r="L102" s="3179">
        <v>1.3698630136986301</v>
      </c>
      <c r="M102" s="3179">
        <v>0.34246575342465801</v>
      </c>
      <c r="N102" s="3180"/>
      <c r="O102" s="3180">
        <f t="shared" si="42"/>
        <v>1.7123287671232881</v>
      </c>
      <c r="P102" s="3180">
        <v>10000</v>
      </c>
      <c r="Q102" s="3180">
        <v>2500</v>
      </c>
      <c r="R102" s="3180"/>
      <c r="S102" s="3180">
        <f t="shared" si="43"/>
        <v>12500</v>
      </c>
      <c r="T102" s="3180">
        <v>105309</v>
      </c>
      <c r="U102" s="3180">
        <f>Q102*AA102</f>
        <v>27500</v>
      </c>
      <c r="V102" s="3180">
        <f t="shared" si="47"/>
        <v>0</v>
      </c>
      <c r="W102" s="3180">
        <f t="shared" si="46"/>
        <v>132809</v>
      </c>
      <c r="X102" s="3181">
        <v>45323</v>
      </c>
      <c r="Y102" s="3181">
        <v>46081</v>
      </c>
      <c r="Z102" s="3181" t="s">
        <v>3784</v>
      </c>
      <c r="AA102" s="3182">
        <v>11</v>
      </c>
      <c r="AB102" s="3171"/>
    </row>
    <row r="103" spans="1:29" s="3183" customFormat="1" ht="34.5" customHeight="1">
      <c r="A103" s="3170">
        <v>267</v>
      </c>
      <c r="B103" s="3170">
        <v>99</v>
      </c>
      <c r="C103" s="3171" t="s">
        <v>4178</v>
      </c>
      <c r="D103" s="3172" t="s">
        <v>4119</v>
      </c>
      <c r="E103" s="3173" t="s">
        <v>3779</v>
      </c>
      <c r="F103" s="3171" t="s">
        <v>4179</v>
      </c>
      <c r="G103" s="3174">
        <v>23</v>
      </c>
      <c r="H103" s="3215" t="s">
        <v>4180</v>
      </c>
      <c r="I103" s="3173" t="s">
        <v>4180</v>
      </c>
      <c r="J103" s="3176" t="s">
        <v>3783</v>
      </c>
      <c r="K103" s="3177"/>
      <c r="L103" s="3179">
        <v>3.5735556879094701</v>
      </c>
      <c r="M103" s="3179">
        <v>4.2882668254913598</v>
      </c>
      <c r="N103" s="3180"/>
      <c r="O103" s="3180">
        <f t="shared" si="42"/>
        <v>7.8618225134008295</v>
      </c>
      <c r="P103" s="3180">
        <v>2500</v>
      </c>
      <c r="Q103" s="3180">
        <v>3000</v>
      </c>
      <c r="R103" s="3180"/>
      <c r="S103" s="3179">
        <f t="shared" si="43"/>
        <v>5500</v>
      </c>
      <c r="T103" s="3180">
        <f>P103*AA103</f>
        <v>22500</v>
      </c>
      <c r="U103" s="3180">
        <f>Q103*AA103</f>
        <v>27000</v>
      </c>
      <c r="V103" s="3180">
        <f t="shared" si="47"/>
        <v>0</v>
      </c>
      <c r="W103" s="3180">
        <f t="shared" si="46"/>
        <v>49500</v>
      </c>
      <c r="X103" s="3181">
        <v>45192</v>
      </c>
      <c r="Y103" s="3181">
        <v>45565</v>
      </c>
      <c r="Z103" s="3181" t="s">
        <v>3784</v>
      </c>
      <c r="AA103" s="3182">
        <v>9</v>
      </c>
      <c r="AB103" s="3171"/>
    </row>
    <row r="104" spans="1:29" s="3183" customFormat="1" ht="34.5" customHeight="1">
      <c r="A104" s="3170">
        <v>271</v>
      </c>
      <c r="B104" s="3170">
        <v>100</v>
      </c>
      <c r="C104" s="3171" t="s">
        <v>4181</v>
      </c>
      <c r="D104" s="3172" t="s">
        <v>4119</v>
      </c>
      <c r="E104" s="3173" t="s">
        <v>3779</v>
      </c>
      <c r="F104" s="3171" t="s">
        <v>4182</v>
      </c>
      <c r="G104" s="3174">
        <v>150</v>
      </c>
      <c r="H104" s="3175" t="s">
        <v>3821</v>
      </c>
      <c r="I104" s="3173" t="s">
        <v>4183</v>
      </c>
      <c r="J104" s="3176" t="s">
        <v>3783</v>
      </c>
      <c r="K104" s="3177"/>
      <c r="L104" s="3179">
        <v>2</v>
      </c>
      <c r="M104" s="3179">
        <v>3</v>
      </c>
      <c r="N104" s="3180"/>
      <c r="O104" s="3180">
        <f t="shared" si="42"/>
        <v>5</v>
      </c>
      <c r="P104" s="3180">
        <f>L104*G104*365/12</f>
        <v>9125</v>
      </c>
      <c r="Q104" s="3180">
        <f>M104*G104*365/12</f>
        <v>13687.5</v>
      </c>
      <c r="R104" s="3180"/>
      <c r="S104" s="3179">
        <f t="shared" si="43"/>
        <v>22812.5</v>
      </c>
      <c r="T104" s="3180">
        <v>114062.5</v>
      </c>
      <c r="U104" s="3180">
        <f t="shared" si="45"/>
        <v>164250</v>
      </c>
      <c r="V104" s="3180">
        <f t="shared" si="47"/>
        <v>0</v>
      </c>
      <c r="W104" s="3180">
        <f t="shared" si="46"/>
        <v>278312.5</v>
      </c>
      <c r="X104" s="3181">
        <v>45231</v>
      </c>
      <c r="Y104" s="3181">
        <v>46326</v>
      </c>
      <c r="Z104" s="3181" t="s">
        <v>3784</v>
      </c>
      <c r="AA104" s="3182">
        <v>12</v>
      </c>
      <c r="AB104" s="3171" t="s">
        <v>4184</v>
      </c>
    </row>
    <row r="105" spans="1:29" s="3183" customFormat="1" ht="34.5" customHeight="1">
      <c r="A105" s="3170">
        <v>282</v>
      </c>
      <c r="B105" s="3170">
        <v>101</v>
      </c>
      <c r="C105" s="3171" t="s">
        <v>4185</v>
      </c>
      <c r="D105" s="3172" t="s">
        <v>4119</v>
      </c>
      <c r="E105" s="3173" t="s">
        <v>3779</v>
      </c>
      <c r="F105" s="3171" t="s">
        <v>4186</v>
      </c>
      <c r="G105" s="3174">
        <v>115</v>
      </c>
      <c r="H105" s="3175" t="s">
        <v>4187</v>
      </c>
      <c r="I105" s="3173" t="s">
        <v>4188</v>
      </c>
      <c r="J105" s="3176" t="s">
        <v>3783</v>
      </c>
      <c r="K105" s="3177"/>
      <c r="L105" s="3179">
        <v>5</v>
      </c>
      <c r="M105" s="3179">
        <v>3</v>
      </c>
      <c r="N105" s="3180"/>
      <c r="O105" s="3180">
        <f t="shared" si="42"/>
        <v>8</v>
      </c>
      <c r="P105" s="3180">
        <f>L105*G105*365/12</f>
        <v>17489.583333333332</v>
      </c>
      <c r="Q105" s="3180">
        <f>M105*G105*365/12</f>
        <v>10493.75</v>
      </c>
      <c r="R105" s="3180"/>
      <c r="S105" s="3179">
        <f t="shared" si="43"/>
        <v>27983.333333333332</v>
      </c>
      <c r="T105" s="3180">
        <v>216870.8</v>
      </c>
      <c r="U105" s="3180">
        <f t="shared" si="45"/>
        <v>125925</v>
      </c>
      <c r="V105" s="3180">
        <f t="shared" si="47"/>
        <v>0</v>
      </c>
      <c r="W105" s="3180">
        <f t="shared" si="46"/>
        <v>342795.8</v>
      </c>
      <c r="X105" s="3181">
        <v>45231</v>
      </c>
      <c r="Y105" s="3181">
        <v>45961</v>
      </c>
      <c r="Z105" s="3181" t="s">
        <v>3784</v>
      </c>
      <c r="AA105" s="3182">
        <v>12</v>
      </c>
      <c r="AB105" s="3171" t="s">
        <v>4189</v>
      </c>
    </row>
    <row r="106" spans="1:29" s="3183" customFormat="1" ht="34.5" customHeight="1">
      <c r="A106" s="3170">
        <v>318</v>
      </c>
      <c r="B106" s="3170">
        <v>102</v>
      </c>
      <c r="C106" s="3171" t="s">
        <v>4190</v>
      </c>
      <c r="D106" s="3172" t="s">
        <v>4119</v>
      </c>
      <c r="E106" s="3173" t="s">
        <v>3779</v>
      </c>
      <c r="F106" s="3171" t="s">
        <v>4191</v>
      </c>
      <c r="G106" s="3174">
        <v>4</v>
      </c>
      <c r="H106" s="3175" t="s">
        <v>3781</v>
      </c>
      <c r="I106" s="3173" t="s">
        <v>4192</v>
      </c>
      <c r="J106" s="3176" t="s">
        <v>3783</v>
      </c>
      <c r="K106" s="3177"/>
      <c r="L106" s="3179">
        <v>8.2191780821917799</v>
      </c>
      <c r="M106" s="3179"/>
      <c r="N106" s="3180"/>
      <c r="O106" s="3180">
        <f t="shared" si="42"/>
        <v>8.2191780821917799</v>
      </c>
      <c r="P106" s="3180">
        <v>1000</v>
      </c>
      <c r="Q106" s="3180"/>
      <c r="R106" s="3180"/>
      <c r="S106" s="3179">
        <f t="shared" si="43"/>
        <v>1000</v>
      </c>
      <c r="T106" s="3180">
        <v>12945</v>
      </c>
      <c r="U106" s="3180">
        <f t="shared" si="45"/>
        <v>0</v>
      </c>
      <c r="V106" s="3180">
        <f t="shared" si="47"/>
        <v>0</v>
      </c>
      <c r="W106" s="3180">
        <f t="shared" si="46"/>
        <v>12945</v>
      </c>
      <c r="X106" s="3181">
        <v>45311</v>
      </c>
      <c r="Y106" s="3181">
        <v>45473</v>
      </c>
      <c r="Z106" s="3181" t="s">
        <v>3784</v>
      </c>
      <c r="AA106" s="3182">
        <v>12</v>
      </c>
      <c r="AB106" s="3171" t="s">
        <v>4174</v>
      </c>
    </row>
    <row r="107" spans="1:29" s="3183" customFormat="1" ht="34.5" customHeight="1">
      <c r="A107" s="3170"/>
      <c r="B107" s="3170">
        <v>103</v>
      </c>
      <c r="C107" s="3171" t="s">
        <v>4193</v>
      </c>
      <c r="D107" s="3172" t="s">
        <v>4119</v>
      </c>
      <c r="E107" s="3173" t="s">
        <v>3857</v>
      </c>
      <c r="F107" s="3171" t="s">
        <v>4194</v>
      </c>
      <c r="G107" s="3174">
        <v>43</v>
      </c>
      <c r="H107" s="3175" t="s">
        <v>4195</v>
      </c>
      <c r="I107" s="3173" t="s">
        <v>4196</v>
      </c>
      <c r="J107" s="3176" t="s">
        <v>3783</v>
      </c>
      <c r="K107" s="3170"/>
      <c r="L107" s="3179"/>
      <c r="M107" s="3179"/>
      <c r="N107" s="3180">
        <v>7</v>
      </c>
      <c r="O107" s="3180">
        <f t="shared" ref="O107" si="48">SUM(L107:N107)</f>
        <v>7</v>
      </c>
      <c r="P107" s="3180"/>
      <c r="Q107" s="3180"/>
      <c r="R107" s="3180">
        <v>9155.42</v>
      </c>
      <c r="S107" s="3179">
        <f t="shared" si="43"/>
        <v>9155.42</v>
      </c>
      <c r="T107" s="3180">
        <f t="shared" ref="T107" si="49">L107*G107*365</f>
        <v>0</v>
      </c>
      <c r="U107" s="3180">
        <f t="shared" si="45"/>
        <v>0</v>
      </c>
      <c r="V107" s="3180">
        <v>82699.78</v>
      </c>
      <c r="W107" s="3180">
        <f t="shared" si="46"/>
        <v>82699.78</v>
      </c>
      <c r="X107" s="3181">
        <v>45352</v>
      </c>
      <c r="Y107" s="3181">
        <v>46446</v>
      </c>
      <c r="Z107" s="3181" t="s">
        <v>3784</v>
      </c>
      <c r="AA107" s="3182">
        <v>8</v>
      </c>
      <c r="AB107" s="3171"/>
    </row>
    <row r="108" spans="1:29" s="3189" customFormat="1" ht="27" customHeight="1">
      <c r="A108" s="3199"/>
      <c r="B108" s="3170">
        <v>104</v>
      </c>
      <c r="C108" s="3212" t="s">
        <v>3944</v>
      </c>
      <c r="D108" s="3170" t="s">
        <v>4119</v>
      </c>
      <c r="E108" s="3191" t="s">
        <v>3857</v>
      </c>
      <c r="F108" s="3171" t="s">
        <v>4197</v>
      </c>
      <c r="G108" s="3175">
        <v>133</v>
      </c>
      <c r="H108" s="3176" t="s">
        <v>3947</v>
      </c>
      <c r="I108" s="3176" t="s">
        <v>4121</v>
      </c>
      <c r="J108" s="3171" t="s">
        <v>4122</v>
      </c>
      <c r="K108" s="3177"/>
      <c r="L108" s="3178"/>
      <c r="M108" s="3178"/>
      <c r="N108" s="3178">
        <v>4.5</v>
      </c>
      <c r="O108" s="3178">
        <f t="shared" ref="O108:O109" si="50">SUM(L108:N108)</f>
        <v>4.5</v>
      </c>
      <c r="P108" s="3194"/>
      <c r="Q108" s="3194"/>
      <c r="R108" s="3194">
        <v>18204.38</v>
      </c>
      <c r="S108" s="3174">
        <f t="shared" si="43"/>
        <v>18204.38</v>
      </c>
      <c r="T108" s="3194"/>
      <c r="U108" s="3194"/>
      <c r="V108" s="3194">
        <v>72817.52</v>
      </c>
      <c r="W108" s="3174">
        <f t="shared" ref="W108:W109" si="51">SUM(T108:V108)</f>
        <v>72817.52</v>
      </c>
      <c r="X108" s="3181">
        <v>44317</v>
      </c>
      <c r="Y108" s="3181">
        <v>45412</v>
      </c>
      <c r="Z108" s="3170"/>
      <c r="AA108" s="3182">
        <v>3</v>
      </c>
      <c r="AB108" s="3170"/>
      <c r="AC108" s="3170"/>
    </row>
    <row r="109" spans="1:29" s="3189" customFormat="1" ht="27" customHeight="1">
      <c r="A109" s="3199"/>
      <c r="B109" s="3170">
        <v>105</v>
      </c>
      <c r="C109" s="3171" t="s">
        <v>4198</v>
      </c>
      <c r="D109" s="3170" t="s">
        <v>4119</v>
      </c>
      <c r="E109" s="3191" t="s">
        <v>3857</v>
      </c>
      <c r="F109" s="3171" t="s">
        <v>4199</v>
      </c>
      <c r="G109" s="3192">
        <v>368</v>
      </c>
      <c r="H109" s="3170" t="s">
        <v>3821</v>
      </c>
      <c r="I109" s="3170" t="s">
        <v>4200</v>
      </c>
      <c r="J109" s="3170" t="s">
        <v>4122</v>
      </c>
      <c r="K109" s="3170"/>
      <c r="L109" s="3178"/>
      <c r="M109" s="3178"/>
      <c r="N109" s="3178">
        <v>5.25</v>
      </c>
      <c r="O109" s="3178">
        <f t="shared" si="50"/>
        <v>5.25</v>
      </c>
      <c r="P109" s="3194"/>
      <c r="Q109" s="3194"/>
      <c r="R109" s="3194">
        <v>58765</v>
      </c>
      <c r="S109" s="3174">
        <f t="shared" si="43"/>
        <v>58765</v>
      </c>
      <c r="T109" s="3194"/>
      <c r="U109" s="3194"/>
      <c r="V109" s="3194">
        <v>293825</v>
      </c>
      <c r="W109" s="3174">
        <f t="shared" si="51"/>
        <v>293825</v>
      </c>
      <c r="X109" s="3181">
        <v>44348</v>
      </c>
      <c r="Y109" s="3181">
        <v>45443</v>
      </c>
      <c r="Z109" s="3181" t="s">
        <v>3784</v>
      </c>
      <c r="AA109" s="3182">
        <v>5</v>
      </c>
      <c r="AB109" s="3170" t="s">
        <v>3867</v>
      </c>
      <c r="AC109" s="3170"/>
    </row>
    <row r="110" spans="1:29" s="3183" customFormat="1" ht="34.5" customHeight="1">
      <c r="A110" s="3201"/>
      <c r="B110" s="3170"/>
      <c r="C110" s="3202" t="s">
        <v>4201</v>
      </c>
      <c r="D110" s="3203"/>
      <c r="E110" s="3204"/>
      <c r="F110" s="3202"/>
      <c r="G110" s="3205">
        <f>SUM(G88:G109)</f>
        <v>4467</v>
      </c>
      <c r="H110" s="3206"/>
      <c r="I110" s="3204"/>
      <c r="J110" s="3207"/>
      <c r="K110" s="3201"/>
      <c r="L110" s="3208"/>
      <c r="M110" s="3208"/>
      <c r="N110" s="3209"/>
      <c r="O110" s="3209">
        <f>W110/G110/365</f>
        <v>4.5348289587875774</v>
      </c>
      <c r="P110" s="3209"/>
      <c r="Q110" s="3209"/>
      <c r="R110" s="3209"/>
      <c r="S110" s="3208"/>
      <c r="T110" s="3209"/>
      <c r="U110" s="3209"/>
      <c r="V110" s="3209"/>
      <c r="W110" s="3209">
        <f>SUM(W88:W109)</f>
        <v>7393834.5499999998</v>
      </c>
      <c r="X110" s="3210"/>
      <c r="Y110" s="3210"/>
      <c r="Z110" s="3210"/>
      <c r="AA110" s="3211"/>
      <c r="AB110" s="3202"/>
    </row>
    <row r="111" spans="1:29" s="3183" customFormat="1" ht="34.5" customHeight="1">
      <c r="A111" s="3170">
        <v>101</v>
      </c>
      <c r="B111" s="3170">
        <v>106</v>
      </c>
      <c r="C111" s="3171" t="s">
        <v>4202</v>
      </c>
      <c r="D111" s="3172" t="s">
        <v>4203</v>
      </c>
      <c r="E111" s="3173" t="s">
        <v>3857</v>
      </c>
      <c r="F111" s="3171" t="s">
        <v>4204</v>
      </c>
      <c r="G111" s="3174">
        <v>129</v>
      </c>
      <c r="H111" s="3176" t="s">
        <v>4205</v>
      </c>
      <c r="I111" s="3173" t="s">
        <v>4206</v>
      </c>
      <c r="J111" s="3171" t="s">
        <v>4122</v>
      </c>
      <c r="K111" s="3177"/>
      <c r="L111" s="3179"/>
      <c r="M111" s="3179"/>
      <c r="N111" s="3180">
        <v>5.5</v>
      </c>
      <c r="O111" s="3180">
        <f t="shared" ref="O111:O125" si="52">SUM(L111:N111)</f>
        <v>5.5</v>
      </c>
      <c r="P111" s="3180">
        <f>L111*G111*365/12</f>
        <v>0</v>
      </c>
      <c r="Q111" s="3180">
        <f t="shared" ref="Q111:Q116" si="53">M111*G111*365/12</f>
        <v>0</v>
      </c>
      <c r="R111" s="3180">
        <f>N111*G111*365/12</f>
        <v>21580.625</v>
      </c>
      <c r="S111" s="3180">
        <f t="shared" ref="S111:S123" si="54">SUM(P111:R111)</f>
        <v>21580.625</v>
      </c>
      <c r="T111" s="3180">
        <f>P111*AA111</f>
        <v>0</v>
      </c>
      <c r="U111" s="3180">
        <f>Q111*AA111</f>
        <v>0</v>
      </c>
      <c r="V111" s="3180">
        <v>249158.13</v>
      </c>
      <c r="W111" s="3180">
        <f t="shared" ref="W111:W122" si="55">SUM(T111:V111)</f>
        <v>249158.13</v>
      </c>
      <c r="X111" s="3181">
        <v>44713</v>
      </c>
      <c r="Y111" s="3181">
        <v>45808</v>
      </c>
      <c r="Z111" s="3181" t="s">
        <v>3784</v>
      </c>
      <c r="AA111" s="3182">
        <v>12</v>
      </c>
      <c r="AB111" s="3171" t="s">
        <v>4207</v>
      </c>
    </row>
    <row r="112" spans="1:29" s="3183" customFormat="1" ht="34.5" customHeight="1">
      <c r="A112" s="3170">
        <v>110</v>
      </c>
      <c r="B112" s="3170">
        <v>107</v>
      </c>
      <c r="C112" s="3171" t="s">
        <v>4208</v>
      </c>
      <c r="D112" s="3172" t="s">
        <v>4203</v>
      </c>
      <c r="E112" s="3173" t="s">
        <v>3857</v>
      </c>
      <c r="F112" s="3171" t="s">
        <v>4209</v>
      </c>
      <c r="G112" s="3174">
        <v>138</v>
      </c>
      <c r="H112" s="3175" t="s">
        <v>3903</v>
      </c>
      <c r="I112" s="3173" t="s">
        <v>4210</v>
      </c>
      <c r="J112" s="3171" t="s">
        <v>4122</v>
      </c>
      <c r="K112" s="3177"/>
      <c r="L112" s="3179"/>
      <c r="M112" s="3179"/>
      <c r="N112" s="3180">
        <v>4.5</v>
      </c>
      <c r="O112" s="3180">
        <f t="shared" si="52"/>
        <v>4.5</v>
      </c>
      <c r="P112" s="3180">
        <f>L112*G112*365/12</f>
        <v>0</v>
      </c>
      <c r="Q112" s="3180">
        <f t="shared" si="53"/>
        <v>0</v>
      </c>
      <c r="R112" s="3180">
        <f>N112*G112*365/12</f>
        <v>18888.75</v>
      </c>
      <c r="S112" s="3180">
        <f t="shared" si="54"/>
        <v>18888.75</v>
      </c>
      <c r="T112" s="3180">
        <f>P112*AA112</f>
        <v>0</v>
      </c>
      <c r="U112" s="3180">
        <f>Q112*AA112</f>
        <v>0</v>
      </c>
      <c r="V112" s="3180">
        <v>220368.75</v>
      </c>
      <c r="W112" s="3180">
        <f t="shared" si="55"/>
        <v>220368.75</v>
      </c>
      <c r="X112" s="3181">
        <v>44652</v>
      </c>
      <c r="Y112" s="3181">
        <v>46477</v>
      </c>
      <c r="Z112" s="3181" t="s">
        <v>3784</v>
      </c>
      <c r="AA112" s="3182">
        <v>12</v>
      </c>
      <c r="AB112" s="3171" t="s">
        <v>4211</v>
      </c>
    </row>
    <row r="113" spans="1:32" s="3183" customFormat="1" ht="34.5" customHeight="1">
      <c r="A113" s="3170">
        <v>5</v>
      </c>
      <c r="B113" s="3170">
        <v>108</v>
      </c>
      <c r="C113" s="3171" t="s">
        <v>4212</v>
      </c>
      <c r="D113" s="3172" t="s">
        <v>4203</v>
      </c>
      <c r="E113" s="3173" t="s">
        <v>3779</v>
      </c>
      <c r="F113" s="3171" t="s">
        <v>4213</v>
      </c>
      <c r="G113" s="3174">
        <v>214.8</v>
      </c>
      <c r="H113" s="3176" t="s">
        <v>3903</v>
      </c>
      <c r="I113" s="3171" t="s">
        <v>4214</v>
      </c>
      <c r="J113" s="3176" t="s">
        <v>4215</v>
      </c>
      <c r="K113" s="3170"/>
      <c r="L113" s="3179">
        <v>5.1019106655442501</v>
      </c>
      <c r="M113" s="3179">
        <v>0</v>
      </c>
      <c r="N113" s="3180"/>
      <c r="O113" s="3180">
        <f t="shared" si="52"/>
        <v>5.1019106655442501</v>
      </c>
      <c r="P113" s="3180">
        <f>400000/12</f>
        <v>33333.333333333336</v>
      </c>
      <c r="Q113" s="3180">
        <f t="shared" si="53"/>
        <v>0</v>
      </c>
      <c r="R113" s="3180"/>
      <c r="S113" s="3180">
        <f t="shared" si="54"/>
        <v>33333.333333333336</v>
      </c>
      <c r="T113" s="3180">
        <f>P113*AA113</f>
        <v>400000</v>
      </c>
      <c r="U113" s="3180">
        <f>Q113*AA113</f>
        <v>0</v>
      </c>
      <c r="V113" s="3180">
        <f t="shared" ref="V113:V121" si="56">N113*G113*365</f>
        <v>0</v>
      </c>
      <c r="W113" s="3180">
        <f t="shared" si="55"/>
        <v>400000</v>
      </c>
      <c r="X113" s="3181">
        <v>44562</v>
      </c>
      <c r="Y113" s="3181">
        <v>50040</v>
      </c>
      <c r="Z113" s="3181" t="s">
        <v>3784</v>
      </c>
      <c r="AA113" s="3182">
        <v>12</v>
      </c>
      <c r="AB113" s="3171"/>
    </row>
    <row r="114" spans="1:32" s="3183" customFormat="1" ht="34.5" customHeight="1">
      <c r="A114" s="3170">
        <v>171</v>
      </c>
      <c r="B114" s="3170">
        <v>109</v>
      </c>
      <c r="C114" s="3171" t="s">
        <v>4216</v>
      </c>
      <c r="D114" s="3172" t="s">
        <v>4203</v>
      </c>
      <c r="E114" s="3173" t="s">
        <v>3779</v>
      </c>
      <c r="F114" s="3171" t="s">
        <v>4217</v>
      </c>
      <c r="G114" s="3174">
        <v>248</v>
      </c>
      <c r="H114" s="3175" t="s">
        <v>3903</v>
      </c>
      <c r="I114" s="3173" t="s">
        <v>4218</v>
      </c>
      <c r="J114" s="3176" t="s">
        <v>3783</v>
      </c>
      <c r="K114" s="3177"/>
      <c r="L114" s="3179">
        <v>5</v>
      </c>
      <c r="M114" s="3179">
        <v>3</v>
      </c>
      <c r="N114" s="3180"/>
      <c r="O114" s="3180">
        <f t="shared" si="52"/>
        <v>8</v>
      </c>
      <c r="P114" s="3180">
        <f>L114*G114*365/12</f>
        <v>37716.666666666664</v>
      </c>
      <c r="Q114" s="3180">
        <f t="shared" si="53"/>
        <v>22630</v>
      </c>
      <c r="R114" s="3180"/>
      <c r="S114" s="3180">
        <f t="shared" si="54"/>
        <v>60346.666666666664</v>
      </c>
      <c r="T114" s="3180">
        <f>P114*AA114</f>
        <v>452600</v>
      </c>
      <c r="U114" s="3180">
        <f>Q114*AA114</f>
        <v>271560</v>
      </c>
      <c r="V114" s="3180">
        <f t="shared" si="56"/>
        <v>0</v>
      </c>
      <c r="W114" s="3180">
        <f t="shared" si="55"/>
        <v>724160</v>
      </c>
      <c r="X114" s="3181">
        <v>45078</v>
      </c>
      <c r="Y114" s="3181">
        <v>46904</v>
      </c>
      <c r="Z114" s="3181" t="s">
        <v>3784</v>
      </c>
      <c r="AA114" s="3182">
        <v>12</v>
      </c>
      <c r="AB114" s="3171"/>
    </row>
    <row r="115" spans="1:32" s="3183" customFormat="1" ht="34.5" customHeight="1">
      <c r="A115" s="3170">
        <v>211</v>
      </c>
      <c r="B115" s="3170">
        <v>110</v>
      </c>
      <c r="C115" s="3171" t="s">
        <v>4219</v>
      </c>
      <c r="D115" s="3172" t="s">
        <v>4203</v>
      </c>
      <c r="E115" s="3173" t="s">
        <v>3779</v>
      </c>
      <c r="F115" s="3171" t="s">
        <v>4220</v>
      </c>
      <c r="G115" s="3174">
        <v>50</v>
      </c>
      <c r="H115" s="3175" t="s">
        <v>3965</v>
      </c>
      <c r="I115" s="3173" t="s">
        <v>4221</v>
      </c>
      <c r="J115" s="3176" t="s">
        <v>3783</v>
      </c>
      <c r="K115" s="3177"/>
      <c r="L115" s="3179">
        <v>8</v>
      </c>
      <c r="M115" s="3179">
        <v>3</v>
      </c>
      <c r="N115" s="3180"/>
      <c r="O115" s="3180">
        <f t="shared" si="52"/>
        <v>11</v>
      </c>
      <c r="P115" s="3180">
        <f>L115*G115*365/12</f>
        <v>12166.666666666666</v>
      </c>
      <c r="Q115" s="3180">
        <f t="shared" si="53"/>
        <v>4562.5</v>
      </c>
      <c r="R115" s="3180">
        <f>N115*G115*365/12</f>
        <v>0</v>
      </c>
      <c r="S115" s="3180">
        <f t="shared" si="54"/>
        <v>16729.166666666664</v>
      </c>
      <c r="T115" s="3180">
        <v>149041.67000000001</v>
      </c>
      <c r="U115" s="3180">
        <f>Q115*AA115</f>
        <v>54750</v>
      </c>
      <c r="V115" s="3180">
        <f t="shared" si="56"/>
        <v>0</v>
      </c>
      <c r="W115" s="3180">
        <f t="shared" si="55"/>
        <v>203791.67</v>
      </c>
      <c r="X115" s="3181">
        <v>45170</v>
      </c>
      <c r="Y115" s="3181">
        <v>46265</v>
      </c>
      <c r="Z115" s="3181" t="s">
        <v>3784</v>
      </c>
      <c r="AA115" s="3182">
        <v>12</v>
      </c>
      <c r="AB115" s="3171" t="s">
        <v>4222</v>
      </c>
    </row>
    <row r="116" spans="1:32" s="3183" customFormat="1" ht="34.5" customHeight="1">
      <c r="A116" s="3170">
        <v>316</v>
      </c>
      <c r="B116" s="3170">
        <v>111</v>
      </c>
      <c r="C116" s="3190" t="s">
        <v>4223</v>
      </c>
      <c r="D116" s="3172" t="s">
        <v>4203</v>
      </c>
      <c r="E116" s="3173" t="s">
        <v>3779</v>
      </c>
      <c r="F116" s="3171" t="s">
        <v>4224</v>
      </c>
      <c r="G116" s="3174">
        <v>89</v>
      </c>
      <c r="H116" s="3175" t="s">
        <v>4040</v>
      </c>
      <c r="I116" s="3173" t="s">
        <v>4225</v>
      </c>
      <c r="J116" s="3176" t="s">
        <v>3783</v>
      </c>
      <c r="K116" s="3170"/>
      <c r="L116" s="3179"/>
      <c r="M116" s="3179">
        <v>3</v>
      </c>
      <c r="N116" s="3180"/>
      <c r="O116" s="3180">
        <f t="shared" si="52"/>
        <v>3</v>
      </c>
      <c r="P116" s="3180">
        <f>L116*G116*365/12</f>
        <v>0</v>
      </c>
      <c r="Q116" s="3180">
        <f t="shared" si="53"/>
        <v>8121.25</v>
      </c>
      <c r="R116" s="3180">
        <f>N116*G116*365/12</f>
        <v>0</v>
      </c>
      <c r="S116" s="3180">
        <f t="shared" si="54"/>
        <v>8121.25</v>
      </c>
      <c r="T116" s="3180">
        <f t="shared" ref="T116:T120" si="57">P116*AA116</f>
        <v>0</v>
      </c>
      <c r="U116" s="3180">
        <f t="shared" ref="U116:U119" si="58">Q116*AA116</f>
        <v>89333.75</v>
      </c>
      <c r="V116" s="3180">
        <f t="shared" si="56"/>
        <v>0</v>
      </c>
      <c r="W116" s="3180">
        <f t="shared" si="55"/>
        <v>89333.75</v>
      </c>
      <c r="X116" s="3181">
        <v>45303</v>
      </c>
      <c r="Y116" s="3181">
        <v>46446</v>
      </c>
      <c r="Z116" s="3181" t="s">
        <v>3784</v>
      </c>
      <c r="AA116" s="3182">
        <v>11</v>
      </c>
      <c r="AB116" s="3171"/>
    </row>
    <row r="117" spans="1:32" s="3183" customFormat="1" ht="34.5" customHeight="1">
      <c r="A117" s="3170">
        <v>331</v>
      </c>
      <c r="B117" s="3170">
        <v>112</v>
      </c>
      <c r="C117" s="3171" t="s">
        <v>4053</v>
      </c>
      <c r="D117" s="3172" t="s">
        <v>4203</v>
      </c>
      <c r="E117" s="3173" t="s">
        <v>3779</v>
      </c>
      <c r="F117" s="3171" t="s">
        <v>4226</v>
      </c>
      <c r="G117" s="3174">
        <v>22</v>
      </c>
      <c r="H117" s="3215" t="s">
        <v>4227</v>
      </c>
      <c r="I117" s="3173" t="s">
        <v>4180</v>
      </c>
      <c r="J117" s="3176" t="s">
        <v>3783</v>
      </c>
      <c r="K117" s="3177"/>
      <c r="L117" s="3179">
        <v>4.4800000000000004</v>
      </c>
      <c r="M117" s="3179">
        <v>2.99</v>
      </c>
      <c r="N117" s="3180"/>
      <c r="O117" s="3180">
        <f t="shared" si="52"/>
        <v>7.4700000000000006</v>
      </c>
      <c r="P117" s="3180">
        <v>3000</v>
      </c>
      <c r="Q117" s="3180">
        <v>2000</v>
      </c>
      <c r="R117" s="3180"/>
      <c r="S117" s="3180">
        <f t="shared" si="54"/>
        <v>5000</v>
      </c>
      <c r="T117" s="3180">
        <v>25578</v>
      </c>
      <c r="U117" s="3180">
        <v>17052.14</v>
      </c>
      <c r="V117" s="3180">
        <f t="shared" si="56"/>
        <v>0</v>
      </c>
      <c r="W117" s="3180">
        <f t="shared" si="55"/>
        <v>42630.14</v>
      </c>
      <c r="X117" s="3181">
        <v>45397</v>
      </c>
      <c r="Y117" s="3181">
        <v>45747</v>
      </c>
      <c r="Z117" s="3181" t="s">
        <v>3784</v>
      </c>
      <c r="AA117" s="3182">
        <v>8</v>
      </c>
      <c r="AB117" s="3171"/>
    </row>
    <row r="118" spans="1:32" s="3183" customFormat="1" ht="34.5" customHeight="1">
      <c r="A118" s="3170">
        <v>302</v>
      </c>
      <c r="B118" s="3170">
        <v>113</v>
      </c>
      <c r="C118" s="3171" t="s">
        <v>4228</v>
      </c>
      <c r="D118" s="3172" t="s">
        <v>4203</v>
      </c>
      <c r="E118" s="3173" t="s">
        <v>3779</v>
      </c>
      <c r="F118" s="3171" t="s">
        <v>4229</v>
      </c>
      <c r="G118" s="3174">
        <v>486</v>
      </c>
      <c r="H118" s="3175" t="s">
        <v>3903</v>
      </c>
      <c r="I118" s="3173" t="s">
        <v>4230</v>
      </c>
      <c r="J118" s="3176" t="s">
        <v>3783</v>
      </c>
      <c r="K118" s="3177"/>
      <c r="L118" s="3179">
        <v>3.5</v>
      </c>
      <c r="M118" s="3179">
        <v>3</v>
      </c>
      <c r="N118" s="3180"/>
      <c r="O118" s="3180">
        <f t="shared" si="52"/>
        <v>6.5</v>
      </c>
      <c r="P118" s="3180">
        <f>L118*G118*365/12</f>
        <v>51738.75</v>
      </c>
      <c r="Q118" s="3180">
        <f>M118*G118*365/12</f>
        <v>44347.5</v>
      </c>
      <c r="R118" s="3180"/>
      <c r="S118" s="3180">
        <f t="shared" si="54"/>
        <v>96086.25</v>
      </c>
      <c r="T118" s="3180">
        <v>476442</v>
      </c>
      <c r="U118" s="3180">
        <v>402043.5</v>
      </c>
      <c r="V118" s="3180">
        <f t="shared" si="56"/>
        <v>0</v>
      </c>
      <c r="W118" s="3180">
        <f t="shared" si="55"/>
        <v>878485.5</v>
      </c>
      <c r="X118" s="3181">
        <v>45261</v>
      </c>
      <c r="Y118" s="3181">
        <v>47452</v>
      </c>
      <c r="Z118" s="3181" t="s">
        <v>3784</v>
      </c>
      <c r="AA118" s="3182">
        <v>9</v>
      </c>
      <c r="AB118" s="3171" t="s">
        <v>4231</v>
      </c>
    </row>
    <row r="119" spans="1:32" s="3183" customFormat="1" ht="34.5" customHeight="1">
      <c r="A119" s="3170">
        <v>302</v>
      </c>
      <c r="B119" s="3170">
        <v>114</v>
      </c>
      <c r="C119" s="3171" t="s">
        <v>4228</v>
      </c>
      <c r="D119" s="3172" t="s">
        <v>4203</v>
      </c>
      <c r="E119" s="3173" t="s">
        <v>3779</v>
      </c>
      <c r="F119" s="3171" t="s">
        <v>4232</v>
      </c>
      <c r="G119" s="3174">
        <v>207</v>
      </c>
      <c r="H119" s="3175" t="s">
        <v>3903</v>
      </c>
      <c r="I119" s="3173" t="s">
        <v>4230</v>
      </c>
      <c r="J119" s="3176" t="s">
        <v>3783</v>
      </c>
      <c r="K119" s="3177"/>
      <c r="L119" s="3179">
        <v>3</v>
      </c>
      <c r="M119" s="3179"/>
      <c r="N119" s="3180"/>
      <c r="O119" s="3180">
        <f t="shared" si="52"/>
        <v>3</v>
      </c>
      <c r="P119" s="3180">
        <f>L119*G119*365/12</f>
        <v>18888.75</v>
      </c>
      <c r="Q119" s="3180"/>
      <c r="R119" s="3180"/>
      <c r="S119" s="3180">
        <f t="shared" si="54"/>
        <v>18888.75</v>
      </c>
      <c r="T119" s="3180">
        <v>18888.75</v>
      </c>
      <c r="U119" s="3180">
        <f t="shared" si="58"/>
        <v>0</v>
      </c>
      <c r="V119" s="3180">
        <f t="shared" si="56"/>
        <v>0</v>
      </c>
      <c r="W119" s="3180">
        <f t="shared" si="55"/>
        <v>18888.75</v>
      </c>
      <c r="X119" s="3181">
        <v>45261</v>
      </c>
      <c r="Y119" s="3181">
        <v>47452</v>
      </c>
      <c r="Z119" s="3181" t="s">
        <v>3784</v>
      </c>
      <c r="AA119" s="3182">
        <v>1</v>
      </c>
      <c r="AB119" s="3171"/>
    </row>
    <row r="120" spans="1:32" s="3183" customFormat="1" ht="34.5" customHeight="1">
      <c r="A120" s="3170">
        <v>307</v>
      </c>
      <c r="B120" s="3170">
        <v>115</v>
      </c>
      <c r="C120" s="3171" t="s">
        <v>4233</v>
      </c>
      <c r="D120" s="3172" t="s">
        <v>4203</v>
      </c>
      <c r="E120" s="3173" t="s">
        <v>3779</v>
      </c>
      <c r="F120" s="3171" t="s">
        <v>4234</v>
      </c>
      <c r="G120" s="3174">
        <v>133</v>
      </c>
      <c r="H120" s="3175" t="s">
        <v>4235</v>
      </c>
      <c r="I120" s="3173" t="s">
        <v>4236</v>
      </c>
      <c r="J120" s="3176" t="s">
        <v>3783</v>
      </c>
      <c r="K120" s="3170"/>
      <c r="L120" s="3185"/>
      <c r="M120" s="3179">
        <v>3</v>
      </c>
      <c r="N120" s="3180"/>
      <c r="O120" s="3180">
        <f t="shared" si="52"/>
        <v>3</v>
      </c>
      <c r="P120" s="3180"/>
      <c r="Q120" s="3216">
        <f>M120*G120*365/12</f>
        <v>12136.25</v>
      </c>
      <c r="R120" s="3216"/>
      <c r="S120" s="3180">
        <f t="shared" si="54"/>
        <v>12136.25</v>
      </c>
      <c r="T120" s="3180">
        <f t="shared" si="57"/>
        <v>0</v>
      </c>
      <c r="U120" s="3180">
        <v>109625.25</v>
      </c>
      <c r="V120" s="3180">
        <f t="shared" si="56"/>
        <v>0</v>
      </c>
      <c r="W120" s="3180">
        <f t="shared" si="55"/>
        <v>109625.25</v>
      </c>
      <c r="X120" s="3181">
        <v>45352</v>
      </c>
      <c r="Y120" s="3181">
        <v>46446</v>
      </c>
      <c r="Z120" s="3181" t="s">
        <v>3784</v>
      </c>
      <c r="AA120" s="3182">
        <v>9</v>
      </c>
      <c r="AB120" s="3171"/>
    </row>
    <row r="121" spans="1:32" s="3183" customFormat="1" ht="34.5" customHeight="1">
      <c r="A121" s="3170">
        <v>296</v>
      </c>
      <c r="B121" s="3170">
        <v>116</v>
      </c>
      <c r="C121" s="3171" t="s">
        <v>4237</v>
      </c>
      <c r="D121" s="3172" t="s">
        <v>4203</v>
      </c>
      <c r="E121" s="3173" t="s">
        <v>3779</v>
      </c>
      <c r="F121" s="3171" t="s">
        <v>4238</v>
      </c>
      <c r="G121" s="3174">
        <v>88</v>
      </c>
      <c r="H121" s="3175" t="s">
        <v>3903</v>
      </c>
      <c r="I121" s="3173" t="s">
        <v>4239</v>
      </c>
      <c r="J121" s="3176" t="s">
        <v>3783</v>
      </c>
      <c r="K121" s="3177"/>
      <c r="L121" s="3179">
        <v>7</v>
      </c>
      <c r="M121" s="3179">
        <v>3</v>
      </c>
      <c r="N121" s="3180"/>
      <c r="O121" s="3180">
        <f t="shared" si="52"/>
        <v>10</v>
      </c>
      <c r="P121" s="3180">
        <f>L121*G121*365/12</f>
        <v>18736.666666666668</v>
      </c>
      <c r="Q121" s="3180">
        <f>M121*G121*365/12</f>
        <v>8030</v>
      </c>
      <c r="R121" s="3180"/>
      <c r="S121" s="3179">
        <f t="shared" si="54"/>
        <v>26766.666666666668</v>
      </c>
      <c r="T121" s="3180">
        <v>228587.33</v>
      </c>
      <c r="U121" s="3180">
        <f>M121*G121*365</f>
        <v>96360</v>
      </c>
      <c r="V121" s="3180">
        <f t="shared" si="56"/>
        <v>0</v>
      </c>
      <c r="W121" s="3180">
        <f t="shared" si="55"/>
        <v>324947.32999999996</v>
      </c>
      <c r="X121" s="3181">
        <v>45240</v>
      </c>
      <c r="Y121" s="3181">
        <v>46326</v>
      </c>
      <c r="Z121" s="3181" t="s">
        <v>3784</v>
      </c>
      <c r="AA121" s="3182">
        <v>12</v>
      </c>
      <c r="AB121" s="3171" t="s">
        <v>4240</v>
      </c>
    </row>
    <row r="122" spans="1:32" s="3183" customFormat="1" ht="34.5" customHeight="1">
      <c r="A122" s="3170"/>
      <c r="B122" s="3170">
        <v>117</v>
      </c>
      <c r="C122" s="3171" t="s">
        <v>4241</v>
      </c>
      <c r="D122" s="3172" t="s">
        <v>4203</v>
      </c>
      <c r="E122" s="3173" t="s">
        <v>3779</v>
      </c>
      <c r="F122" s="3188" t="s">
        <v>4242</v>
      </c>
      <c r="G122" s="3174">
        <v>178</v>
      </c>
      <c r="H122" s="3175" t="s">
        <v>4243</v>
      </c>
      <c r="I122" s="3173" t="s">
        <v>4244</v>
      </c>
      <c r="J122" s="3176" t="s">
        <v>4245</v>
      </c>
      <c r="K122" s="3170"/>
      <c r="L122" s="3179"/>
      <c r="M122" s="3179"/>
      <c r="N122" s="3180">
        <v>3</v>
      </c>
      <c r="O122" s="3180">
        <f t="shared" si="52"/>
        <v>3</v>
      </c>
      <c r="P122" s="3180">
        <f>L122*G122*365/12</f>
        <v>0</v>
      </c>
      <c r="Q122" s="3180">
        <f>M122*G122*365/12</f>
        <v>0</v>
      </c>
      <c r="R122" s="3217">
        <v>16242.5</v>
      </c>
      <c r="S122" s="3179">
        <f t="shared" si="54"/>
        <v>16242.5</v>
      </c>
      <c r="T122" s="3180">
        <f>L122*G122*365</f>
        <v>0</v>
      </c>
      <c r="U122" s="3180">
        <f>M122*G122*365</f>
        <v>0</v>
      </c>
      <c r="V122" s="3180">
        <v>130474</v>
      </c>
      <c r="W122" s="3180">
        <f t="shared" si="55"/>
        <v>130474</v>
      </c>
      <c r="X122" s="3181">
        <v>45352</v>
      </c>
      <c r="Y122" s="3181">
        <v>46446</v>
      </c>
      <c r="Z122" s="3181" t="s">
        <v>3784</v>
      </c>
      <c r="AA122" s="3182">
        <v>8</v>
      </c>
      <c r="AB122" s="3171" t="s">
        <v>3851</v>
      </c>
      <c r="AF122" s="3184"/>
    </row>
    <row r="123" spans="1:32" s="3183" customFormat="1" ht="34.5" customHeight="1">
      <c r="A123" s="3170">
        <v>182</v>
      </c>
      <c r="B123" s="3170">
        <v>118</v>
      </c>
      <c r="C123" s="3171" t="s">
        <v>4246</v>
      </c>
      <c r="D123" s="3172" t="s">
        <v>4203</v>
      </c>
      <c r="E123" s="3173" t="s">
        <v>3779</v>
      </c>
      <c r="F123" s="3171" t="s">
        <v>4247</v>
      </c>
      <c r="G123" s="3174">
        <v>110</v>
      </c>
      <c r="H123" s="3175" t="s">
        <v>3903</v>
      </c>
      <c r="I123" s="3173" t="s">
        <v>4248</v>
      </c>
      <c r="J123" s="3176" t="s">
        <v>4249</v>
      </c>
      <c r="K123" s="3177">
        <v>0.1</v>
      </c>
      <c r="L123" s="3179">
        <v>3</v>
      </c>
      <c r="M123" s="3179">
        <v>3</v>
      </c>
      <c r="N123" s="3180"/>
      <c r="O123" s="3180">
        <f t="shared" si="52"/>
        <v>6</v>
      </c>
      <c r="P123" s="3180">
        <f>L123*G123*365/12</f>
        <v>10037.5</v>
      </c>
      <c r="Q123" s="3180">
        <f>M123*G123*365/12</f>
        <v>10037.5</v>
      </c>
      <c r="R123" s="3180"/>
      <c r="S123" s="3180">
        <f t="shared" si="54"/>
        <v>20075</v>
      </c>
      <c r="T123" s="3180">
        <f t="shared" ref="T123" si="59">L123*G123*365</f>
        <v>120450</v>
      </c>
      <c r="U123" s="3180">
        <f t="shared" ref="U123" si="60">M123*G123*365</f>
        <v>120450</v>
      </c>
      <c r="V123" s="3180">
        <f t="shared" ref="V123" si="61">N123*G123*365</f>
        <v>0</v>
      </c>
      <c r="W123" s="3180">
        <f t="shared" ref="W123" si="62">SUM(T123:V123)</f>
        <v>240900</v>
      </c>
      <c r="X123" s="3181">
        <v>45089</v>
      </c>
      <c r="Y123" s="3181">
        <v>46934</v>
      </c>
      <c r="Z123" s="3181" t="s">
        <v>3784</v>
      </c>
      <c r="AA123" s="3182">
        <v>12</v>
      </c>
      <c r="AB123" s="3171"/>
    </row>
    <row r="124" spans="1:32" s="3189" customFormat="1" ht="27" customHeight="1">
      <c r="A124" s="3199"/>
      <c r="B124" s="3170">
        <v>119</v>
      </c>
      <c r="C124" s="3171" t="s">
        <v>4250</v>
      </c>
      <c r="D124" s="3170" t="s">
        <v>4203</v>
      </c>
      <c r="E124" s="3191" t="s">
        <v>3779</v>
      </c>
      <c r="F124" s="3171" t="s">
        <v>4251</v>
      </c>
      <c r="G124" s="3192">
        <v>49</v>
      </c>
      <c r="H124" s="3170" t="s">
        <v>3781</v>
      </c>
      <c r="I124" s="3170" t="s">
        <v>4252</v>
      </c>
      <c r="J124" s="3170" t="s">
        <v>3783</v>
      </c>
      <c r="K124" s="3177"/>
      <c r="L124" s="3178">
        <v>20.483365949119399</v>
      </c>
      <c r="M124" s="3178">
        <v>3</v>
      </c>
      <c r="N124" s="3178"/>
      <c r="O124" s="3178">
        <f t="shared" si="52"/>
        <v>23.483365949119399</v>
      </c>
      <c r="P124" s="3174">
        <v>30528.75</v>
      </c>
      <c r="Q124" s="3174">
        <v>4471.25</v>
      </c>
      <c r="R124" s="3174"/>
      <c r="S124" s="3174">
        <f t="shared" ref="S124:S125" si="63">SUM(P124:R124)</f>
        <v>35000</v>
      </c>
      <c r="T124" s="3174">
        <v>61057.5</v>
      </c>
      <c r="U124" s="3174">
        <v>8942.5</v>
      </c>
      <c r="V124" s="3174">
        <v>0</v>
      </c>
      <c r="W124" s="3174">
        <f t="shared" ref="W124:W125" si="64">SUM(T124:V124)</f>
        <v>70000</v>
      </c>
      <c r="X124" s="3181">
        <v>44440</v>
      </c>
      <c r="Y124" s="3181">
        <v>45351</v>
      </c>
      <c r="Z124" s="3170"/>
      <c r="AA124" s="3182">
        <v>2</v>
      </c>
      <c r="AB124" s="3170"/>
      <c r="AC124" s="3170"/>
    </row>
    <row r="125" spans="1:32" s="3189" customFormat="1" ht="28.5" customHeight="1">
      <c r="A125" s="3199"/>
      <c r="B125" s="3170">
        <v>120</v>
      </c>
      <c r="C125" s="3171" t="s">
        <v>4253</v>
      </c>
      <c r="D125" s="3170" t="s">
        <v>4203</v>
      </c>
      <c r="E125" s="3191" t="s">
        <v>3857</v>
      </c>
      <c r="F125" s="3171" t="s">
        <v>4254</v>
      </c>
      <c r="G125" s="3192">
        <v>286</v>
      </c>
      <c r="H125" s="3170" t="s">
        <v>4255</v>
      </c>
      <c r="I125" s="3170" t="s">
        <v>4256</v>
      </c>
      <c r="J125" s="3170" t="s">
        <v>4122</v>
      </c>
      <c r="K125" s="3177"/>
      <c r="L125" s="3178"/>
      <c r="M125" s="3178"/>
      <c r="N125" s="3178">
        <v>3</v>
      </c>
      <c r="O125" s="3178">
        <f t="shared" si="52"/>
        <v>3</v>
      </c>
      <c r="P125" s="3174">
        <v>0</v>
      </c>
      <c r="Q125" s="3174"/>
      <c r="R125" s="3174">
        <v>26097.5</v>
      </c>
      <c r="S125" s="3174">
        <f t="shared" si="63"/>
        <v>26097.5</v>
      </c>
      <c r="T125" s="3174">
        <v>0</v>
      </c>
      <c r="U125" s="3174">
        <v>0</v>
      </c>
      <c r="V125" s="3174">
        <v>78292.5</v>
      </c>
      <c r="W125" s="3174">
        <f t="shared" si="64"/>
        <v>78292.5</v>
      </c>
      <c r="X125" s="3181">
        <v>44459</v>
      </c>
      <c r="Y125" s="3181">
        <v>46649</v>
      </c>
      <c r="Z125" s="3170"/>
      <c r="AA125" s="3182">
        <v>3</v>
      </c>
      <c r="AB125" s="3170"/>
      <c r="AC125" s="3170"/>
    </row>
    <row r="126" spans="1:32" s="3183" customFormat="1" ht="34.5" customHeight="1">
      <c r="A126" s="3201"/>
      <c r="B126" s="3170"/>
      <c r="C126" s="3202" t="s">
        <v>4257</v>
      </c>
      <c r="D126" s="3203"/>
      <c r="E126" s="3204"/>
      <c r="F126" s="3202"/>
      <c r="G126" s="3205">
        <f>SUM(G111:G125)</f>
        <v>2427.8000000000002</v>
      </c>
      <c r="H126" s="3205">
        <f t="shared" ref="H126:R126" si="65">SUM(H110:H125)</f>
        <v>0</v>
      </c>
      <c r="I126" s="3205">
        <f t="shared" si="65"/>
        <v>0</v>
      </c>
      <c r="J126" s="3205">
        <f t="shared" si="65"/>
        <v>0</v>
      </c>
      <c r="K126" s="3218"/>
      <c r="L126" s="3205">
        <f t="shared" si="65"/>
        <v>59.565276614663645</v>
      </c>
      <c r="M126" s="3205">
        <f t="shared" si="65"/>
        <v>26.990000000000002</v>
      </c>
      <c r="N126" s="3205">
        <f t="shared" si="65"/>
        <v>16</v>
      </c>
      <c r="O126" s="3205">
        <f>W126/G126/365</f>
        <v>4.2668493714925395</v>
      </c>
      <c r="P126" s="3205">
        <f t="shared" si="65"/>
        <v>216147.08333333334</v>
      </c>
      <c r="Q126" s="3205">
        <f t="shared" si="65"/>
        <v>116336.25</v>
      </c>
      <c r="R126" s="3205">
        <f t="shared" si="65"/>
        <v>82809.375</v>
      </c>
      <c r="S126" s="3205">
        <f>SUM(S111:S125)</f>
        <v>415292.70833333331</v>
      </c>
      <c r="T126" s="3205">
        <f t="shared" ref="T126:W126" si="66">SUM(T111:T125)</f>
        <v>1932645.25</v>
      </c>
      <c r="U126" s="3205">
        <f t="shared" si="66"/>
        <v>1170117.1400000001</v>
      </c>
      <c r="V126" s="3205">
        <f t="shared" si="66"/>
        <v>678293.38</v>
      </c>
      <c r="W126" s="3205">
        <f t="shared" si="66"/>
        <v>3781055.7699999996</v>
      </c>
      <c r="X126" s="3210"/>
      <c r="Y126" s="3210"/>
      <c r="Z126" s="3210"/>
      <c r="AA126" s="3211"/>
      <c r="AB126" s="3202"/>
      <c r="AE126" s="3184"/>
    </row>
    <row r="127" spans="1:32" s="3183" customFormat="1" ht="34.5" customHeight="1">
      <c r="A127" s="3170">
        <v>2</v>
      </c>
      <c r="B127" s="3170">
        <v>121</v>
      </c>
      <c r="C127" s="3171" t="s">
        <v>4258</v>
      </c>
      <c r="D127" s="3172" t="s">
        <v>4259</v>
      </c>
      <c r="E127" s="3173" t="s">
        <v>3779</v>
      </c>
      <c r="F127" s="3171" t="s">
        <v>4260</v>
      </c>
      <c r="G127" s="3174">
        <v>598</v>
      </c>
      <c r="H127" s="3176" t="s">
        <v>4261</v>
      </c>
      <c r="I127" s="3171" t="s">
        <v>4262</v>
      </c>
      <c r="J127" s="3171" t="s">
        <v>3783</v>
      </c>
      <c r="K127" s="3177"/>
      <c r="L127" s="3179">
        <v>8.1021369863013692</v>
      </c>
      <c r="M127" s="3179">
        <v>1.1418082191780801</v>
      </c>
      <c r="N127" s="3180"/>
      <c r="O127" s="3180">
        <f t="shared" si="42"/>
        <v>9.2439452054794486</v>
      </c>
      <c r="P127" s="3180">
        <v>147371.12</v>
      </c>
      <c r="Q127" s="3180">
        <f>34.73*G127</f>
        <v>20768.539999999997</v>
      </c>
      <c r="R127" s="3180"/>
      <c r="S127" s="3180">
        <f t="shared" si="43"/>
        <v>168139.66</v>
      </c>
      <c r="T127" s="3180">
        <f t="shared" si="44"/>
        <v>1768453.4399999997</v>
      </c>
      <c r="U127" s="3180">
        <f t="shared" si="45"/>
        <v>249222.47999999954</v>
      </c>
      <c r="V127" s="3180">
        <f t="shared" si="47"/>
        <v>0</v>
      </c>
      <c r="W127" s="3180">
        <f t="shared" si="46"/>
        <v>2017675.9199999992</v>
      </c>
      <c r="X127" s="3181">
        <v>43348</v>
      </c>
      <c r="Y127" s="3181">
        <v>46269</v>
      </c>
      <c r="Z127" s="3181" t="s">
        <v>3784</v>
      </c>
      <c r="AA127" s="3182">
        <v>12</v>
      </c>
      <c r="AB127" s="3171"/>
    </row>
    <row r="128" spans="1:32" s="3183" customFormat="1" ht="34.5" customHeight="1">
      <c r="A128" s="3170">
        <v>3</v>
      </c>
      <c r="B128" s="3170">
        <v>122</v>
      </c>
      <c r="C128" s="3171" t="s">
        <v>4263</v>
      </c>
      <c r="D128" s="3172" t="s">
        <v>4259</v>
      </c>
      <c r="E128" s="3173" t="s">
        <v>3779</v>
      </c>
      <c r="F128" s="3171" t="s">
        <v>4264</v>
      </c>
      <c r="G128" s="3174">
        <v>54</v>
      </c>
      <c r="H128" s="3176" t="s">
        <v>3791</v>
      </c>
      <c r="I128" s="3171" t="s">
        <v>4265</v>
      </c>
      <c r="J128" s="3171" t="s">
        <v>3783</v>
      </c>
      <c r="K128" s="3177"/>
      <c r="L128" s="3179">
        <v>12.08</v>
      </c>
      <c r="M128" s="3179">
        <v>3.2900030441400299</v>
      </c>
      <c r="N128" s="3180"/>
      <c r="O128" s="3180">
        <f t="shared" si="42"/>
        <v>15.370003044140031</v>
      </c>
      <c r="P128" s="3180">
        <v>19841.400000000001</v>
      </c>
      <c r="Q128" s="3180">
        <v>5403.83</v>
      </c>
      <c r="R128" s="3180"/>
      <c r="S128" s="3180">
        <f t="shared" si="43"/>
        <v>25245.230000000003</v>
      </c>
      <c r="T128" s="3180">
        <v>239739.3</v>
      </c>
      <c r="U128" s="3180">
        <f t="shared" si="45"/>
        <v>64845.959999999985</v>
      </c>
      <c r="V128" s="3180">
        <f t="shared" si="47"/>
        <v>0</v>
      </c>
      <c r="W128" s="3180">
        <f t="shared" si="46"/>
        <v>304585.25999999995</v>
      </c>
      <c r="X128" s="3181">
        <v>43709</v>
      </c>
      <c r="Y128" s="3181">
        <v>46326</v>
      </c>
      <c r="Z128" s="3181" t="s">
        <v>3784</v>
      </c>
      <c r="AA128" s="3182">
        <v>12</v>
      </c>
      <c r="AB128" s="3171" t="s">
        <v>4266</v>
      </c>
    </row>
    <row r="129" spans="1:28" s="3183" customFormat="1" ht="34.5" customHeight="1">
      <c r="A129" s="3170">
        <v>78</v>
      </c>
      <c r="B129" s="3170">
        <v>123</v>
      </c>
      <c r="C129" s="3171" t="s">
        <v>4267</v>
      </c>
      <c r="D129" s="3172" t="s">
        <v>4259</v>
      </c>
      <c r="E129" s="3173" t="s">
        <v>3779</v>
      </c>
      <c r="F129" s="3188" t="s">
        <v>4268</v>
      </c>
      <c r="G129" s="3174">
        <v>116</v>
      </c>
      <c r="H129" s="3176" t="s">
        <v>4269</v>
      </c>
      <c r="I129" s="3171" t="s">
        <v>4270</v>
      </c>
      <c r="J129" s="3171" t="s">
        <v>3783</v>
      </c>
      <c r="K129" s="3177"/>
      <c r="L129" s="3179">
        <v>13</v>
      </c>
      <c r="M129" s="3179">
        <v>3</v>
      </c>
      <c r="N129" s="3180"/>
      <c r="O129" s="3180">
        <f t="shared" si="42"/>
        <v>16</v>
      </c>
      <c r="P129" s="3180">
        <f>L129*G129*365/12</f>
        <v>45868.333333333336</v>
      </c>
      <c r="Q129" s="3180">
        <f>M129*G129*365/12</f>
        <v>10585</v>
      </c>
      <c r="R129" s="3180"/>
      <c r="S129" s="3180">
        <f t="shared" si="43"/>
        <v>56453.333333333336</v>
      </c>
      <c r="T129" s="3180">
        <f>P129*AA129</f>
        <v>504551.66666666669</v>
      </c>
      <c r="U129" s="3180">
        <f>Q129*AA129</f>
        <v>116435</v>
      </c>
      <c r="V129" s="3180">
        <f t="shared" si="47"/>
        <v>0</v>
      </c>
      <c r="W129" s="3180">
        <f t="shared" si="46"/>
        <v>620986.66666666674</v>
      </c>
      <c r="X129" s="3181">
        <v>44531</v>
      </c>
      <c r="Y129" s="3181">
        <v>45626</v>
      </c>
      <c r="Z129" s="3181" t="s">
        <v>3784</v>
      </c>
      <c r="AA129" s="3182">
        <v>11</v>
      </c>
      <c r="AB129" s="3171"/>
    </row>
    <row r="130" spans="1:28" s="3183" customFormat="1" ht="34.5" customHeight="1">
      <c r="A130" s="3170">
        <v>86</v>
      </c>
      <c r="B130" s="3170">
        <v>124</v>
      </c>
      <c r="C130" s="3171" t="s">
        <v>4271</v>
      </c>
      <c r="D130" s="3172" t="s">
        <v>4259</v>
      </c>
      <c r="E130" s="3173" t="s">
        <v>3779</v>
      </c>
      <c r="F130" s="3188" t="s">
        <v>4272</v>
      </c>
      <c r="G130" s="3174">
        <v>118</v>
      </c>
      <c r="H130" s="3176" t="s">
        <v>3903</v>
      </c>
      <c r="I130" s="3171" t="s">
        <v>4273</v>
      </c>
      <c r="J130" s="3176" t="s">
        <v>4215</v>
      </c>
      <c r="K130" s="3177"/>
      <c r="L130" s="3179">
        <v>7.0000009287206897</v>
      </c>
      <c r="M130" s="3179">
        <v>2.95890410958904</v>
      </c>
      <c r="N130" s="3180"/>
      <c r="O130" s="3180">
        <f t="shared" si="42"/>
        <v>9.9589050383097302</v>
      </c>
      <c r="P130" s="3180">
        <v>25124.17</v>
      </c>
      <c r="Q130" s="3180">
        <v>10620</v>
      </c>
      <c r="R130" s="3180"/>
      <c r="S130" s="3180">
        <f t="shared" si="43"/>
        <v>35744.17</v>
      </c>
      <c r="T130" s="3180">
        <f t="shared" si="44"/>
        <v>301490.0400000001</v>
      </c>
      <c r="U130" s="3180">
        <f t="shared" si="45"/>
        <v>127439.99999999994</v>
      </c>
      <c r="V130" s="3180">
        <f t="shared" si="47"/>
        <v>0</v>
      </c>
      <c r="W130" s="3180">
        <f t="shared" si="46"/>
        <v>428930.04000000004</v>
      </c>
      <c r="X130" s="3181">
        <v>44561</v>
      </c>
      <c r="Y130" s="3181">
        <v>48121</v>
      </c>
      <c r="Z130" s="3181" t="s">
        <v>3784</v>
      </c>
      <c r="AA130" s="3182">
        <v>12</v>
      </c>
      <c r="AB130" s="3171"/>
    </row>
    <row r="131" spans="1:28" s="3183" customFormat="1" ht="34.5" customHeight="1">
      <c r="A131" s="3170">
        <v>123</v>
      </c>
      <c r="B131" s="3170">
        <v>125</v>
      </c>
      <c r="C131" s="3171" t="s">
        <v>4274</v>
      </c>
      <c r="D131" s="3172" t="s">
        <v>4259</v>
      </c>
      <c r="E131" s="3173" t="s">
        <v>3779</v>
      </c>
      <c r="F131" s="3171" t="s">
        <v>4275</v>
      </c>
      <c r="G131" s="3174">
        <v>253</v>
      </c>
      <c r="H131" s="3176" t="s">
        <v>4269</v>
      </c>
      <c r="I131" s="3171" t="s">
        <v>4276</v>
      </c>
      <c r="J131" s="3176" t="s">
        <v>3783</v>
      </c>
      <c r="K131" s="3177"/>
      <c r="L131" s="3179">
        <v>14</v>
      </c>
      <c r="M131" s="3179">
        <v>3</v>
      </c>
      <c r="N131" s="3180"/>
      <c r="O131" s="3180">
        <f t="shared" si="42"/>
        <v>17</v>
      </c>
      <c r="P131" s="3180">
        <f>L131*G131*365/12</f>
        <v>107735.83333333333</v>
      </c>
      <c r="Q131" s="3180">
        <f>M131*G131*365/12</f>
        <v>23086.25</v>
      </c>
      <c r="R131" s="3180"/>
      <c r="S131" s="3180">
        <f t="shared" si="43"/>
        <v>130822.08333333333</v>
      </c>
      <c r="T131" s="3180">
        <v>1323611.67</v>
      </c>
      <c r="U131" s="3180">
        <f t="shared" si="45"/>
        <v>277035</v>
      </c>
      <c r="V131" s="3180">
        <f t="shared" si="47"/>
        <v>0</v>
      </c>
      <c r="W131" s="3180">
        <f t="shared" si="46"/>
        <v>1600646.67</v>
      </c>
      <c r="X131" s="3181">
        <v>44805</v>
      </c>
      <c r="Y131" s="3181">
        <v>46265</v>
      </c>
      <c r="Z131" s="3181" t="s">
        <v>3784</v>
      </c>
      <c r="AA131" s="3182">
        <v>12</v>
      </c>
      <c r="AB131" s="3171" t="s">
        <v>4277</v>
      </c>
    </row>
    <row r="132" spans="1:28" s="3183" customFormat="1" ht="34.5" customHeight="1">
      <c r="A132" s="3170"/>
      <c r="B132" s="3170">
        <v>126</v>
      </c>
      <c r="C132" s="3171" t="s">
        <v>4278</v>
      </c>
      <c r="D132" s="3172" t="s">
        <v>4259</v>
      </c>
      <c r="E132" s="3173" t="s">
        <v>3779</v>
      </c>
      <c r="F132" s="3171" t="s">
        <v>4275</v>
      </c>
      <c r="G132" s="3174">
        <v>207.62</v>
      </c>
      <c r="H132" s="3176" t="s">
        <v>4279</v>
      </c>
      <c r="I132" s="3171" t="s">
        <v>4280</v>
      </c>
      <c r="J132" s="3176" t="s">
        <v>4072</v>
      </c>
      <c r="K132" s="3177"/>
      <c r="L132" s="3179"/>
      <c r="M132" s="3179"/>
      <c r="N132" s="3180"/>
      <c r="O132" s="3180">
        <v>4.5</v>
      </c>
      <c r="P132" s="3180"/>
      <c r="Q132" s="3180"/>
      <c r="R132" s="3180"/>
      <c r="S132" s="3180">
        <f>4.5*207.62*365/12</f>
        <v>28417.987499999999</v>
      </c>
      <c r="T132" s="3180"/>
      <c r="U132" s="3180"/>
      <c r="V132" s="3180">
        <f t="shared" si="47"/>
        <v>0</v>
      </c>
      <c r="W132" s="3180">
        <f>S132*12</f>
        <v>341015.85</v>
      </c>
      <c r="X132" s="3181">
        <v>44562</v>
      </c>
      <c r="Y132" s="3181">
        <v>48213</v>
      </c>
      <c r="Z132" s="3181"/>
      <c r="AA132" s="3182"/>
      <c r="AB132" s="3171"/>
    </row>
    <row r="133" spans="1:28" s="3183" customFormat="1" ht="34.5" customHeight="1">
      <c r="A133" s="3170">
        <v>124</v>
      </c>
      <c r="B133" s="3170">
        <v>127</v>
      </c>
      <c r="C133" s="3171" t="s">
        <v>4281</v>
      </c>
      <c r="D133" s="3172" t="s">
        <v>4259</v>
      </c>
      <c r="E133" s="3173" t="s">
        <v>3779</v>
      </c>
      <c r="F133" s="3171" t="s">
        <v>4275</v>
      </c>
      <c r="G133" s="3174">
        <v>97</v>
      </c>
      <c r="H133" s="3176" t="s">
        <v>4269</v>
      </c>
      <c r="I133" s="3171" t="s">
        <v>4282</v>
      </c>
      <c r="J133" s="3176" t="s">
        <v>3783</v>
      </c>
      <c r="K133" s="3177"/>
      <c r="L133" s="3179">
        <v>14</v>
      </c>
      <c r="M133" s="3179">
        <v>3</v>
      </c>
      <c r="N133" s="3180"/>
      <c r="O133" s="3180">
        <f t="shared" si="42"/>
        <v>17</v>
      </c>
      <c r="P133" s="3180">
        <f>L133*G133*365/12</f>
        <v>41305.833333333336</v>
      </c>
      <c r="Q133" s="3180">
        <f>M133*G133*365/12</f>
        <v>8851.25</v>
      </c>
      <c r="R133" s="3180"/>
      <c r="S133" s="3180">
        <f t="shared" si="43"/>
        <v>50157.083333333336</v>
      </c>
      <c r="T133" s="3180">
        <v>507471.67</v>
      </c>
      <c r="U133" s="3180">
        <f t="shared" si="45"/>
        <v>106215</v>
      </c>
      <c r="V133" s="3180">
        <f t="shared" si="47"/>
        <v>0</v>
      </c>
      <c r="W133" s="3180">
        <f t="shared" si="46"/>
        <v>613686.66999999993</v>
      </c>
      <c r="X133" s="3181">
        <v>44805</v>
      </c>
      <c r="Y133" s="3181">
        <v>46265</v>
      </c>
      <c r="Z133" s="3181" t="s">
        <v>3784</v>
      </c>
      <c r="AA133" s="3182">
        <v>12</v>
      </c>
      <c r="AB133" s="3171" t="s">
        <v>4277</v>
      </c>
    </row>
    <row r="134" spans="1:28" s="3183" customFormat="1" ht="34.5" customHeight="1">
      <c r="A134" s="3170">
        <v>292</v>
      </c>
      <c r="B134" s="3170">
        <v>128</v>
      </c>
      <c r="C134" s="3171" t="s">
        <v>4283</v>
      </c>
      <c r="D134" s="3172" t="s">
        <v>4259</v>
      </c>
      <c r="E134" s="3173" t="s">
        <v>3779</v>
      </c>
      <c r="F134" s="3171" t="s">
        <v>4284</v>
      </c>
      <c r="G134" s="3174">
        <v>54</v>
      </c>
      <c r="H134" s="3175" t="s">
        <v>4285</v>
      </c>
      <c r="I134" s="3173" t="s">
        <v>4286</v>
      </c>
      <c r="J134" s="3176" t="s">
        <v>3783</v>
      </c>
      <c r="K134" s="3177"/>
      <c r="L134" s="3179">
        <v>12</v>
      </c>
      <c r="M134" s="3179">
        <v>3</v>
      </c>
      <c r="N134" s="3180"/>
      <c r="O134" s="3180">
        <f t="shared" si="42"/>
        <v>15</v>
      </c>
      <c r="P134" s="3180">
        <f>L134*G134*365/12</f>
        <v>19710</v>
      </c>
      <c r="Q134" s="3180">
        <f>M134*G134*365/12</f>
        <v>4927.5</v>
      </c>
      <c r="R134" s="3180"/>
      <c r="S134" s="3179">
        <f t="shared" si="43"/>
        <v>24637.5</v>
      </c>
      <c r="T134" s="3180">
        <v>238162.5</v>
      </c>
      <c r="U134" s="3180">
        <f t="shared" si="45"/>
        <v>59130</v>
      </c>
      <c r="V134" s="3180">
        <f t="shared" si="47"/>
        <v>0</v>
      </c>
      <c r="W134" s="3180">
        <f t="shared" si="46"/>
        <v>297292.5</v>
      </c>
      <c r="X134" s="3181">
        <v>45231</v>
      </c>
      <c r="Y134" s="3181">
        <v>46326</v>
      </c>
      <c r="Z134" s="3181" t="s">
        <v>3784</v>
      </c>
      <c r="AA134" s="3182">
        <v>12</v>
      </c>
      <c r="AB134" s="3171" t="s">
        <v>4287</v>
      </c>
    </row>
    <row r="135" spans="1:28" s="3183" customFormat="1" ht="34.5" customHeight="1">
      <c r="A135" s="3201"/>
      <c r="B135" s="3170"/>
      <c r="C135" s="3202" t="s">
        <v>4288</v>
      </c>
      <c r="D135" s="3203"/>
      <c r="E135" s="3204"/>
      <c r="F135" s="3202"/>
      <c r="G135" s="3205">
        <f>SUM(G127:G134)</f>
        <v>1497.62</v>
      </c>
      <c r="H135" s="3205">
        <f t="shared" ref="H135:S135" si="67">SUM(H127:H134)</f>
        <v>0</v>
      </c>
      <c r="I135" s="3205">
        <f t="shared" si="67"/>
        <v>0</v>
      </c>
      <c r="J135" s="3205">
        <f t="shared" si="67"/>
        <v>0</v>
      </c>
      <c r="K135" s="3218">
        <f t="shared" si="67"/>
        <v>0</v>
      </c>
      <c r="L135" s="3205">
        <f t="shared" si="67"/>
        <v>80.182137915022054</v>
      </c>
      <c r="M135" s="3205">
        <f t="shared" si="67"/>
        <v>19.390715372907152</v>
      </c>
      <c r="N135" s="3205">
        <f t="shared" si="67"/>
        <v>0</v>
      </c>
      <c r="O135" s="3205">
        <f>W135/G135/365</f>
        <v>11.387601801555574</v>
      </c>
      <c r="P135" s="3205">
        <f t="shared" si="67"/>
        <v>406956.68999999994</v>
      </c>
      <c r="Q135" s="3205">
        <f t="shared" si="67"/>
        <v>84242.37</v>
      </c>
      <c r="R135" s="3205">
        <f t="shared" si="67"/>
        <v>0</v>
      </c>
      <c r="S135" s="3205">
        <f t="shared" si="67"/>
        <v>519617.04749999999</v>
      </c>
      <c r="T135" s="3205">
        <f t="shared" ref="T135" si="68">SUM(T127:T134)</f>
        <v>4883480.2866666662</v>
      </c>
      <c r="U135" s="3205">
        <f t="shared" ref="U135:W135" si="69">SUM(U127:U134)</f>
        <v>1000323.4399999995</v>
      </c>
      <c r="V135" s="3205">
        <f t="shared" si="69"/>
        <v>0</v>
      </c>
      <c r="W135" s="3205">
        <f t="shared" si="69"/>
        <v>6224819.5766666653</v>
      </c>
      <c r="X135" s="3210"/>
      <c r="Y135" s="3210"/>
      <c r="Z135" s="3210"/>
      <c r="AA135" s="3211"/>
      <c r="AB135" s="3202"/>
    </row>
    <row r="136" spans="1:28" s="3183" customFormat="1" ht="34.5" customHeight="1">
      <c r="A136" s="3170">
        <v>325</v>
      </c>
      <c r="B136" s="3170">
        <v>129</v>
      </c>
      <c r="C136" s="3190" t="s">
        <v>4289</v>
      </c>
      <c r="D136" s="3172" t="s">
        <v>4290</v>
      </c>
      <c r="E136" s="3173" t="s">
        <v>3779</v>
      </c>
      <c r="F136" s="3171" t="s">
        <v>4291</v>
      </c>
      <c r="G136" s="3174">
        <v>22</v>
      </c>
      <c r="H136" s="3175" t="s">
        <v>3903</v>
      </c>
      <c r="I136" s="3173" t="s">
        <v>4670</v>
      </c>
      <c r="J136" s="3176" t="s">
        <v>3783</v>
      </c>
      <c r="K136" s="3177"/>
      <c r="L136" s="3179">
        <v>8.2200000000000006</v>
      </c>
      <c r="M136" s="3179">
        <v>4.4800000000000004</v>
      </c>
      <c r="N136" s="3180"/>
      <c r="O136" s="3180">
        <f t="shared" si="42"/>
        <v>12.700000000000001</v>
      </c>
      <c r="P136" s="3180">
        <v>5500</v>
      </c>
      <c r="Q136" s="3180">
        <v>3000</v>
      </c>
      <c r="R136" s="3180"/>
      <c r="S136" s="3180">
        <f t="shared" si="43"/>
        <v>8500</v>
      </c>
      <c r="T136" s="3180">
        <f>P136*AA136</f>
        <v>55000</v>
      </c>
      <c r="U136" s="3180">
        <f>Q136*AA136</f>
        <v>30000</v>
      </c>
      <c r="V136" s="3180">
        <f t="shared" si="47"/>
        <v>0</v>
      </c>
      <c r="W136" s="3180">
        <f t="shared" si="46"/>
        <v>85000</v>
      </c>
      <c r="X136" s="3181">
        <v>45342</v>
      </c>
      <c r="Y136" s="3181">
        <v>46053</v>
      </c>
      <c r="Z136" s="3181" t="s">
        <v>3784</v>
      </c>
      <c r="AA136" s="3182">
        <v>10</v>
      </c>
      <c r="AB136" s="3171"/>
    </row>
    <row r="137" spans="1:28" s="3183" customFormat="1" ht="34.5" customHeight="1">
      <c r="A137" s="3170">
        <v>304</v>
      </c>
      <c r="B137" s="3170">
        <v>130</v>
      </c>
      <c r="C137" s="3171" t="s">
        <v>4167</v>
      </c>
      <c r="D137" s="3172" t="s">
        <v>4290</v>
      </c>
      <c r="E137" s="3173" t="s">
        <v>3779</v>
      </c>
      <c r="F137" s="3171" t="s">
        <v>4292</v>
      </c>
      <c r="G137" s="3174">
        <v>2</v>
      </c>
      <c r="H137" s="3175" t="s">
        <v>3781</v>
      </c>
      <c r="I137" s="3173" t="s">
        <v>4169</v>
      </c>
      <c r="J137" s="3176" t="s">
        <v>3783</v>
      </c>
      <c r="K137" s="3170"/>
      <c r="L137" s="3179">
        <v>8.6300000000000008</v>
      </c>
      <c r="M137" s="3179"/>
      <c r="N137" s="3180"/>
      <c r="O137" s="3180">
        <f t="shared" si="42"/>
        <v>8.6300000000000008</v>
      </c>
      <c r="P137" s="3180">
        <f>L137*G137*365/12</f>
        <v>524.99166666666667</v>
      </c>
      <c r="Q137" s="3180"/>
      <c r="R137" s="3180"/>
      <c r="S137" s="3180">
        <f t="shared" si="43"/>
        <v>524.99166666666667</v>
      </c>
      <c r="T137" s="3180">
        <v>6300</v>
      </c>
      <c r="U137" s="3180">
        <f t="shared" si="45"/>
        <v>0</v>
      </c>
      <c r="V137" s="3180">
        <f t="shared" si="47"/>
        <v>0</v>
      </c>
      <c r="W137" s="3180">
        <f t="shared" si="46"/>
        <v>6300</v>
      </c>
      <c r="X137" s="3181">
        <v>45281</v>
      </c>
      <c r="Y137" s="3181">
        <v>45473</v>
      </c>
      <c r="Z137" s="3181" t="s">
        <v>3784</v>
      </c>
      <c r="AA137" s="3182">
        <v>12</v>
      </c>
      <c r="AB137" s="3171" t="s">
        <v>4293</v>
      </c>
    </row>
    <row r="138" spans="1:28" s="3183" customFormat="1" ht="34.5" customHeight="1">
      <c r="A138" s="3170">
        <v>194</v>
      </c>
      <c r="B138" s="3170">
        <v>131</v>
      </c>
      <c r="C138" s="3171" t="s">
        <v>4294</v>
      </c>
      <c r="D138" s="3172" t="s">
        <v>4290</v>
      </c>
      <c r="E138" s="3173" t="s">
        <v>3779</v>
      </c>
      <c r="F138" s="3171" t="s">
        <v>4295</v>
      </c>
      <c r="G138" s="3174">
        <v>40</v>
      </c>
      <c r="H138" s="3175" t="s">
        <v>4296</v>
      </c>
      <c r="I138" s="3173" t="s">
        <v>4297</v>
      </c>
      <c r="J138" s="3176" t="s">
        <v>3783</v>
      </c>
      <c r="K138" s="3177"/>
      <c r="L138" s="3179">
        <v>8.2200000000000006</v>
      </c>
      <c r="M138" s="3179">
        <v>4.1100000000000003</v>
      </c>
      <c r="N138" s="3180"/>
      <c r="O138" s="3180">
        <f t="shared" si="42"/>
        <v>12.330000000000002</v>
      </c>
      <c r="P138" s="3180">
        <v>10000</v>
      </c>
      <c r="Q138" s="3180">
        <v>5000</v>
      </c>
      <c r="R138" s="3180"/>
      <c r="S138" s="3180">
        <f t="shared" si="43"/>
        <v>15000</v>
      </c>
      <c r="T138" s="3180">
        <v>70000</v>
      </c>
      <c r="U138" s="3180">
        <v>35000</v>
      </c>
      <c r="V138" s="3180">
        <f t="shared" si="47"/>
        <v>0</v>
      </c>
      <c r="W138" s="3180">
        <f t="shared" si="46"/>
        <v>105000</v>
      </c>
      <c r="X138" s="3181">
        <v>45139</v>
      </c>
      <c r="Y138" s="3181">
        <v>45504</v>
      </c>
      <c r="Z138" s="3181" t="s">
        <v>3784</v>
      </c>
      <c r="AA138" s="3182">
        <v>7</v>
      </c>
      <c r="AB138" s="3171"/>
    </row>
    <row r="139" spans="1:28" s="3183" customFormat="1" ht="34.5" customHeight="1">
      <c r="A139" s="3170">
        <v>140</v>
      </c>
      <c r="B139" s="3170">
        <v>132</v>
      </c>
      <c r="C139" s="3171" t="s">
        <v>4298</v>
      </c>
      <c r="D139" s="3172" t="s">
        <v>4290</v>
      </c>
      <c r="E139" s="3173" t="s">
        <v>3857</v>
      </c>
      <c r="F139" s="3171" t="s">
        <v>4299</v>
      </c>
      <c r="G139" s="3174">
        <v>4</v>
      </c>
      <c r="H139" s="3176" t="s">
        <v>3903</v>
      </c>
      <c r="I139" s="3171" t="s">
        <v>4300</v>
      </c>
      <c r="J139" s="3176" t="s">
        <v>3783</v>
      </c>
      <c r="K139" s="3177"/>
      <c r="L139" s="3179"/>
      <c r="M139" s="3179"/>
      <c r="N139" s="3180">
        <v>2.4700000000000002</v>
      </c>
      <c r="O139" s="3180">
        <f t="shared" si="42"/>
        <v>2.4700000000000002</v>
      </c>
      <c r="P139" s="3180"/>
      <c r="Q139" s="3180"/>
      <c r="R139" s="3180">
        <v>300</v>
      </c>
      <c r="S139" s="3180">
        <f t="shared" si="43"/>
        <v>300</v>
      </c>
      <c r="T139" s="3180">
        <f t="shared" si="44"/>
        <v>0</v>
      </c>
      <c r="U139" s="3180">
        <f t="shared" si="45"/>
        <v>0</v>
      </c>
      <c r="V139" s="3180">
        <v>3600</v>
      </c>
      <c r="W139" s="3180">
        <f t="shared" si="46"/>
        <v>3600</v>
      </c>
      <c r="X139" s="3181">
        <v>44927</v>
      </c>
      <c r="Y139" s="3181">
        <v>46387</v>
      </c>
      <c r="Z139" s="3181" t="s">
        <v>3784</v>
      </c>
      <c r="AA139" s="3182">
        <v>12</v>
      </c>
      <c r="AB139" s="3176"/>
    </row>
    <row r="140" spans="1:28" s="3183" customFormat="1" ht="34.5" customHeight="1">
      <c r="A140" s="3170">
        <v>179</v>
      </c>
      <c r="B140" s="3170">
        <v>133</v>
      </c>
      <c r="C140" s="3171" t="s">
        <v>4301</v>
      </c>
      <c r="D140" s="3172" t="s">
        <v>4290</v>
      </c>
      <c r="E140" s="3173" t="s">
        <v>3857</v>
      </c>
      <c r="F140" s="3171" t="s">
        <v>4302</v>
      </c>
      <c r="G140" s="3174">
        <v>16</v>
      </c>
      <c r="H140" s="3175" t="s">
        <v>3903</v>
      </c>
      <c r="I140" s="3173" t="s">
        <v>4303</v>
      </c>
      <c r="J140" s="3176" t="s">
        <v>3783</v>
      </c>
      <c r="K140" s="3177"/>
      <c r="L140" s="3179"/>
      <c r="M140" s="3179"/>
      <c r="N140" s="3180">
        <v>20.55</v>
      </c>
      <c r="O140" s="3180">
        <f t="shared" si="42"/>
        <v>20.55</v>
      </c>
      <c r="P140" s="3180">
        <f>L140*G140*365/12</f>
        <v>0</v>
      </c>
      <c r="Q140" s="3180"/>
      <c r="R140" s="3180">
        <v>10000</v>
      </c>
      <c r="S140" s="3180">
        <f t="shared" si="43"/>
        <v>10000</v>
      </c>
      <c r="T140" s="3180">
        <f t="shared" si="44"/>
        <v>0</v>
      </c>
      <c r="U140" s="3180">
        <f t="shared" si="45"/>
        <v>0</v>
      </c>
      <c r="V140" s="3180">
        <v>65000</v>
      </c>
      <c r="W140" s="3180">
        <f t="shared" si="46"/>
        <v>65000</v>
      </c>
      <c r="X140" s="3181">
        <v>45122</v>
      </c>
      <c r="Y140" s="3181">
        <v>45487</v>
      </c>
      <c r="Z140" s="3181" t="s">
        <v>3784</v>
      </c>
      <c r="AA140" s="3182">
        <v>7</v>
      </c>
      <c r="AB140" s="3171"/>
    </row>
    <row r="141" spans="1:28" s="3183" customFormat="1" ht="34.5" customHeight="1">
      <c r="A141" s="3170">
        <v>150</v>
      </c>
      <c r="B141" s="3170">
        <v>134</v>
      </c>
      <c r="C141" s="3171" t="s">
        <v>4304</v>
      </c>
      <c r="D141" s="3172" t="s">
        <v>4290</v>
      </c>
      <c r="E141" s="3173" t="s">
        <v>3779</v>
      </c>
      <c r="F141" s="3171" t="s">
        <v>4305</v>
      </c>
      <c r="G141" s="3174">
        <v>83</v>
      </c>
      <c r="H141" s="3175" t="s">
        <v>3903</v>
      </c>
      <c r="I141" s="3173" t="s">
        <v>4306</v>
      </c>
      <c r="J141" s="3176" t="s">
        <v>3783</v>
      </c>
      <c r="K141" s="3177"/>
      <c r="L141" s="3179">
        <v>10.5</v>
      </c>
      <c r="M141" s="3179">
        <v>3</v>
      </c>
      <c r="N141" s="3180"/>
      <c r="O141" s="3180">
        <f t="shared" ref="O141:O164" si="70">SUM(L141:N141)</f>
        <v>13.5</v>
      </c>
      <c r="P141" s="3180">
        <f>L141*G141*365/12</f>
        <v>26508.125</v>
      </c>
      <c r="Q141" s="3180">
        <f>M141*G141*365/12</f>
        <v>7573.75</v>
      </c>
      <c r="R141" s="3180"/>
      <c r="S141" s="3180">
        <f t="shared" ref="S141:S204" si="71">SUM(P141:R141)</f>
        <v>34081.875</v>
      </c>
      <c r="T141" s="3180">
        <v>313366.53000000003</v>
      </c>
      <c r="U141" s="3180">
        <f t="shared" si="45"/>
        <v>90885</v>
      </c>
      <c r="V141" s="3180">
        <f t="shared" ref="V141:V163" si="72">N141*G141*365</f>
        <v>0</v>
      </c>
      <c r="W141" s="3180">
        <f t="shared" si="46"/>
        <v>404251.53</v>
      </c>
      <c r="X141" s="3181">
        <v>44661</v>
      </c>
      <c r="Y141" s="3181">
        <v>48191</v>
      </c>
      <c r="Z141" s="3181" t="s">
        <v>3784</v>
      </c>
      <c r="AA141" s="3182">
        <v>12</v>
      </c>
      <c r="AB141" s="3171" t="s">
        <v>4307</v>
      </c>
    </row>
    <row r="142" spans="1:28" s="3183" customFormat="1" ht="34.5" customHeight="1">
      <c r="A142" s="3170">
        <v>1</v>
      </c>
      <c r="B142" s="3170">
        <v>135</v>
      </c>
      <c r="C142" s="3171" t="s">
        <v>4308</v>
      </c>
      <c r="D142" s="3172" t="s">
        <v>4290</v>
      </c>
      <c r="E142" s="3173" t="s">
        <v>3779</v>
      </c>
      <c r="F142" s="3171" t="s">
        <v>4309</v>
      </c>
      <c r="G142" s="3174">
        <v>10142.4</v>
      </c>
      <c r="H142" s="3176" t="s">
        <v>4310</v>
      </c>
      <c r="I142" s="3171" t="s">
        <v>4311</v>
      </c>
      <c r="J142" s="3176" t="s">
        <v>3783</v>
      </c>
      <c r="K142" s="3177"/>
      <c r="L142" s="3179">
        <v>1.49</v>
      </c>
      <c r="M142" s="3179">
        <v>0.52</v>
      </c>
      <c r="N142" s="3180"/>
      <c r="O142" s="3180">
        <f t="shared" si="70"/>
        <v>2.0099999999999998</v>
      </c>
      <c r="P142" s="3180">
        <v>459662.02</v>
      </c>
      <c r="Q142" s="3180">
        <v>160418.96</v>
      </c>
      <c r="R142" s="3180"/>
      <c r="S142" s="3180">
        <f t="shared" si="71"/>
        <v>620080.98</v>
      </c>
      <c r="T142" s="3180">
        <f t="shared" ref="T142:T164" si="73">L142*G142*365</f>
        <v>5515944.2400000002</v>
      </c>
      <c r="U142" s="3180">
        <f t="shared" si="45"/>
        <v>1925027.52</v>
      </c>
      <c r="V142" s="3180">
        <f t="shared" si="72"/>
        <v>0</v>
      </c>
      <c r="W142" s="3180">
        <f t="shared" si="46"/>
        <v>7440971.7599999998</v>
      </c>
      <c r="X142" s="3181">
        <v>43798</v>
      </c>
      <c r="Y142" s="3181">
        <v>47815</v>
      </c>
      <c r="Z142" s="3181" t="s">
        <v>3784</v>
      </c>
      <c r="AA142" s="3182">
        <v>12</v>
      </c>
      <c r="AB142" s="3171"/>
    </row>
    <row r="143" spans="1:28" s="3183" customFormat="1" ht="34.5" customHeight="1">
      <c r="A143" s="3170">
        <v>1</v>
      </c>
      <c r="B143" s="3170">
        <v>136</v>
      </c>
      <c r="C143" s="3171" t="s">
        <v>4308</v>
      </c>
      <c r="D143" s="3172" t="s">
        <v>4290</v>
      </c>
      <c r="E143" s="3173" t="s">
        <v>3779</v>
      </c>
      <c r="F143" s="3171" t="s">
        <v>4312</v>
      </c>
      <c r="G143" s="3174">
        <v>26</v>
      </c>
      <c r="H143" s="3176" t="s">
        <v>4310</v>
      </c>
      <c r="I143" s="3171" t="s">
        <v>4313</v>
      </c>
      <c r="J143" s="3176" t="s">
        <v>3783</v>
      </c>
      <c r="K143" s="3177"/>
      <c r="L143" s="3179">
        <v>6.9999957850368801</v>
      </c>
      <c r="M143" s="3179"/>
      <c r="N143" s="3180"/>
      <c r="O143" s="3180">
        <f t="shared" si="70"/>
        <v>6.9999957850368801</v>
      </c>
      <c r="P143" s="3180">
        <v>5535.83</v>
      </c>
      <c r="Q143" s="3180">
        <f>M143*G143*365/12</f>
        <v>0</v>
      </c>
      <c r="R143" s="3180"/>
      <c r="S143" s="3180">
        <f t="shared" si="71"/>
        <v>5535.83</v>
      </c>
      <c r="T143" s="3180">
        <v>65196.27</v>
      </c>
      <c r="U143" s="3180">
        <f t="shared" si="45"/>
        <v>0</v>
      </c>
      <c r="V143" s="3180">
        <f t="shared" si="72"/>
        <v>0</v>
      </c>
      <c r="W143" s="3180">
        <f t="shared" si="46"/>
        <v>65196.27</v>
      </c>
      <c r="X143" s="3181">
        <v>43936</v>
      </c>
      <c r="Y143" s="3181">
        <v>47815</v>
      </c>
      <c r="Z143" s="3181" t="s">
        <v>3784</v>
      </c>
      <c r="AA143" s="3182">
        <v>12</v>
      </c>
      <c r="AB143" s="3171" t="s">
        <v>4314</v>
      </c>
    </row>
    <row r="144" spans="1:28" s="3183" customFormat="1" ht="34.5" customHeight="1">
      <c r="A144" s="3170">
        <v>157</v>
      </c>
      <c r="B144" s="3170">
        <v>137</v>
      </c>
      <c r="C144" s="3171" t="s">
        <v>4315</v>
      </c>
      <c r="D144" s="3172" t="s">
        <v>4290</v>
      </c>
      <c r="E144" s="3173" t="s">
        <v>3857</v>
      </c>
      <c r="F144" s="3171" t="s">
        <v>4316</v>
      </c>
      <c r="G144" s="3174">
        <v>40</v>
      </c>
      <c r="H144" s="3175" t="s">
        <v>4019</v>
      </c>
      <c r="I144" s="3173" t="s">
        <v>4063</v>
      </c>
      <c r="J144" s="3176" t="s">
        <v>3783</v>
      </c>
      <c r="K144" s="3177"/>
      <c r="L144" s="3179"/>
      <c r="M144" s="3179"/>
      <c r="N144" s="3180">
        <v>3.29</v>
      </c>
      <c r="O144" s="3180">
        <f t="shared" si="70"/>
        <v>3.29</v>
      </c>
      <c r="P144" s="3180">
        <f>L144*G144*365/12</f>
        <v>0</v>
      </c>
      <c r="Q144" s="3180"/>
      <c r="R144" s="3180">
        <v>4000</v>
      </c>
      <c r="S144" s="3180">
        <f t="shared" si="71"/>
        <v>4000</v>
      </c>
      <c r="T144" s="3180">
        <f t="shared" si="73"/>
        <v>0</v>
      </c>
      <c r="U144" s="3180">
        <f t="shared" si="45"/>
        <v>0</v>
      </c>
      <c r="V144" s="3180">
        <v>48000</v>
      </c>
      <c r="W144" s="3180">
        <f t="shared" si="46"/>
        <v>48000</v>
      </c>
      <c r="X144" s="3181">
        <v>45047</v>
      </c>
      <c r="Y144" s="3181">
        <v>45412</v>
      </c>
      <c r="Z144" s="3181" t="s">
        <v>3784</v>
      </c>
      <c r="AA144" s="3182">
        <v>12</v>
      </c>
      <c r="AB144" s="3171" t="s">
        <v>4317</v>
      </c>
    </row>
    <row r="145" spans="1:28" s="3183" customFormat="1" ht="34.5" customHeight="1">
      <c r="A145" s="3170">
        <v>27</v>
      </c>
      <c r="B145" s="3170">
        <v>138</v>
      </c>
      <c r="C145" s="3171" t="s">
        <v>4318</v>
      </c>
      <c r="D145" s="3172" t="s">
        <v>4290</v>
      </c>
      <c r="E145" s="3173" t="s">
        <v>3779</v>
      </c>
      <c r="F145" s="3171" t="s">
        <v>4319</v>
      </c>
      <c r="G145" s="3174">
        <v>413</v>
      </c>
      <c r="H145" s="3176" t="s">
        <v>4137</v>
      </c>
      <c r="I145" s="3171" t="s">
        <v>4320</v>
      </c>
      <c r="J145" s="3176" t="s">
        <v>3783</v>
      </c>
      <c r="K145" s="3177"/>
      <c r="L145" s="3179">
        <v>3</v>
      </c>
      <c r="M145" s="3179">
        <v>3</v>
      </c>
      <c r="N145" s="3180"/>
      <c r="O145" s="3180">
        <f t="shared" si="70"/>
        <v>6</v>
      </c>
      <c r="P145" s="3180">
        <f>L145*G145*365/12</f>
        <v>37686.25</v>
      </c>
      <c r="Q145" s="3180">
        <f>M145*G145*365/12</f>
        <v>37686.25</v>
      </c>
      <c r="R145" s="3180"/>
      <c r="S145" s="3180">
        <f t="shared" si="71"/>
        <v>75372.5</v>
      </c>
      <c r="T145" s="3180">
        <v>489921.25</v>
      </c>
      <c r="U145" s="3180">
        <f t="shared" si="45"/>
        <v>452235</v>
      </c>
      <c r="V145" s="3180">
        <f t="shared" si="72"/>
        <v>0</v>
      </c>
      <c r="W145" s="3180">
        <f t="shared" si="46"/>
        <v>942156.25</v>
      </c>
      <c r="X145" s="3181">
        <v>44470</v>
      </c>
      <c r="Y145" s="3181">
        <v>46660</v>
      </c>
      <c r="Z145" s="3181" t="s">
        <v>3784</v>
      </c>
      <c r="AA145" s="3182">
        <v>12</v>
      </c>
      <c r="AB145" s="3171" t="s">
        <v>4321</v>
      </c>
    </row>
    <row r="146" spans="1:28" s="3183" customFormat="1" ht="34.5" customHeight="1">
      <c r="A146" s="3170">
        <v>27</v>
      </c>
      <c r="B146" s="3170">
        <v>139</v>
      </c>
      <c r="C146" s="3171" t="s">
        <v>4318</v>
      </c>
      <c r="D146" s="3172" t="s">
        <v>4290</v>
      </c>
      <c r="E146" s="3173" t="s">
        <v>3779</v>
      </c>
      <c r="F146" s="3171" t="s">
        <v>4319</v>
      </c>
      <c r="G146" s="3174">
        <v>413</v>
      </c>
      <c r="H146" s="3176" t="s">
        <v>4137</v>
      </c>
      <c r="I146" s="3171" t="s">
        <v>4320</v>
      </c>
      <c r="J146" s="3176" t="s">
        <v>3783</v>
      </c>
      <c r="K146" s="3177"/>
      <c r="L146" s="3179">
        <v>0.2</v>
      </c>
      <c r="M146" s="3179"/>
      <c r="N146" s="3180"/>
      <c r="O146" s="3180">
        <f t="shared" si="70"/>
        <v>0.2</v>
      </c>
      <c r="P146" s="3180">
        <v>2500</v>
      </c>
      <c r="Q146" s="3180">
        <f>M146*G146*365/12</f>
        <v>0</v>
      </c>
      <c r="R146" s="3180"/>
      <c r="S146" s="3180">
        <f t="shared" si="71"/>
        <v>2500</v>
      </c>
      <c r="T146" s="3180">
        <v>30000</v>
      </c>
      <c r="U146" s="3180">
        <f t="shared" si="45"/>
        <v>0</v>
      </c>
      <c r="V146" s="3180">
        <f t="shared" si="72"/>
        <v>0</v>
      </c>
      <c r="W146" s="3180">
        <f t="shared" si="46"/>
        <v>30000</v>
      </c>
      <c r="X146" s="3181">
        <v>44470</v>
      </c>
      <c r="Y146" s="3181">
        <v>46660</v>
      </c>
      <c r="Z146" s="3181" t="s">
        <v>3784</v>
      </c>
      <c r="AA146" s="3182">
        <v>12</v>
      </c>
      <c r="AB146" s="3171"/>
    </row>
    <row r="147" spans="1:28" s="3183" customFormat="1" ht="34.5" customHeight="1">
      <c r="A147" s="3170">
        <v>53</v>
      </c>
      <c r="B147" s="3170">
        <v>140</v>
      </c>
      <c r="C147" s="3171" t="s">
        <v>4322</v>
      </c>
      <c r="D147" s="3172" t="s">
        <v>4290</v>
      </c>
      <c r="E147" s="3173" t="s">
        <v>3779</v>
      </c>
      <c r="F147" s="3171" t="s">
        <v>4323</v>
      </c>
      <c r="G147" s="3174">
        <v>42</v>
      </c>
      <c r="H147" s="3176" t="s">
        <v>3979</v>
      </c>
      <c r="I147" s="3171" t="s">
        <v>4324</v>
      </c>
      <c r="J147" s="3176" t="s">
        <v>3783</v>
      </c>
      <c r="K147" s="3177"/>
      <c r="L147" s="3179">
        <v>14</v>
      </c>
      <c r="M147" s="3179">
        <v>3</v>
      </c>
      <c r="N147" s="3180"/>
      <c r="O147" s="3180">
        <f t="shared" si="70"/>
        <v>17</v>
      </c>
      <c r="P147" s="3180">
        <f>L147*G147*365/12</f>
        <v>17885</v>
      </c>
      <c r="Q147" s="3180">
        <f>M147*G147*365/12</f>
        <v>3832.5</v>
      </c>
      <c r="R147" s="3180"/>
      <c r="S147" s="3180">
        <f t="shared" si="71"/>
        <v>21717.5</v>
      </c>
      <c r="T147" s="3180">
        <v>125195</v>
      </c>
      <c r="U147" s="3180">
        <f>Q147*AA147</f>
        <v>26827.5</v>
      </c>
      <c r="V147" s="3180">
        <f t="shared" si="72"/>
        <v>0</v>
      </c>
      <c r="W147" s="3180">
        <f t="shared" si="46"/>
        <v>152022.5</v>
      </c>
      <c r="X147" s="3181">
        <v>44409</v>
      </c>
      <c r="Y147" s="3181">
        <v>45504</v>
      </c>
      <c r="Z147" s="3181" t="s">
        <v>3784</v>
      </c>
      <c r="AA147" s="3182">
        <v>7</v>
      </c>
      <c r="AB147" s="3171"/>
    </row>
    <row r="148" spans="1:28" s="3183" customFormat="1" ht="34.5" customHeight="1">
      <c r="A148" s="3170">
        <v>152</v>
      </c>
      <c r="B148" s="3170">
        <v>141</v>
      </c>
      <c r="C148" s="3171" t="s">
        <v>4325</v>
      </c>
      <c r="D148" s="3172" t="s">
        <v>4290</v>
      </c>
      <c r="E148" s="3173" t="s">
        <v>3779</v>
      </c>
      <c r="F148" s="3171" t="s">
        <v>4326</v>
      </c>
      <c r="G148" s="3174">
        <v>18</v>
      </c>
      <c r="H148" s="3175" t="s">
        <v>3781</v>
      </c>
      <c r="I148" s="3173" t="s">
        <v>4327</v>
      </c>
      <c r="J148" s="3176" t="s">
        <v>3783</v>
      </c>
      <c r="K148" s="3177"/>
      <c r="L148" s="3179">
        <v>18.260000000000002</v>
      </c>
      <c r="M148" s="3179">
        <v>1.5</v>
      </c>
      <c r="N148" s="3180"/>
      <c r="O148" s="3180">
        <f t="shared" si="70"/>
        <v>19.760000000000002</v>
      </c>
      <c r="P148" s="3180">
        <v>10000</v>
      </c>
      <c r="Q148" s="3180">
        <f>M148*G148*365/12</f>
        <v>821.25</v>
      </c>
      <c r="R148" s="3180"/>
      <c r="S148" s="3180">
        <f t="shared" si="71"/>
        <v>10821.25</v>
      </c>
      <c r="T148" s="3180">
        <v>120000</v>
      </c>
      <c r="U148" s="3180">
        <v>6570</v>
      </c>
      <c r="V148" s="3180">
        <f t="shared" si="72"/>
        <v>0</v>
      </c>
      <c r="W148" s="3180">
        <f t="shared" si="46"/>
        <v>126570</v>
      </c>
      <c r="X148" s="3181">
        <v>45047</v>
      </c>
      <c r="Y148" s="3181">
        <v>45777</v>
      </c>
      <c r="Z148" s="3181" t="s">
        <v>3784</v>
      </c>
      <c r="AA148" s="3182">
        <v>12</v>
      </c>
      <c r="AB148" s="3171"/>
    </row>
    <row r="149" spans="1:28" s="3183" customFormat="1" ht="34.5" customHeight="1">
      <c r="A149" s="3170">
        <v>159</v>
      </c>
      <c r="B149" s="3170">
        <v>142</v>
      </c>
      <c r="C149" s="3171" t="s">
        <v>4328</v>
      </c>
      <c r="D149" s="3172" t="s">
        <v>4290</v>
      </c>
      <c r="E149" s="3173" t="s">
        <v>3857</v>
      </c>
      <c r="F149" s="3171" t="s">
        <v>4329</v>
      </c>
      <c r="G149" s="3174">
        <v>3</v>
      </c>
      <c r="H149" s="3175" t="s">
        <v>4019</v>
      </c>
      <c r="I149" s="3173" t="s">
        <v>4330</v>
      </c>
      <c r="J149" s="3176" t="s">
        <v>3783</v>
      </c>
      <c r="K149" s="3177"/>
      <c r="L149" s="3179"/>
      <c r="M149" s="3179"/>
      <c r="N149" s="3180">
        <v>8.77</v>
      </c>
      <c r="O149" s="3180">
        <f t="shared" si="70"/>
        <v>8.77</v>
      </c>
      <c r="P149" s="3180"/>
      <c r="Q149" s="3180"/>
      <c r="R149" s="3180">
        <v>800</v>
      </c>
      <c r="S149" s="3180">
        <f t="shared" si="71"/>
        <v>800</v>
      </c>
      <c r="T149" s="3180">
        <f t="shared" si="73"/>
        <v>0</v>
      </c>
      <c r="U149" s="3180">
        <f t="shared" si="45"/>
        <v>0</v>
      </c>
      <c r="V149" s="3180">
        <v>9600</v>
      </c>
      <c r="W149" s="3180">
        <f t="shared" si="46"/>
        <v>9600</v>
      </c>
      <c r="X149" s="3181">
        <v>45047</v>
      </c>
      <c r="Y149" s="3181">
        <v>45412</v>
      </c>
      <c r="Z149" s="3181" t="s">
        <v>3784</v>
      </c>
      <c r="AA149" s="3182">
        <v>12</v>
      </c>
      <c r="AB149" s="3171" t="s">
        <v>4317</v>
      </c>
    </row>
    <row r="150" spans="1:28" ht="34.5" customHeight="1">
      <c r="A150" s="3170">
        <v>312</v>
      </c>
      <c r="B150" s="3170">
        <v>143</v>
      </c>
      <c r="C150" s="3190" t="s">
        <v>4331</v>
      </c>
      <c r="D150" s="3172" t="s">
        <v>4290</v>
      </c>
      <c r="E150" s="3173" t="s">
        <v>3779</v>
      </c>
      <c r="F150" s="3171" t="s">
        <v>4332</v>
      </c>
      <c r="G150" s="3174">
        <v>76</v>
      </c>
      <c r="H150" s="3175" t="s">
        <v>3903</v>
      </c>
      <c r="I150" s="3173" t="s">
        <v>4333</v>
      </c>
      <c r="J150" s="3176" t="s">
        <v>3783</v>
      </c>
      <c r="K150" s="3177"/>
      <c r="L150" s="3179">
        <v>8.5</v>
      </c>
      <c r="M150" s="3179">
        <v>3</v>
      </c>
      <c r="N150" s="3180"/>
      <c r="O150" s="3180">
        <f t="shared" si="70"/>
        <v>11.5</v>
      </c>
      <c r="P150" s="3180">
        <f t="shared" ref="P150:P156" si="74">L150*G150*365/12</f>
        <v>19649.166666666668</v>
      </c>
      <c r="Q150" s="3180">
        <f t="shared" ref="Q150:Q155" si="75">M150*G150*365/12</f>
        <v>6935</v>
      </c>
      <c r="R150" s="3180"/>
      <c r="S150" s="3180">
        <f t="shared" si="71"/>
        <v>26584.166666666668</v>
      </c>
      <c r="T150" s="3180">
        <v>167529.33333333299</v>
      </c>
      <c r="U150" s="3180">
        <v>59128</v>
      </c>
      <c r="V150" s="3180">
        <f t="shared" si="72"/>
        <v>0</v>
      </c>
      <c r="W150" s="3180">
        <f t="shared" si="46"/>
        <v>226657.33333333299</v>
      </c>
      <c r="X150" s="3181">
        <v>45367</v>
      </c>
      <c r="Y150" s="3181">
        <v>46843</v>
      </c>
      <c r="Z150" s="3181" t="s">
        <v>3784</v>
      </c>
      <c r="AA150" s="3182">
        <v>8</v>
      </c>
      <c r="AB150" s="3171"/>
    </row>
    <row r="151" spans="1:28" ht="34.5" customHeight="1">
      <c r="A151" s="3170">
        <v>312</v>
      </c>
      <c r="B151" s="3170">
        <v>144</v>
      </c>
      <c r="C151" s="3190" t="s">
        <v>4331</v>
      </c>
      <c r="D151" s="3172" t="s">
        <v>4290</v>
      </c>
      <c r="E151" s="3173" t="s">
        <v>3779</v>
      </c>
      <c r="F151" s="3171" t="s">
        <v>4232</v>
      </c>
      <c r="G151" s="3174">
        <v>20</v>
      </c>
      <c r="H151" s="3175" t="s">
        <v>3903</v>
      </c>
      <c r="I151" s="3173" t="s">
        <v>4333</v>
      </c>
      <c r="J151" s="3176" t="s">
        <v>3783</v>
      </c>
      <c r="K151" s="3177"/>
      <c r="L151" s="3179"/>
      <c r="M151" s="3179">
        <v>3</v>
      </c>
      <c r="N151" s="3180"/>
      <c r="O151" s="3180">
        <f t="shared" si="70"/>
        <v>3</v>
      </c>
      <c r="P151" s="3180">
        <f t="shared" si="74"/>
        <v>0</v>
      </c>
      <c r="Q151" s="3180">
        <f t="shared" si="75"/>
        <v>1825</v>
      </c>
      <c r="R151" s="3180"/>
      <c r="S151" s="3180">
        <f t="shared" si="71"/>
        <v>1825</v>
      </c>
      <c r="T151" s="3180">
        <f t="shared" si="73"/>
        <v>0</v>
      </c>
      <c r="U151" s="3180">
        <v>15560</v>
      </c>
      <c r="V151" s="3180">
        <f t="shared" si="72"/>
        <v>0</v>
      </c>
      <c r="W151" s="3180">
        <f t="shared" si="46"/>
        <v>15560</v>
      </c>
      <c r="X151" s="3181">
        <v>45367</v>
      </c>
      <c r="Y151" s="3181">
        <v>46843</v>
      </c>
      <c r="Z151" s="3181" t="s">
        <v>3784</v>
      </c>
      <c r="AA151" s="3182">
        <v>8</v>
      </c>
      <c r="AB151" s="3171"/>
    </row>
    <row r="152" spans="1:28" ht="34.5" customHeight="1">
      <c r="A152" s="3170">
        <v>44</v>
      </c>
      <c r="B152" s="3170">
        <v>145</v>
      </c>
      <c r="C152" s="3171" t="s">
        <v>4334</v>
      </c>
      <c r="D152" s="3172" t="s">
        <v>4290</v>
      </c>
      <c r="E152" s="3173" t="s">
        <v>3779</v>
      </c>
      <c r="F152" s="3171" t="s">
        <v>4335</v>
      </c>
      <c r="G152" s="3174">
        <f>21-4</f>
        <v>17</v>
      </c>
      <c r="H152" s="3175" t="s">
        <v>3979</v>
      </c>
      <c r="I152" s="3173" t="s">
        <v>4336</v>
      </c>
      <c r="J152" s="3176" t="s">
        <v>3783</v>
      </c>
      <c r="K152" s="3177"/>
      <c r="L152" s="3179">
        <v>12</v>
      </c>
      <c r="M152" s="3179">
        <v>3</v>
      </c>
      <c r="N152" s="3180"/>
      <c r="O152" s="3180">
        <f t="shared" si="70"/>
        <v>15</v>
      </c>
      <c r="P152" s="3180">
        <f t="shared" si="74"/>
        <v>6205</v>
      </c>
      <c r="Q152" s="3180">
        <f t="shared" si="75"/>
        <v>1551.25</v>
      </c>
      <c r="R152" s="3180"/>
      <c r="S152" s="3180">
        <f t="shared" si="71"/>
        <v>7756.25</v>
      </c>
      <c r="T152" s="3180">
        <v>43435</v>
      </c>
      <c r="U152" s="3180">
        <v>10858.75</v>
      </c>
      <c r="V152" s="3180">
        <f t="shared" si="72"/>
        <v>0</v>
      </c>
      <c r="W152" s="3180">
        <f t="shared" ref="W152:W194" si="76">SUM(T152:V152)</f>
        <v>54293.75</v>
      </c>
      <c r="X152" s="3181">
        <v>44409</v>
      </c>
      <c r="Y152" s="3181">
        <v>45504</v>
      </c>
      <c r="Z152" s="3181" t="s">
        <v>3784</v>
      </c>
      <c r="AA152" s="3182">
        <v>7</v>
      </c>
      <c r="AB152" s="3171"/>
    </row>
    <row r="153" spans="1:28" s="3183" customFormat="1" ht="35.25" customHeight="1">
      <c r="A153" s="3170">
        <v>72</v>
      </c>
      <c r="B153" s="3170">
        <v>146</v>
      </c>
      <c r="C153" s="3171" t="s">
        <v>4337</v>
      </c>
      <c r="D153" s="3172" t="s">
        <v>4290</v>
      </c>
      <c r="E153" s="3173" t="s">
        <v>3779</v>
      </c>
      <c r="F153" s="3171" t="s">
        <v>4338</v>
      </c>
      <c r="G153" s="3174">
        <v>141</v>
      </c>
      <c r="H153" s="3176" t="s">
        <v>3903</v>
      </c>
      <c r="I153" s="3171" t="s">
        <v>4339</v>
      </c>
      <c r="J153" s="3176" t="s">
        <v>4215</v>
      </c>
      <c r="K153" s="3177"/>
      <c r="L153" s="3179">
        <v>7</v>
      </c>
      <c r="M153" s="3179">
        <v>3</v>
      </c>
      <c r="N153" s="3180"/>
      <c r="O153" s="3180">
        <f t="shared" si="70"/>
        <v>10</v>
      </c>
      <c r="P153" s="3180">
        <f t="shared" si="74"/>
        <v>30021.25</v>
      </c>
      <c r="Q153" s="3180">
        <f t="shared" si="75"/>
        <v>12866.25</v>
      </c>
      <c r="R153" s="3180"/>
      <c r="S153" s="3180">
        <f t="shared" si="71"/>
        <v>42887.5</v>
      </c>
      <c r="T153" s="3180">
        <v>399337.38</v>
      </c>
      <c r="U153" s="3180">
        <v>156585</v>
      </c>
      <c r="V153" s="3180">
        <f t="shared" si="72"/>
        <v>0</v>
      </c>
      <c r="W153" s="3180">
        <f t="shared" si="76"/>
        <v>555922.38</v>
      </c>
      <c r="X153" s="3181">
        <v>44470</v>
      </c>
      <c r="Y153" s="3181">
        <v>46446</v>
      </c>
      <c r="Z153" s="3181" t="s">
        <v>3784</v>
      </c>
      <c r="AA153" s="3182">
        <v>12</v>
      </c>
      <c r="AB153" s="3171" t="s">
        <v>4340</v>
      </c>
    </row>
    <row r="154" spans="1:28" s="3183" customFormat="1" ht="34.5" customHeight="1">
      <c r="A154" s="3170">
        <v>6</v>
      </c>
      <c r="B154" s="3170">
        <v>147</v>
      </c>
      <c r="C154" s="3171" t="s">
        <v>4341</v>
      </c>
      <c r="D154" s="3172" t="s">
        <v>4290</v>
      </c>
      <c r="E154" s="3173" t="s">
        <v>3779</v>
      </c>
      <c r="F154" s="3171" t="s">
        <v>4342</v>
      </c>
      <c r="G154" s="3174">
        <v>309</v>
      </c>
      <c r="H154" s="3176" t="s">
        <v>3903</v>
      </c>
      <c r="I154" s="3171" t="s">
        <v>4343</v>
      </c>
      <c r="J154" s="3176" t="s">
        <v>4215</v>
      </c>
      <c r="K154" s="3177"/>
      <c r="L154" s="3179">
        <v>3</v>
      </c>
      <c r="M154" s="3179">
        <v>3</v>
      </c>
      <c r="N154" s="3180"/>
      <c r="O154" s="3180">
        <f t="shared" si="70"/>
        <v>6</v>
      </c>
      <c r="P154" s="3219">
        <f t="shared" si="74"/>
        <v>28196.25</v>
      </c>
      <c r="Q154" s="3180">
        <f t="shared" si="75"/>
        <v>28196.25</v>
      </c>
      <c r="R154" s="3180"/>
      <c r="S154" s="3180">
        <f t="shared" si="71"/>
        <v>56392.5</v>
      </c>
      <c r="T154" s="3180">
        <v>403893.18</v>
      </c>
      <c r="U154" s="3180">
        <v>343647.5</v>
      </c>
      <c r="V154" s="3180">
        <f t="shared" si="72"/>
        <v>0</v>
      </c>
      <c r="W154" s="3180">
        <f t="shared" si="76"/>
        <v>747540.67999999993</v>
      </c>
      <c r="X154" s="3181">
        <v>44287</v>
      </c>
      <c r="Y154" s="3181">
        <v>46446</v>
      </c>
      <c r="Z154" s="3181" t="s">
        <v>3784</v>
      </c>
      <c r="AA154" s="3182">
        <v>12</v>
      </c>
      <c r="AB154" s="3171" t="s">
        <v>4344</v>
      </c>
    </row>
    <row r="155" spans="1:28" s="3183" customFormat="1" ht="34.5" customHeight="1">
      <c r="A155" s="3170">
        <v>297</v>
      </c>
      <c r="B155" s="3170">
        <v>148</v>
      </c>
      <c r="C155" s="3171" t="s">
        <v>4345</v>
      </c>
      <c r="D155" s="3172" t="s">
        <v>4290</v>
      </c>
      <c r="E155" s="3173" t="s">
        <v>3779</v>
      </c>
      <c r="F155" s="3171" t="s">
        <v>4346</v>
      </c>
      <c r="G155" s="3174">
        <v>460</v>
      </c>
      <c r="H155" s="3176" t="s">
        <v>3903</v>
      </c>
      <c r="I155" s="3171" t="s">
        <v>4347</v>
      </c>
      <c r="J155" s="3176" t="s">
        <v>3783</v>
      </c>
      <c r="K155" s="3177"/>
      <c r="L155" s="3179">
        <v>6</v>
      </c>
      <c r="M155" s="3179">
        <v>3</v>
      </c>
      <c r="N155" s="3180"/>
      <c r="O155" s="3180">
        <f t="shared" si="70"/>
        <v>9</v>
      </c>
      <c r="P155" s="3180">
        <f t="shared" si="74"/>
        <v>83950</v>
      </c>
      <c r="Q155" s="3180">
        <f t="shared" si="75"/>
        <v>41975</v>
      </c>
      <c r="R155" s="3180"/>
      <c r="S155" s="3180">
        <f t="shared" si="71"/>
        <v>125925</v>
      </c>
      <c r="T155" s="3180">
        <v>923450</v>
      </c>
      <c r="U155" s="3180">
        <f t="shared" ref="U155:U207" si="77">M155*G155*365</f>
        <v>503700</v>
      </c>
      <c r="V155" s="3180">
        <f t="shared" si="72"/>
        <v>0</v>
      </c>
      <c r="W155" s="3180">
        <f t="shared" si="76"/>
        <v>1427150</v>
      </c>
      <c r="X155" s="3181">
        <v>45261</v>
      </c>
      <c r="Y155" s="3181">
        <v>46721</v>
      </c>
      <c r="Z155" s="3181" t="s">
        <v>3784</v>
      </c>
      <c r="AA155" s="3182">
        <v>12</v>
      </c>
      <c r="AB155" s="3171"/>
    </row>
    <row r="156" spans="1:28" s="3183" customFormat="1" ht="34.5" customHeight="1">
      <c r="A156" s="3170">
        <v>297</v>
      </c>
      <c r="B156" s="3170">
        <v>149</v>
      </c>
      <c r="C156" s="3171" t="s">
        <v>4345</v>
      </c>
      <c r="D156" s="3172" t="s">
        <v>4290</v>
      </c>
      <c r="E156" s="3173" t="s">
        <v>3857</v>
      </c>
      <c r="F156" s="3171" t="s">
        <v>4348</v>
      </c>
      <c r="G156" s="3174">
        <v>179</v>
      </c>
      <c r="H156" s="3176" t="s">
        <v>3903</v>
      </c>
      <c r="I156" s="3171" t="s">
        <v>4347</v>
      </c>
      <c r="J156" s="3176" t="s">
        <v>3783</v>
      </c>
      <c r="K156" s="3177"/>
      <c r="L156" s="3179"/>
      <c r="M156" s="3179">
        <v>0</v>
      </c>
      <c r="N156" s="3180">
        <v>2.2999999999999998</v>
      </c>
      <c r="O156" s="3180">
        <f t="shared" si="70"/>
        <v>2.2999999999999998</v>
      </c>
      <c r="P156" s="3180">
        <f t="shared" si="74"/>
        <v>0</v>
      </c>
      <c r="Q156" s="3180"/>
      <c r="R156" s="3180">
        <v>12500</v>
      </c>
      <c r="S156" s="3180">
        <f t="shared" si="71"/>
        <v>12500</v>
      </c>
      <c r="T156" s="3180">
        <f t="shared" si="73"/>
        <v>0</v>
      </c>
      <c r="U156" s="3180">
        <f t="shared" si="77"/>
        <v>0</v>
      </c>
      <c r="V156" s="3180">
        <v>150000</v>
      </c>
      <c r="W156" s="3180">
        <f t="shared" si="76"/>
        <v>150000</v>
      </c>
      <c r="X156" s="3181">
        <v>45261</v>
      </c>
      <c r="Y156" s="3181">
        <v>46721</v>
      </c>
      <c r="Z156" s="3181" t="s">
        <v>3784</v>
      </c>
      <c r="AA156" s="3182">
        <v>12</v>
      </c>
      <c r="AB156" s="3171"/>
    </row>
    <row r="157" spans="1:28" s="3183" customFormat="1" ht="34.5" customHeight="1">
      <c r="A157" s="3170">
        <v>83</v>
      </c>
      <c r="B157" s="3170">
        <v>150</v>
      </c>
      <c r="C157" s="3171" t="s">
        <v>4349</v>
      </c>
      <c r="D157" s="3172" t="s">
        <v>4290</v>
      </c>
      <c r="E157" s="3173" t="s">
        <v>3857</v>
      </c>
      <c r="F157" s="3188" t="s">
        <v>4350</v>
      </c>
      <c r="G157" s="3174">
        <v>5</v>
      </c>
      <c r="H157" s="3176" t="s">
        <v>4300</v>
      </c>
      <c r="I157" s="3171"/>
      <c r="J157" s="3171" t="s">
        <v>4122</v>
      </c>
      <c r="K157" s="3177"/>
      <c r="L157" s="3179"/>
      <c r="M157" s="3179"/>
      <c r="N157" s="3180">
        <v>5</v>
      </c>
      <c r="O157" s="3180">
        <f t="shared" si="70"/>
        <v>5</v>
      </c>
      <c r="P157" s="3180"/>
      <c r="Q157" s="3180"/>
      <c r="R157" s="3180">
        <v>760.42</v>
      </c>
      <c r="S157" s="3180">
        <f t="shared" si="71"/>
        <v>760.42</v>
      </c>
      <c r="T157" s="3180">
        <f t="shared" si="73"/>
        <v>0</v>
      </c>
      <c r="U157" s="3180">
        <f t="shared" si="77"/>
        <v>0</v>
      </c>
      <c r="V157" s="3180">
        <v>8364.6200000000008</v>
      </c>
      <c r="W157" s="3180">
        <f t="shared" si="76"/>
        <v>8364.6200000000008</v>
      </c>
      <c r="X157" s="3181">
        <v>44531</v>
      </c>
      <c r="Y157" s="3181">
        <v>45991</v>
      </c>
      <c r="Z157" s="3181" t="s">
        <v>3784</v>
      </c>
      <c r="AA157" s="3182">
        <v>12</v>
      </c>
      <c r="AB157" s="3171"/>
    </row>
    <row r="158" spans="1:28" s="3183" customFormat="1" ht="34.5" customHeight="1">
      <c r="A158" s="3170">
        <v>321</v>
      </c>
      <c r="B158" s="3170">
        <v>151</v>
      </c>
      <c r="C158" s="3190" t="s">
        <v>4351</v>
      </c>
      <c r="D158" s="3172" t="s">
        <v>4290</v>
      </c>
      <c r="E158" s="3173" t="s">
        <v>3779</v>
      </c>
      <c r="F158" s="3171" t="s">
        <v>4352</v>
      </c>
      <c r="G158" s="3174">
        <v>12</v>
      </c>
      <c r="H158" s="3175" t="s">
        <v>4353</v>
      </c>
      <c r="I158" s="3173" t="s">
        <v>4354</v>
      </c>
      <c r="J158" s="3176" t="s">
        <v>3783</v>
      </c>
      <c r="K158" s="3177"/>
      <c r="L158" s="3179">
        <v>5.48</v>
      </c>
      <c r="M158" s="3179">
        <v>5.48</v>
      </c>
      <c r="N158" s="3180"/>
      <c r="O158" s="3180">
        <f t="shared" si="70"/>
        <v>10.96</v>
      </c>
      <c r="P158" s="3180">
        <v>2000</v>
      </c>
      <c r="Q158" s="3180">
        <v>2000</v>
      </c>
      <c r="R158" s="3180"/>
      <c r="S158" s="3180">
        <f t="shared" si="71"/>
        <v>4000</v>
      </c>
      <c r="T158" s="3180">
        <v>21447</v>
      </c>
      <c r="U158" s="3180">
        <v>20000</v>
      </c>
      <c r="V158" s="3180">
        <f t="shared" si="72"/>
        <v>0</v>
      </c>
      <c r="W158" s="3180">
        <f t="shared" si="76"/>
        <v>41447</v>
      </c>
      <c r="X158" s="3181">
        <v>45341</v>
      </c>
      <c r="Y158" s="3181">
        <v>45716</v>
      </c>
      <c r="Z158" s="3181" t="s">
        <v>3784</v>
      </c>
      <c r="AA158" s="3182">
        <v>11</v>
      </c>
      <c r="AB158" s="3171"/>
    </row>
    <row r="159" spans="1:28" s="3183" customFormat="1" ht="34.5" customHeight="1">
      <c r="A159" s="3170">
        <v>42</v>
      </c>
      <c r="B159" s="3170">
        <v>152</v>
      </c>
      <c r="C159" s="3171" t="s">
        <v>4355</v>
      </c>
      <c r="D159" s="3172" t="s">
        <v>4290</v>
      </c>
      <c r="E159" s="3173" t="s">
        <v>3779</v>
      </c>
      <c r="F159" s="3171" t="s">
        <v>4356</v>
      </c>
      <c r="G159" s="3174">
        <f>1435+103</f>
        <v>1538</v>
      </c>
      <c r="H159" s="3176" t="s">
        <v>4357</v>
      </c>
      <c r="I159" s="3171" t="s">
        <v>4358</v>
      </c>
      <c r="J159" s="3176" t="s">
        <v>3783</v>
      </c>
      <c r="K159" s="3177"/>
      <c r="L159" s="3179">
        <v>2.83</v>
      </c>
      <c r="M159" s="3179">
        <v>2</v>
      </c>
      <c r="N159" s="3180"/>
      <c r="O159" s="3180">
        <f t="shared" si="70"/>
        <v>4.83</v>
      </c>
      <c r="P159" s="3180">
        <f t="shared" ref="P159:P163" si="78">L159*G159*365/12</f>
        <v>132389.75833333333</v>
      </c>
      <c r="Q159" s="3180">
        <f>M159*G159*365/12</f>
        <v>93561.666666666672</v>
      </c>
      <c r="R159" s="3180"/>
      <c r="S159" s="3180">
        <f t="shared" si="71"/>
        <v>225951.42499999999</v>
      </c>
      <c r="T159" s="3180">
        <v>1588677.12</v>
      </c>
      <c r="U159" s="3180">
        <f t="shared" si="77"/>
        <v>1122740</v>
      </c>
      <c r="V159" s="3180">
        <f t="shared" si="72"/>
        <v>0</v>
      </c>
      <c r="W159" s="3180">
        <f t="shared" si="76"/>
        <v>2711417.12</v>
      </c>
      <c r="X159" s="3181">
        <v>44531</v>
      </c>
      <c r="Y159" s="3181">
        <v>48182</v>
      </c>
      <c r="Z159" s="3181" t="s">
        <v>3784</v>
      </c>
      <c r="AA159" s="3182">
        <v>12</v>
      </c>
      <c r="AB159" s="3171"/>
    </row>
    <row r="160" spans="1:28" s="3183" customFormat="1" ht="34.5" customHeight="1">
      <c r="A160" s="3170">
        <v>60</v>
      </c>
      <c r="B160" s="3170">
        <v>153</v>
      </c>
      <c r="C160" s="3171" t="s">
        <v>4359</v>
      </c>
      <c r="D160" s="3172" t="s">
        <v>4290</v>
      </c>
      <c r="E160" s="3173" t="s">
        <v>3779</v>
      </c>
      <c r="F160" s="3171" t="s">
        <v>4360</v>
      </c>
      <c r="G160" s="3174">
        <v>80</v>
      </c>
      <c r="H160" s="3176" t="s">
        <v>3903</v>
      </c>
      <c r="I160" s="3171" t="s">
        <v>4361</v>
      </c>
      <c r="J160" s="3176" t="s">
        <v>3783</v>
      </c>
      <c r="K160" s="3177"/>
      <c r="L160" s="3179">
        <v>12</v>
      </c>
      <c r="M160" s="3179">
        <v>3</v>
      </c>
      <c r="N160" s="3180"/>
      <c r="O160" s="3180">
        <f t="shared" si="70"/>
        <v>15</v>
      </c>
      <c r="P160" s="3180">
        <f t="shared" si="78"/>
        <v>29200</v>
      </c>
      <c r="Q160" s="3180">
        <f>M160*G160*365/12</f>
        <v>7300</v>
      </c>
      <c r="R160" s="3180"/>
      <c r="S160" s="3180">
        <f t="shared" si="71"/>
        <v>36500</v>
      </c>
      <c r="T160" s="3180">
        <v>350400</v>
      </c>
      <c r="U160" s="3180">
        <f t="shared" si="77"/>
        <v>87600</v>
      </c>
      <c r="V160" s="3180">
        <f t="shared" si="72"/>
        <v>0</v>
      </c>
      <c r="W160" s="3180">
        <f t="shared" si="76"/>
        <v>438000</v>
      </c>
      <c r="X160" s="3181">
        <v>44423</v>
      </c>
      <c r="Y160" s="3181">
        <v>46248</v>
      </c>
      <c r="Z160" s="3181" t="s">
        <v>3784</v>
      </c>
      <c r="AA160" s="3182">
        <v>12</v>
      </c>
      <c r="AB160" s="3171"/>
    </row>
    <row r="161" spans="1:28" s="3183" customFormat="1" ht="34.5" customHeight="1">
      <c r="A161" s="3170">
        <v>73</v>
      </c>
      <c r="B161" s="3170">
        <v>154</v>
      </c>
      <c r="C161" s="3171" t="s">
        <v>4362</v>
      </c>
      <c r="D161" s="3172" t="s">
        <v>4290</v>
      </c>
      <c r="E161" s="3173" t="s">
        <v>3779</v>
      </c>
      <c r="F161" s="3171" t="s">
        <v>4363</v>
      </c>
      <c r="G161" s="3174">
        <v>71</v>
      </c>
      <c r="H161" s="3176" t="s">
        <v>4364</v>
      </c>
      <c r="I161" s="3171" t="s">
        <v>4365</v>
      </c>
      <c r="J161" s="3176" t="s">
        <v>3783</v>
      </c>
      <c r="K161" s="3177"/>
      <c r="L161" s="3179">
        <v>11</v>
      </c>
      <c r="M161" s="3179">
        <v>3</v>
      </c>
      <c r="N161" s="3180"/>
      <c r="O161" s="3180">
        <f t="shared" si="70"/>
        <v>14</v>
      </c>
      <c r="P161" s="3180">
        <f t="shared" si="78"/>
        <v>23755.416666666668</v>
      </c>
      <c r="Q161" s="3180">
        <f>M161*365*G161/12</f>
        <v>6478.75</v>
      </c>
      <c r="R161" s="3180"/>
      <c r="S161" s="3180">
        <f t="shared" si="71"/>
        <v>30234.166666666668</v>
      </c>
      <c r="T161" s="3180">
        <v>237554.2</v>
      </c>
      <c r="U161" s="3180">
        <f>Q161*AA161</f>
        <v>64787.5</v>
      </c>
      <c r="V161" s="3180">
        <f t="shared" si="72"/>
        <v>0</v>
      </c>
      <c r="W161" s="3180">
        <f t="shared" si="76"/>
        <v>302341.7</v>
      </c>
      <c r="X161" s="3181">
        <v>44501</v>
      </c>
      <c r="Y161" s="3181">
        <v>45596</v>
      </c>
      <c r="Z161" s="3181" t="s">
        <v>3784</v>
      </c>
      <c r="AA161" s="3182">
        <v>10</v>
      </c>
      <c r="AB161" s="3171"/>
    </row>
    <row r="162" spans="1:28" s="3183" customFormat="1" ht="34.5" customHeight="1">
      <c r="A162" s="3170">
        <v>74</v>
      </c>
      <c r="B162" s="3170">
        <v>155</v>
      </c>
      <c r="C162" s="3171" t="s">
        <v>4366</v>
      </c>
      <c r="D162" s="3172" t="s">
        <v>4290</v>
      </c>
      <c r="E162" s="3173" t="s">
        <v>3779</v>
      </c>
      <c r="F162" s="3171" t="s">
        <v>4367</v>
      </c>
      <c r="G162" s="3174">
        <v>809</v>
      </c>
      <c r="H162" s="3176" t="s">
        <v>3903</v>
      </c>
      <c r="I162" s="3171" t="s">
        <v>4368</v>
      </c>
      <c r="J162" s="3176" t="s">
        <v>3783</v>
      </c>
      <c r="K162" s="3177"/>
      <c r="L162" s="3179">
        <v>4.2</v>
      </c>
      <c r="M162" s="3179">
        <v>3</v>
      </c>
      <c r="N162" s="3180"/>
      <c r="O162" s="3180">
        <f t="shared" si="70"/>
        <v>7.2</v>
      </c>
      <c r="P162" s="3180">
        <f t="shared" si="78"/>
        <v>103349.75</v>
      </c>
      <c r="Q162" s="3180">
        <f>M162*365*G162/12</f>
        <v>73821.25</v>
      </c>
      <c r="R162" s="3180"/>
      <c r="S162" s="3180">
        <f t="shared" si="71"/>
        <v>177171</v>
      </c>
      <c r="T162" s="3180">
        <v>1240197</v>
      </c>
      <c r="U162" s="3180">
        <f t="shared" si="77"/>
        <v>885855</v>
      </c>
      <c r="V162" s="3180">
        <f t="shared" si="72"/>
        <v>0</v>
      </c>
      <c r="W162" s="3180">
        <f t="shared" si="76"/>
        <v>2126052</v>
      </c>
      <c r="X162" s="3181">
        <v>44470</v>
      </c>
      <c r="Y162" s="3181">
        <v>47391</v>
      </c>
      <c r="Z162" s="3181" t="s">
        <v>3784</v>
      </c>
      <c r="AA162" s="3182">
        <v>12</v>
      </c>
      <c r="AB162" s="3171"/>
    </row>
    <row r="163" spans="1:28" s="3183" customFormat="1" ht="34.5" customHeight="1">
      <c r="A163" s="3170">
        <v>90</v>
      </c>
      <c r="B163" s="3170">
        <v>156</v>
      </c>
      <c r="C163" s="3171" t="s">
        <v>4369</v>
      </c>
      <c r="D163" s="3172" t="s">
        <v>4290</v>
      </c>
      <c r="E163" s="3173" t="s">
        <v>3779</v>
      </c>
      <c r="F163" s="3188" t="s">
        <v>4370</v>
      </c>
      <c r="G163" s="3174">
        <v>23</v>
      </c>
      <c r="H163" s="3176" t="s">
        <v>3903</v>
      </c>
      <c r="I163" s="3171" t="s">
        <v>4371</v>
      </c>
      <c r="J163" s="3176" t="s">
        <v>3783</v>
      </c>
      <c r="K163" s="3177"/>
      <c r="L163" s="3179">
        <v>19</v>
      </c>
      <c r="M163" s="3179">
        <v>3</v>
      </c>
      <c r="N163" s="3180"/>
      <c r="O163" s="3180">
        <f t="shared" si="70"/>
        <v>22</v>
      </c>
      <c r="P163" s="3180">
        <f t="shared" si="78"/>
        <v>13292.083333333334</v>
      </c>
      <c r="Q163" s="3180">
        <f>M163*365*G163/12</f>
        <v>2098.75</v>
      </c>
      <c r="R163" s="3180"/>
      <c r="S163" s="3180">
        <f t="shared" si="71"/>
        <v>15390.833333333334</v>
      </c>
      <c r="T163" s="3180">
        <v>159505.01</v>
      </c>
      <c r="U163" s="3180">
        <f t="shared" si="77"/>
        <v>25185</v>
      </c>
      <c r="V163" s="3180">
        <f t="shared" si="72"/>
        <v>0</v>
      </c>
      <c r="W163" s="3180">
        <f t="shared" si="76"/>
        <v>184690.01</v>
      </c>
      <c r="X163" s="3181">
        <v>44562</v>
      </c>
      <c r="Y163" s="3181">
        <v>45657</v>
      </c>
      <c r="Z163" s="3181" t="s">
        <v>3784</v>
      </c>
      <c r="AA163" s="3182">
        <v>12</v>
      </c>
      <c r="AB163" s="3171"/>
    </row>
    <row r="164" spans="1:28" s="3183" customFormat="1" ht="34.5" customHeight="1">
      <c r="A164" s="3170">
        <v>103</v>
      </c>
      <c r="B164" s="3170">
        <v>157</v>
      </c>
      <c r="C164" s="3171" t="s">
        <v>4372</v>
      </c>
      <c r="D164" s="3172" t="s">
        <v>4290</v>
      </c>
      <c r="E164" s="3173" t="s">
        <v>3857</v>
      </c>
      <c r="F164" s="3171" t="s">
        <v>4373</v>
      </c>
      <c r="G164" s="3174">
        <v>62</v>
      </c>
      <c r="H164" s="3175" t="s">
        <v>4374</v>
      </c>
      <c r="I164" s="3180" t="s">
        <v>4375</v>
      </c>
      <c r="J164" s="3171" t="s">
        <v>4122</v>
      </c>
      <c r="K164" s="3177"/>
      <c r="L164" s="3179"/>
      <c r="M164" s="3179"/>
      <c r="N164" s="3180">
        <v>17.1064958020327</v>
      </c>
      <c r="O164" s="3180">
        <f t="shared" si="70"/>
        <v>17.1064958020327</v>
      </c>
      <c r="P164" s="3180"/>
      <c r="Q164" s="3180"/>
      <c r="R164" s="3180">
        <v>32260</v>
      </c>
      <c r="S164" s="3180">
        <f t="shared" si="71"/>
        <v>32260</v>
      </c>
      <c r="T164" s="3180">
        <f t="shared" si="73"/>
        <v>0</v>
      </c>
      <c r="U164" s="3180">
        <f t="shared" si="77"/>
        <v>0</v>
      </c>
      <c r="V164" s="3180">
        <v>379620</v>
      </c>
      <c r="W164" s="3180">
        <f t="shared" si="76"/>
        <v>379620</v>
      </c>
      <c r="X164" s="3181">
        <v>44713</v>
      </c>
      <c r="Y164" s="3181">
        <v>46173</v>
      </c>
      <c r="Z164" s="3181" t="s">
        <v>3784</v>
      </c>
      <c r="AA164" s="3182">
        <v>12</v>
      </c>
      <c r="AB164" s="3171" t="s">
        <v>4376</v>
      </c>
    </row>
    <row r="165" spans="1:28" s="3183" customFormat="1" ht="34.5" customHeight="1">
      <c r="A165" s="3170">
        <v>115</v>
      </c>
      <c r="B165" s="3170">
        <v>158</v>
      </c>
      <c r="C165" s="3171" t="s">
        <v>4377</v>
      </c>
      <c r="D165" s="3172" t="s">
        <v>4290</v>
      </c>
      <c r="E165" s="3173" t="s">
        <v>3779</v>
      </c>
      <c r="F165" s="3171" t="s">
        <v>4378</v>
      </c>
      <c r="G165" s="3174">
        <v>79</v>
      </c>
      <c r="H165" s="3175" t="s">
        <v>3903</v>
      </c>
      <c r="I165" s="3173" t="s">
        <v>4379</v>
      </c>
      <c r="J165" s="3176" t="s">
        <v>3783</v>
      </c>
      <c r="K165" s="3177"/>
      <c r="L165" s="3179">
        <v>9</v>
      </c>
      <c r="M165" s="3179">
        <v>3</v>
      </c>
      <c r="N165" s="3180"/>
      <c r="O165" s="3180">
        <f t="shared" ref="O165:O190" si="79">SUM(L165:N165)</f>
        <v>12</v>
      </c>
      <c r="P165" s="3180">
        <f>L165*G165*365/12</f>
        <v>21626.25</v>
      </c>
      <c r="Q165" s="3180">
        <f>M165*G165*365/12</f>
        <v>7208.75</v>
      </c>
      <c r="R165" s="3180">
        <f t="shared" ref="R165:R169" si="80">N165*G165*365/12</f>
        <v>0</v>
      </c>
      <c r="S165" s="3180">
        <f t="shared" si="71"/>
        <v>28835</v>
      </c>
      <c r="T165" s="3180">
        <v>259515</v>
      </c>
      <c r="U165" s="3180">
        <f t="shared" si="77"/>
        <v>86505</v>
      </c>
      <c r="V165" s="3180">
        <f t="shared" ref="V165:V210" si="81">N165*G165*365</f>
        <v>0</v>
      </c>
      <c r="W165" s="3180">
        <f t="shared" si="76"/>
        <v>346020</v>
      </c>
      <c r="X165" s="3181">
        <v>44835</v>
      </c>
      <c r="Y165" s="3181">
        <v>45930</v>
      </c>
      <c r="Z165" s="3181" t="s">
        <v>3784</v>
      </c>
      <c r="AA165" s="3182">
        <v>12</v>
      </c>
      <c r="AB165" s="3171"/>
    </row>
    <row r="166" spans="1:28" s="3183" customFormat="1" ht="34.5" customHeight="1">
      <c r="A166" s="3170">
        <v>298</v>
      </c>
      <c r="B166" s="3170">
        <v>159</v>
      </c>
      <c r="C166" s="3171" t="s">
        <v>4380</v>
      </c>
      <c r="D166" s="3172" t="s">
        <v>4290</v>
      </c>
      <c r="E166" s="3173" t="s">
        <v>3779</v>
      </c>
      <c r="F166" s="3171" t="s">
        <v>4381</v>
      </c>
      <c r="G166" s="3174">
        <v>42</v>
      </c>
      <c r="H166" s="3175" t="s">
        <v>3903</v>
      </c>
      <c r="I166" s="3173" t="s">
        <v>4382</v>
      </c>
      <c r="J166" s="3176" t="s">
        <v>3783</v>
      </c>
      <c r="K166" s="3177"/>
      <c r="L166" s="3179">
        <v>10.5</v>
      </c>
      <c r="M166" s="3179">
        <v>3</v>
      </c>
      <c r="N166" s="3180"/>
      <c r="O166" s="3180">
        <f t="shared" si="79"/>
        <v>13.5</v>
      </c>
      <c r="P166" s="3180">
        <f>L166*G166*365/12</f>
        <v>13413.75</v>
      </c>
      <c r="Q166" s="3180">
        <f>M166*G166*365/12</f>
        <v>3832.5</v>
      </c>
      <c r="R166" s="3180">
        <f t="shared" si="80"/>
        <v>0</v>
      </c>
      <c r="S166" s="3180">
        <f t="shared" si="71"/>
        <v>17246.25</v>
      </c>
      <c r="T166" s="3180">
        <v>162242.5</v>
      </c>
      <c r="U166" s="3180">
        <f t="shared" si="77"/>
        <v>45990</v>
      </c>
      <c r="V166" s="3180">
        <f t="shared" si="81"/>
        <v>0</v>
      </c>
      <c r="W166" s="3180">
        <f t="shared" si="76"/>
        <v>208232.5</v>
      </c>
      <c r="X166" s="3181">
        <v>45261</v>
      </c>
      <c r="Y166" s="3181">
        <v>46356</v>
      </c>
      <c r="Z166" s="3181" t="s">
        <v>3784</v>
      </c>
      <c r="AA166" s="3182">
        <v>12</v>
      </c>
      <c r="AB166" s="3171" t="s">
        <v>4383</v>
      </c>
    </row>
    <row r="167" spans="1:28" s="3183" customFormat="1" ht="34.5" customHeight="1">
      <c r="A167" s="3170">
        <v>119</v>
      </c>
      <c r="B167" s="3170">
        <v>160</v>
      </c>
      <c r="C167" s="3171" t="s">
        <v>4384</v>
      </c>
      <c r="D167" s="3172" t="s">
        <v>4290</v>
      </c>
      <c r="E167" s="3173" t="s">
        <v>3779</v>
      </c>
      <c r="F167" s="3171" t="s">
        <v>4385</v>
      </c>
      <c r="G167" s="3174">
        <v>235</v>
      </c>
      <c r="H167" s="3175" t="s">
        <v>3903</v>
      </c>
      <c r="I167" s="3173" t="s">
        <v>4386</v>
      </c>
      <c r="J167" s="3176" t="s">
        <v>3783</v>
      </c>
      <c r="K167" s="3177"/>
      <c r="L167" s="3179">
        <v>4.5149999999999997</v>
      </c>
      <c r="M167" s="3179">
        <v>3</v>
      </c>
      <c r="N167" s="3180"/>
      <c r="O167" s="3180">
        <f t="shared" si="79"/>
        <v>7.5149999999999997</v>
      </c>
      <c r="P167" s="3180">
        <f>L167*G167*365/12</f>
        <v>32272.843749999996</v>
      </c>
      <c r="Q167" s="3180">
        <f>M167*G167*365/12</f>
        <v>21443.75</v>
      </c>
      <c r="R167" s="3180">
        <f t="shared" si="80"/>
        <v>0</v>
      </c>
      <c r="S167" s="3180">
        <f t="shared" si="71"/>
        <v>53716.59375</v>
      </c>
      <c r="T167" s="3180">
        <v>570046.37</v>
      </c>
      <c r="U167" s="3180">
        <f t="shared" si="77"/>
        <v>257325</v>
      </c>
      <c r="V167" s="3180">
        <f t="shared" si="81"/>
        <v>0</v>
      </c>
      <c r="W167" s="3180">
        <f t="shared" si="76"/>
        <v>827371.37</v>
      </c>
      <c r="X167" s="3181">
        <v>44774</v>
      </c>
      <c r="Y167" s="3181">
        <v>46234</v>
      </c>
      <c r="Z167" s="3181" t="s">
        <v>3784</v>
      </c>
      <c r="AA167" s="3182">
        <v>12</v>
      </c>
      <c r="AB167" s="3171" t="s">
        <v>4387</v>
      </c>
    </row>
    <row r="168" spans="1:28" s="3183" customFormat="1" ht="34.5" customHeight="1">
      <c r="A168" s="3170">
        <v>89</v>
      </c>
      <c r="B168" s="3170">
        <v>161</v>
      </c>
      <c r="C168" s="3171" t="s">
        <v>4388</v>
      </c>
      <c r="D168" s="3172" t="s">
        <v>4290</v>
      </c>
      <c r="E168" s="3173" t="s">
        <v>3857</v>
      </c>
      <c r="F168" s="3171" t="s">
        <v>4389</v>
      </c>
      <c r="G168" s="3174">
        <v>166</v>
      </c>
      <c r="H168" s="3176" t="s">
        <v>4390</v>
      </c>
      <c r="I168" s="3171" t="s">
        <v>4390</v>
      </c>
      <c r="J168" s="3171" t="s">
        <v>4122</v>
      </c>
      <c r="K168" s="3177"/>
      <c r="L168" s="3179"/>
      <c r="M168" s="3179"/>
      <c r="N168" s="3180">
        <v>6</v>
      </c>
      <c r="O168" s="3180">
        <f t="shared" si="79"/>
        <v>6</v>
      </c>
      <c r="P168" s="3180"/>
      <c r="Q168" s="3180">
        <f t="shared" ref="Q168:Q172" si="82">M168*G168*365/12</f>
        <v>0</v>
      </c>
      <c r="R168" s="3180">
        <f t="shared" si="80"/>
        <v>30295</v>
      </c>
      <c r="S168" s="3180">
        <f t="shared" si="71"/>
        <v>30295</v>
      </c>
      <c r="T168" s="3180">
        <f t="shared" ref="T168:T189" si="83">L168*G168*365</f>
        <v>0</v>
      </c>
      <c r="U168" s="3180">
        <f t="shared" si="77"/>
        <v>0</v>
      </c>
      <c r="V168" s="3180">
        <v>355966.25</v>
      </c>
      <c r="W168" s="3180">
        <f t="shared" si="76"/>
        <v>355966.25</v>
      </c>
      <c r="X168" s="3181">
        <v>44652</v>
      </c>
      <c r="Y168" s="3181">
        <v>45747</v>
      </c>
      <c r="Z168" s="3181" t="s">
        <v>3784</v>
      </c>
      <c r="AA168" s="3182">
        <v>12</v>
      </c>
      <c r="AB168" s="3171" t="s">
        <v>4391</v>
      </c>
    </row>
    <row r="169" spans="1:28" s="3183" customFormat="1" ht="34.5" customHeight="1">
      <c r="A169" s="3170">
        <v>120</v>
      </c>
      <c r="B169" s="3170">
        <v>162</v>
      </c>
      <c r="C169" s="3171" t="s">
        <v>4392</v>
      </c>
      <c r="D169" s="3172" t="s">
        <v>4290</v>
      </c>
      <c r="E169" s="3173" t="s">
        <v>3857</v>
      </c>
      <c r="F169" s="3171" t="s">
        <v>4393</v>
      </c>
      <c r="G169" s="3174">
        <v>630</v>
      </c>
      <c r="H169" s="3175" t="s">
        <v>4035</v>
      </c>
      <c r="I169" s="3173" t="s">
        <v>4394</v>
      </c>
      <c r="J169" s="3171" t="s">
        <v>4122</v>
      </c>
      <c r="K169" s="3177"/>
      <c r="L169" s="3179"/>
      <c r="M169" s="3179"/>
      <c r="N169" s="3180">
        <v>4.5</v>
      </c>
      <c r="O169" s="3180">
        <f t="shared" si="79"/>
        <v>4.5</v>
      </c>
      <c r="P169" s="3180"/>
      <c r="Q169" s="3180">
        <f t="shared" si="82"/>
        <v>0</v>
      </c>
      <c r="R169" s="3180">
        <f t="shared" si="80"/>
        <v>86231.25</v>
      </c>
      <c r="S169" s="3180">
        <f t="shared" si="71"/>
        <v>86231.25</v>
      </c>
      <c r="T169" s="3180">
        <f t="shared" si="83"/>
        <v>0</v>
      </c>
      <c r="U169" s="3180">
        <f t="shared" si="77"/>
        <v>0</v>
      </c>
      <c r="V169" s="3180">
        <v>1006031.25</v>
      </c>
      <c r="W169" s="3180">
        <f t="shared" si="76"/>
        <v>1006031.25</v>
      </c>
      <c r="X169" s="3181">
        <v>44652</v>
      </c>
      <c r="Y169" s="3181">
        <v>46843</v>
      </c>
      <c r="Z169" s="3181" t="s">
        <v>3784</v>
      </c>
      <c r="AA169" s="3182">
        <v>12</v>
      </c>
      <c r="AB169" s="3171" t="s">
        <v>4395</v>
      </c>
    </row>
    <row r="170" spans="1:28" s="3183" customFormat="1" ht="34.5" customHeight="1">
      <c r="A170" s="3170">
        <v>170</v>
      </c>
      <c r="B170" s="3170">
        <v>163</v>
      </c>
      <c r="C170" s="3171" t="s">
        <v>4396</v>
      </c>
      <c r="D170" s="3172" t="s">
        <v>4290</v>
      </c>
      <c r="E170" s="3173" t="s">
        <v>3779</v>
      </c>
      <c r="F170" s="3171" t="s">
        <v>4397</v>
      </c>
      <c r="G170" s="3174">
        <v>29</v>
      </c>
      <c r="H170" s="3175" t="s">
        <v>3781</v>
      </c>
      <c r="I170" s="3173" t="s">
        <v>4398</v>
      </c>
      <c r="J170" s="3176" t="s">
        <v>3783</v>
      </c>
      <c r="K170" s="3177"/>
      <c r="L170" s="3179">
        <v>12</v>
      </c>
      <c r="M170" s="3179">
        <v>3</v>
      </c>
      <c r="N170" s="3180"/>
      <c r="O170" s="3180">
        <f t="shared" si="79"/>
        <v>15</v>
      </c>
      <c r="P170" s="3180">
        <f>L170*G170*365/12</f>
        <v>10585</v>
      </c>
      <c r="Q170" s="3180">
        <f t="shared" si="82"/>
        <v>2646.25</v>
      </c>
      <c r="R170" s="3180"/>
      <c r="S170" s="3180">
        <f t="shared" si="71"/>
        <v>13231.25</v>
      </c>
      <c r="T170" s="3180">
        <v>122609.58</v>
      </c>
      <c r="U170" s="3180">
        <f t="shared" si="77"/>
        <v>31755</v>
      </c>
      <c r="V170" s="3180">
        <f t="shared" si="81"/>
        <v>0</v>
      </c>
      <c r="W170" s="3180">
        <f t="shared" si="76"/>
        <v>154364.58000000002</v>
      </c>
      <c r="X170" s="3181">
        <v>45078</v>
      </c>
      <c r="Y170" s="3181">
        <v>45808</v>
      </c>
      <c r="Z170" s="3181" t="s">
        <v>3784</v>
      </c>
      <c r="AA170" s="3182">
        <v>12</v>
      </c>
      <c r="AB170" s="3171" t="s">
        <v>4399</v>
      </c>
    </row>
    <row r="171" spans="1:28" s="3183" customFormat="1" ht="34.5" customHeight="1">
      <c r="A171" s="3170">
        <v>151</v>
      </c>
      <c r="B171" s="3170">
        <v>164</v>
      </c>
      <c r="C171" s="3171" t="s">
        <v>4400</v>
      </c>
      <c r="D171" s="3172" t="s">
        <v>4290</v>
      </c>
      <c r="E171" s="3173" t="s">
        <v>3779</v>
      </c>
      <c r="F171" s="3171" t="s">
        <v>4401</v>
      </c>
      <c r="G171" s="3174">
        <v>174</v>
      </c>
      <c r="H171" s="3176" t="s">
        <v>4402</v>
      </c>
      <c r="I171" s="3171" t="s">
        <v>4403</v>
      </c>
      <c r="J171" s="3176" t="s">
        <v>3783</v>
      </c>
      <c r="K171" s="3177"/>
      <c r="L171" s="3179">
        <v>3</v>
      </c>
      <c r="M171" s="3179">
        <v>3</v>
      </c>
      <c r="N171" s="3180"/>
      <c r="O171" s="3180">
        <f t="shared" si="79"/>
        <v>6</v>
      </c>
      <c r="P171" s="3180">
        <f>L171*G171*365/12</f>
        <v>15877.5</v>
      </c>
      <c r="Q171" s="3180">
        <f t="shared" si="82"/>
        <v>15877.5</v>
      </c>
      <c r="R171" s="3180"/>
      <c r="S171" s="3180">
        <f t="shared" si="71"/>
        <v>31755</v>
      </c>
      <c r="T171" s="3180">
        <v>198468.75</v>
      </c>
      <c r="U171" s="3180">
        <f t="shared" si="77"/>
        <v>190530</v>
      </c>
      <c r="V171" s="3180">
        <f t="shared" si="81"/>
        <v>0</v>
      </c>
      <c r="W171" s="3180">
        <f t="shared" si="76"/>
        <v>388998.75</v>
      </c>
      <c r="X171" s="3181">
        <v>45026</v>
      </c>
      <c r="Y171" s="3181">
        <v>45756</v>
      </c>
      <c r="Z171" s="3181" t="s">
        <v>3784</v>
      </c>
      <c r="AA171" s="3182">
        <v>12</v>
      </c>
      <c r="AB171" s="3171" t="s">
        <v>4404</v>
      </c>
    </row>
    <row r="172" spans="1:28" s="3183" customFormat="1" ht="34.5" customHeight="1">
      <c r="A172" s="3170">
        <v>301</v>
      </c>
      <c r="B172" s="3170">
        <v>165</v>
      </c>
      <c r="C172" s="3171" t="s">
        <v>4405</v>
      </c>
      <c r="D172" s="3172" t="s">
        <v>4290</v>
      </c>
      <c r="E172" s="3173" t="s">
        <v>3779</v>
      </c>
      <c r="F172" s="3171" t="s">
        <v>4406</v>
      </c>
      <c r="G172" s="3174">
        <v>85</v>
      </c>
      <c r="H172" s="3175" t="s">
        <v>3903</v>
      </c>
      <c r="I172" s="3173" t="s">
        <v>4407</v>
      </c>
      <c r="J172" s="3176" t="s">
        <v>3783</v>
      </c>
      <c r="K172" s="3177"/>
      <c r="L172" s="3179">
        <v>5.5</v>
      </c>
      <c r="M172" s="3179">
        <v>3</v>
      </c>
      <c r="N172" s="3180"/>
      <c r="O172" s="3180">
        <f t="shared" si="79"/>
        <v>8.5</v>
      </c>
      <c r="P172" s="3180">
        <f>L172*G172*365/12</f>
        <v>14219.791666666666</v>
      </c>
      <c r="Q172" s="3180">
        <f t="shared" si="82"/>
        <v>7756.25</v>
      </c>
      <c r="R172" s="3180"/>
      <c r="S172" s="3180">
        <f t="shared" si="71"/>
        <v>21976.041666666664</v>
      </c>
      <c r="T172" s="3180">
        <f>P172*AA172</f>
        <v>156417.70833333331</v>
      </c>
      <c r="U172" s="3180">
        <f>Q172*AA172</f>
        <v>85318.75</v>
      </c>
      <c r="V172" s="3180">
        <f t="shared" si="81"/>
        <v>0</v>
      </c>
      <c r="W172" s="3180">
        <f t="shared" si="76"/>
        <v>241736.45833333331</v>
      </c>
      <c r="X172" s="3181">
        <v>45292</v>
      </c>
      <c r="Y172" s="3181">
        <v>46387</v>
      </c>
      <c r="Z172" s="3181" t="s">
        <v>3784</v>
      </c>
      <c r="AA172" s="3182">
        <v>11</v>
      </c>
      <c r="AB172" s="3171"/>
    </row>
    <row r="173" spans="1:28" s="3183" customFormat="1" ht="34.5" customHeight="1">
      <c r="A173" s="3170">
        <v>301</v>
      </c>
      <c r="B173" s="3170">
        <v>166</v>
      </c>
      <c r="C173" s="3171" t="s">
        <v>4405</v>
      </c>
      <c r="D173" s="3172" t="s">
        <v>4290</v>
      </c>
      <c r="E173" s="3173" t="s">
        <v>3779</v>
      </c>
      <c r="F173" s="3171" t="s">
        <v>4232</v>
      </c>
      <c r="G173" s="3174">
        <v>13</v>
      </c>
      <c r="H173" s="3175" t="s">
        <v>3903</v>
      </c>
      <c r="I173" s="3173" t="s">
        <v>4407</v>
      </c>
      <c r="J173" s="3176" t="s">
        <v>3783</v>
      </c>
      <c r="K173" s="3177"/>
      <c r="L173" s="3179">
        <v>3</v>
      </c>
      <c r="M173" s="3179"/>
      <c r="N173" s="3180"/>
      <c r="O173" s="3180">
        <f t="shared" si="79"/>
        <v>3</v>
      </c>
      <c r="P173" s="3180">
        <f>L173*G173*365/12</f>
        <v>1186.25</v>
      </c>
      <c r="Q173" s="3180"/>
      <c r="R173" s="3180"/>
      <c r="S173" s="3180">
        <f t="shared" si="71"/>
        <v>1186.25</v>
      </c>
      <c r="T173" s="3180">
        <v>5970.25</v>
      </c>
      <c r="U173" s="3180">
        <f t="shared" ref="U173:U177" si="84">Q173*AA173</f>
        <v>0</v>
      </c>
      <c r="V173" s="3180">
        <f t="shared" si="81"/>
        <v>0</v>
      </c>
      <c r="W173" s="3180">
        <f t="shared" si="76"/>
        <v>5970.25</v>
      </c>
      <c r="X173" s="3181">
        <v>45292</v>
      </c>
      <c r="Y173" s="3181">
        <v>46387</v>
      </c>
      <c r="Z173" s="3181" t="s">
        <v>3784</v>
      </c>
      <c r="AA173" s="3182">
        <v>11</v>
      </c>
      <c r="AB173" s="3171"/>
    </row>
    <row r="174" spans="1:28" s="3183" customFormat="1" ht="34.5" customHeight="1">
      <c r="A174" s="3170">
        <v>130</v>
      </c>
      <c r="B174" s="3170">
        <v>167</v>
      </c>
      <c r="C174" s="3171" t="s">
        <v>4408</v>
      </c>
      <c r="D174" s="3172" t="s">
        <v>4290</v>
      </c>
      <c r="E174" s="3173" t="s">
        <v>3779</v>
      </c>
      <c r="F174" s="3171" t="s">
        <v>4409</v>
      </c>
      <c r="G174" s="3174">
        <v>84</v>
      </c>
      <c r="H174" s="3175" t="s">
        <v>3903</v>
      </c>
      <c r="I174" s="3173" t="s">
        <v>4410</v>
      </c>
      <c r="J174" s="3176" t="s">
        <v>3844</v>
      </c>
      <c r="K174" s="3170"/>
      <c r="L174" s="3185">
        <v>11</v>
      </c>
      <c r="M174" s="3179">
        <v>3</v>
      </c>
      <c r="N174" s="3180"/>
      <c r="O174" s="3180">
        <f t="shared" si="79"/>
        <v>14</v>
      </c>
      <c r="P174" s="3175">
        <f>L174*G174*365/12</f>
        <v>28105</v>
      </c>
      <c r="Q174" s="3186">
        <f>M174*G174*365/12</f>
        <v>7665</v>
      </c>
      <c r="R174" s="3186"/>
      <c r="S174" s="3180">
        <f t="shared" si="71"/>
        <v>35770</v>
      </c>
      <c r="T174" s="3180">
        <v>322672</v>
      </c>
      <c r="U174" s="3180">
        <f t="shared" si="84"/>
        <v>91980</v>
      </c>
      <c r="V174" s="3180">
        <f t="shared" si="81"/>
        <v>0</v>
      </c>
      <c r="W174" s="3180">
        <f t="shared" si="76"/>
        <v>414652</v>
      </c>
      <c r="X174" s="3187">
        <v>44730</v>
      </c>
      <c r="Y174" s="3187">
        <v>46555</v>
      </c>
      <c r="Z174" s="3181" t="s">
        <v>3784</v>
      </c>
      <c r="AA174" s="3182">
        <v>12</v>
      </c>
      <c r="AB174" s="3171" t="s">
        <v>4411</v>
      </c>
    </row>
    <row r="175" spans="1:28" s="3183" customFormat="1" ht="34.5" customHeight="1">
      <c r="A175" s="3186">
        <v>201</v>
      </c>
      <c r="B175" s="3170">
        <v>168</v>
      </c>
      <c r="C175" s="3171" t="s">
        <v>4412</v>
      </c>
      <c r="D175" s="3172" t="s">
        <v>4290</v>
      </c>
      <c r="E175" s="3173" t="s">
        <v>3779</v>
      </c>
      <c r="F175" s="3171" t="s">
        <v>4413</v>
      </c>
      <c r="G175" s="3174">
        <v>32</v>
      </c>
      <c r="H175" s="3175" t="s">
        <v>3903</v>
      </c>
      <c r="I175" s="3173" t="s">
        <v>4414</v>
      </c>
      <c r="J175" s="3176" t="s">
        <v>3783</v>
      </c>
      <c r="K175" s="3172"/>
      <c r="L175" s="3185">
        <v>6.86</v>
      </c>
      <c r="M175" s="3185">
        <v>5.14</v>
      </c>
      <c r="N175" s="3186"/>
      <c r="O175" s="3180">
        <f t="shared" si="79"/>
        <v>12</v>
      </c>
      <c r="P175" s="3175">
        <v>6680</v>
      </c>
      <c r="Q175" s="3175">
        <v>5000</v>
      </c>
      <c r="R175" s="3175"/>
      <c r="S175" s="3180">
        <f t="shared" si="71"/>
        <v>11680</v>
      </c>
      <c r="T175" s="3180">
        <v>84260</v>
      </c>
      <c r="U175" s="3180">
        <f t="shared" si="84"/>
        <v>60000</v>
      </c>
      <c r="V175" s="3180">
        <f t="shared" si="81"/>
        <v>0</v>
      </c>
      <c r="W175" s="3180">
        <f t="shared" si="76"/>
        <v>144260</v>
      </c>
      <c r="X175" s="3187">
        <v>45139</v>
      </c>
      <c r="Y175" s="3187">
        <v>45869</v>
      </c>
      <c r="Z175" s="3181" t="s">
        <v>3784</v>
      </c>
      <c r="AA175" s="3182">
        <v>12</v>
      </c>
      <c r="AB175" s="3171" t="s">
        <v>4415</v>
      </c>
    </row>
    <row r="176" spans="1:28" s="3183" customFormat="1" ht="34.5" customHeight="1">
      <c r="A176" s="3170">
        <v>200</v>
      </c>
      <c r="B176" s="3170">
        <v>169</v>
      </c>
      <c r="C176" s="3171" t="s">
        <v>4416</v>
      </c>
      <c r="D176" s="3172" t="s">
        <v>4290</v>
      </c>
      <c r="E176" s="3173" t="s">
        <v>3779</v>
      </c>
      <c r="F176" s="3171" t="s">
        <v>4417</v>
      </c>
      <c r="G176" s="3174">
        <v>44</v>
      </c>
      <c r="H176" s="3175" t="s">
        <v>3903</v>
      </c>
      <c r="I176" s="3173" t="s">
        <v>4418</v>
      </c>
      <c r="J176" s="3176" t="s">
        <v>3783</v>
      </c>
      <c r="K176" s="3177"/>
      <c r="L176" s="3179">
        <v>10.45</v>
      </c>
      <c r="M176" s="3179">
        <v>3</v>
      </c>
      <c r="N176" s="3180"/>
      <c r="O176" s="3180">
        <f t="shared" si="79"/>
        <v>13.45</v>
      </c>
      <c r="P176" s="3180">
        <v>13985.58</v>
      </c>
      <c r="Q176" s="3180">
        <f>M176*G176*365/12</f>
        <v>4015</v>
      </c>
      <c r="R176" s="3180"/>
      <c r="S176" s="3180">
        <f t="shared" si="71"/>
        <v>18000.580000000002</v>
      </c>
      <c r="T176" s="3180">
        <v>172845.71</v>
      </c>
      <c r="U176" s="3180">
        <f t="shared" si="84"/>
        <v>48180</v>
      </c>
      <c r="V176" s="3180">
        <f t="shared" si="81"/>
        <v>0</v>
      </c>
      <c r="W176" s="3180">
        <f t="shared" si="76"/>
        <v>221025.71</v>
      </c>
      <c r="X176" s="3181">
        <v>45139</v>
      </c>
      <c r="Y176" s="3181">
        <v>45869</v>
      </c>
      <c r="Z176" s="3181" t="s">
        <v>3784</v>
      </c>
      <c r="AA176" s="3182">
        <v>12</v>
      </c>
      <c r="AB176" s="3171" t="s">
        <v>4419</v>
      </c>
    </row>
    <row r="177" spans="1:28" s="3183" customFormat="1" ht="34.5" customHeight="1">
      <c r="A177" s="3170">
        <v>193</v>
      </c>
      <c r="B177" s="3170">
        <v>170</v>
      </c>
      <c r="C177" s="3171" t="s">
        <v>4420</v>
      </c>
      <c r="D177" s="3172" t="s">
        <v>4290</v>
      </c>
      <c r="E177" s="3173" t="s">
        <v>3779</v>
      </c>
      <c r="F177" s="3171" t="s">
        <v>4295</v>
      </c>
      <c r="G177" s="3174">
        <v>12</v>
      </c>
      <c r="H177" s="3175" t="s">
        <v>3903</v>
      </c>
      <c r="I177" s="3173" t="s">
        <v>4421</v>
      </c>
      <c r="J177" s="3176" t="s">
        <v>3783</v>
      </c>
      <c r="K177" s="3170"/>
      <c r="L177" s="3179">
        <v>19.178082191780799</v>
      </c>
      <c r="M177" s="3179">
        <v>8.2191780821917799</v>
      </c>
      <c r="N177" s="3180"/>
      <c r="O177" s="3180">
        <f t="shared" si="79"/>
        <v>27.397260273972577</v>
      </c>
      <c r="P177" s="3180">
        <v>7000</v>
      </c>
      <c r="Q177" s="3195">
        <v>3000</v>
      </c>
      <c r="R177" s="3195"/>
      <c r="S177" s="3180">
        <f t="shared" si="71"/>
        <v>10000</v>
      </c>
      <c r="T177" s="3180">
        <v>89000</v>
      </c>
      <c r="U177" s="3180">
        <f t="shared" si="84"/>
        <v>36000</v>
      </c>
      <c r="V177" s="3180">
        <f t="shared" si="81"/>
        <v>0</v>
      </c>
      <c r="W177" s="3180">
        <f t="shared" si="76"/>
        <v>125000</v>
      </c>
      <c r="X177" s="3181">
        <v>45139</v>
      </c>
      <c r="Y177" s="3181">
        <v>45869</v>
      </c>
      <c r="Z177" s="3181" t="s">
        <v>3784</v>
      </c>
      <c r="AA177" s="3182">
        <v>12</v>
      </c>
      <c r="AB177" s="3171" t="s">
        <v>4422</v>
      </c>
    </row>
    <row r="178" spans="1:28" s="3183" customFormat="1" ht="34.5" customHeight="1">
      <c r="A178" s="3170">
        <v>329</v>
      </c>
      <c r="B178" s="3170">
        <v>171</v>
      </c>
      <c r="C178" s="3171" t="s">
        <v>4423</v>
      </c>
      <c r="D178" s="3172" t="s">
        <v>4290</v>
      </c>
      <c r="E178" s="3173" t="s">
        <v>3779</v>
      </c>
      <c r="F178" s="3171" t="s">
        <v>4424</v>
      </c>
      <c r="G178" s="3174">
        <v>168</v>
      </c>
      <c r="H178" s="3175" t="s">
        <v>3903</v>
      </c>
      <c r="I178" s="3173" t="s">
        <v>4425</v>
      </c>
      <c r="J178" s="3176" t="s">
        <v>3783</v>
      </c>
      <c r="K178" s="3177"/>
      <c r="L178" s="3179">
        <v>2</v>
      </c>
      <c r="M178" s="3179">
        <v>3</v>
      </c>
      <c r="N178" s="3180"/>
      <c r="O178" s="3180">
        <f t="shared" si="79"/>
        <v>5</v>
      </c>
      <c r="P178" s="3180">
        <f>L178*G178*365/12</f>
        <v>10220</v>
      </c>
      <c r="Q178" s="3180">
        <f>M178*G178*365/12</f>
        <v>15330</v>
      </c>
      <c r="R178" s="3180"/>
      <c r="S178" s="3180">
        <f t="shared" si="71"/>
        <v>25550</v>
      </c>
      <c r="T178" s="3180">
        <v>87136</v>
      </c>
      <c r="U178" s="3180">
        <v>130704</v>
      </c>
      <c r="V178" s="3180">
        <f t="shared" si="81"/>
        <v>0</v>
      </c>
      <c r="W178" s="3180">
        <f t="shared" si="76"/>
        <v>217840</v>
      </c>
      <c r="X178" s="3181">
        <v>45352</v>
      </c>
      <c r="Y178" s="3181">
        <v>46812</v>
      </c>
      <c r="Z178" s="3181" t="s">
        <v>3784</v>
      </c>
      <c r="AA178" s="3182">
        <v>8</v>
      </c>
      <c r="AB178" s="3171" t="s">
        <v>4426</v>
      </c>
    </row>
    <row r="179" spans="1:28" s="3183" customFormat="1" ht="34.5" customHeight="1">
      <c r="A179" s="3186">
        <v>141</v>
      </c>
      <c r="B179" s="3170">
        <v>172</v>
      </c>
      <c r="C179" s="3171" t="s">
        <v>4427</v>
      </c>
      <c r="D179" s="3172" t="s">
        <v>4290</v>
      </c>
      <c r="E179" s="3173" t="s">
        <v>3779</v>
      </c>
      <c r="F179" s="3171" t="s">
        <v>4428</v>
      </c>
      <c r="G179" s="3174">
        <v>296</v>
      </c>
      <c r="H179" s="3175" t="s">
        <v>3903</v>
      </c>
      <c r="I179" s="3188" t="s">
        <v>4429</v>
      </c>
      <c r="J179" s="3176" t="s">
        <v>3783</v>
      </c>
      <c r="K179" s="3172"/>
      <c r="L179" s="3185">
        <v>7.5</v>
      </c>
      <c r="M179" s="3185">
        <v>3</v>
      </c>
      <c r="N179" s="3186"/>
      <c r="O179" s="3180">
        <f t="shared" si="79"/>
        <v>10.5</v>
      </c>
      <c r="P179" s="3186">
        <f>L179*G179*365/12</f>
        <v>67525</v>
      </c>
      <c r="Q179" s="3186">
        <f>M179*G179*365/12</f>
        <v>27010</v>
      </c>
      <c r="R179" s="3186"/>
      <c r="S179" s="3180">
        <f t="shared" si="71"/>
        <v>94535</v>
      </c>
      <c r="T179" s="3180">
        <v>801296.66</v>
      </c>
      <c r="U179" s="3180">
        <f t="shared" si="77"/>
        <v>324120</v>
      </c>
      <c r="V179" s="3180">
        <f t="shared" si="81"/>
        <v>0</v>
      </c>
      <c r="W179" s="3180">
        <f t="shared" si="76"/>
        <v>1125416.6600000001</v>
      </c>
      <c r="X179" s="3187">
        <v>44986</v>
      </c>
      <c r="Y179" s="3187">
        <v>46812</v>
      </c>
      <c r="Z179" s="3181" t="s">
        <v>3784</v>
      </c>
      <c r="AA179" s="3182">
        <v>12</v>
      </c>
      <c r="AB179" s="3171" t="s">
        <v>4430</v>
      </c>
    </row>
    <row r="180" spans="1:28" s="3183" customFormat="1" ht="34.5" customHeight="1">
      <c r="A180" s="3170">
        <v>176</v>
      </c>
      <c r="B180" s="3170">
        <v>173</v>
      </c>
      <c r="C180" s="3171" t="s">
        <v>4431</v>
      </c>
      <c r="D180" s="3172" t="s">
        <v>4290</v>
      </c>
      <c r="E180" s="3173" t="s">
        <v>3779</v>
      </c>
      <c r="F180" s="3171" t="s">
        <v>4432</v>
      </c>
      <c r="G180" s="3174">
        <v>276</v>
      </c>
      <c r="H180" s="3175" t="s">
        <v>4035</v>
      </c>
      <c r="I180" s="3173" t="s">
        <v>4433</v>
      </c>
      <c r="J180" s="3176" t="s">
        <v>3783</v>
      </c>
      <c r="K180" s="3177"/>
      <c r="L180" s="3179">
        <v>2.5</v>
      </c>
      <c r="M180" s="3179">
        <v>3</v>
      </c>
      <c r="N180" s="3180"/>
      <c r="O180" s="3180">
        <f t="shared" si="79"/>
        <v>5.5</v>
      </c>
      <c r="P180" s="3220">
        <f>L180*G180*365/12</f>
        <v>20987.5</v>
      </c>
      <c r="Q180" s="3180">
        <f>M180*G180*365/12</f>
        <v>25185</v>
      </c>
      <c r="R180" s="3180"/>
      <c r="S180" s="3180">
        <f t="shared" si="71"/>
        <v>46172.5</v>
      </c>
      <c r="T180" s="3180">
        <v>230862.5</v>
      </c>
      <c r="U180" s="3180">
        <f t="shared" si="77"/>
        <v>302220</v>
      </c>
      <c r="V180" s="3180">
        <f t="shared" si="81"/>
        <v>0</v>
      </c>
      <c r="W180" s="3180">
        <f t="shared" si="76"/>
        <v>533082.5</v>
      </c>
      <c r="X180" s="3181">
        <v>45078</v>
      </c>
      <c r="Y180" s="3181">
        <v>46173</v>
      </c>
      <c r="Z180" s="3181" t="s">
        <v>3784</v>
      </c>
      <c r="AA180" s="3182">
        <v>12</v>
      </c>
      <c r="AB180" s="3171" t="s">
        <v>4021</v>
      </c>
    </row>
    <row r="181" spans="1:28" s="3183" customFormat="1" ht="34.5" customHeight="1">
      <c r="A181" s="3170">
        <v>237</v>
      </c>
      <c r="B181" s="3170">
        <v>174</v>
      </c>
      <c r="C181" s="3171" t="s">
        <v>4434</v>
      </c>
      <c r="D181" s="3172" t="s">
        <v>4290</v>
      </c>
      <c r="E181" s="3173" t="s">
        <v>3779</v>
      </c>
      <c r="F181" s="3171" t="s">
        <v>4435</v>
      </c>
      <c r="G181" s="3174">
        <v>713</v>
      </c>
      <c r="H181" s="3175" t="s">
        <v>4436</v>
      </c>
      <c r="I181" s="3173" t="s">
        <v>4437</v>
      </c>
      <c r="J181" s="3176" t="s">
        <v>3783</v>
      </c>
      <c r="K181" s="3177"/>
      <c r="L181" s="3179">
        <v>1.6</v>
      </c>
      <c r="M181" s="3179"/>
      <c r="N181" s="3180"/>
      <c r="O181" s="3180">
        <f t="shared" si="79"/>
        <v>1.6</v>
      </c>
      <c r="P181" s="3180">
        <v>34699.33</v>
      </c>
      <c r="Q181" s="3180">
        <f>M181*G181*365/12</f>
        <v>0</v>
      </c>
      <c r="R181" s="3180"/>
      <c r="S181" s="3180">
        <f t="shared" si="71"/>
        <v>34699.33</v>
      </c>
      <c r="T181" s="3180">
        <v>451091.32</v>
      </c>
      <c r="U181" s="3180">
        <f t="shared" si="77"/>
        <v>0</v>
      </c>
      <c r="V181" s="3180">
        <f t="shared" si="81"/>
        <v>0</v>
      </c>
      <c r="W181" s="3180">
        <f t="shared" si="76"/>
        <v>451091.32</v>
      </c>
      <c r="X181" s="3181">
        <v>45158</v>
      </c>
      <c r="Y181" s="3181">
        <v>46630</v>
      </c>
      <c r="Z181" s="3181" t="s">
        <v>3784</v>
      </c>
      <c r="AA181" s="3182">
        <v>12</v>
      </c>
      <c r="AB181" s="3171" t="s">
        <v>4438</v>
      </c>
    </row>
    <row r="182" spans="1:28" s="3183" customFormat="1" ht="34.5" customHeight="1">
      <c r="A182" s="3170">
        <v>305</v>
      </c>
      <c r="B182" s="3170">
        <v>175</v>
      </c>
      <c r="C182" s="3171" t="s">
        <v>4439</v>
      </c>
      <c r="D182" s="3172" t="s">
        <v>4290</v>
      </c>
      <c r="E182" s="3173" t="s">
        <v>3779</v>
      </c>
      <c r="F182" s="3171" t="s">
        <v>4292</v>
      </c>
      <c r="G182" s="3174">
        <v>2</v>
      </c>
      <c r="H182" s="3175" t="s">
        <v>3781</v>
      </c>
      <c r="I182" s="3221" t="s">
        <v>4440</v>
      </c>
      <c r="J182" s="3176" t="s">
        <v>3783</v>
      </c>
      <c r="K182" s="3177"/>
      <c r="L182" s="3179">
        <v>8.2200000000000006</v>
      </c>
      <c r="M182" s="3179"/>
      <c r="N182" s="3180"/>
      <c r="O182" s="3180">
        <f t="shared" si="79"/>
        <v>8.2200000000000006</v>
      </c>
      <c r="P182" s="3180">
        <v>500</v>
      </c>
      <c r="Q182" s="3180"/>
      <c r="R182" s="3180"/>
      <c r="S182" s="3180">
        <f t="shared" si="71"/>
        <v>500</v>
      </c>
      <c r="T182" s="3180">
        <v>6300</v>
      </c>
      <c r="U182" s="3180">
        <f t="shared" si="77"/>
        <v>0</v>
      </c>
      <c r="V182" s="3180">
        <f t="shared" si="81"/>
        <v>0</v>
      </c>
      <c r="W182" s="3180">
        <f t="shared" si="76"/>
        <v>6300</v>
      </c>
      <c r="X182" s="3181">
        <v>45281</v>
      </c>
      <c r="Y182" s="3181">
        <v>45473</v>
      </c>
      <c r="Z182" s="3181" t="s">
        <v>3784</v>
      </c>
      <c r="AA182" s="3182">
        <v>12</v>
      </c>
      <c r="AB182" s="3171" t="s">
        <v>4174</v>
      </c>
    </row>
    <row r="183" spans="1:28" s="3183" customFormat="1" ht="34.5" customHeight="1">
      <c r="A183" s="3170">
        <v>328</v>
      </c>
      <c r="B183" s="3170">
        <v>176</v>
      </c>
      <c r="C183" s="3171" t="s">
        <v>4441</v>
      </c>
      <c r="D183" s="3172" t="s">
        <v>4290</v>
      </c>
      <c r="E183" s="3173" t="s">
        <v>3779</v>
      </c>
      <c r="F183" s="3171" t="s">
        <v>4442</v>
      </c>
      <c r="G183" s="3174">
        <v>3</v>
      </c>
      <c r="H183" s="3175" t="s">
        <v>4040</v>
      </c>
      <c r="I183" s="3173" t="s">
        <v>4443</v>
      </c>
      <c r="J183" s="3176" t="s">
        <v>3783</v>
      </c>
      <c r="K183" s="3177"/>
      <c r="L183" s="3179">
        <v>10.050000000000001</v>
      </c>
      <c r="M183" s="3179"/>
      <c r="N183" s="3180"/>
      <c r="O183" s="3180">
        <f t="shared" si="79"/>
        <v>10.050000000000001</v>
      </c>
      <c r="P183" s="3180">
        <v>1000</v>
      </c>
      <c r="Q183" s="3180"/>
      <c r="R183" s="3180"/>
      <c r="S183" s="3180">
        <f t="shared" si="71"/>
        <v>1000</v>
      </c>
      <c r="T183" s="3180">
        <v>11296</v>
      </c>
      <c r="U183" s="3180">
        <f t="shared" si="77"/>
        <v>0</v>
      </c>
      <c r="V183" s="3180">
        <f t="shared" si="81"/>
        <v>0</v>
      </c>
      <c r="W183" s="3180">
        <f t="shared" si="76"/>
        <v>11296</v>
      </c>
      <c r="X183" s="3181">
        <v>45314</v>
      </c>
      <c r="Y183" s="3181">
        <v>45504</v>
      </c>
      <c r="Z183" s="3181" t="s">
        <v>3784</v>
      </c>
      <c r="AA183" s="3182">
        <v>12</v>
      </c>
      <c r="AB183" s="3171" t="s">
        <v>4170</v>
      </c>
    </row>
    <row r="184" spans="1:28" s="3272" customFormat="1" ht="34.5" customHeight="1">
      <c r="A184" s="3261"/>
      <c r="B184" s="3261">
        <v>177</v>
      </c>
      <c r="C184" s="3262" t="s">
        <v>3675</v>
      </c>
      <c r="D184" s="3263" t="s">
        <v>4444</v>
      </c>
      <c r="E184" s="3266" t="s">
        <v>4445</v>
      </c>
      <c r="F184" s="3262" t="s">
        <v>4446</v>
      </c>
      <c r="G184" s="3264">
        <v>2852.38</v>
      </c>
      <c r="H184" s="3273" t="s">
        <v>4447</v>
      </c>
      <c r="I184" s="3266" t="s">
        <v>4448</v>
      </c>
      <c r="J184" s="3267" t="s">
        <v>4449</v>
      </c>
      <c r="K184" s="3268"/>
      <c r="L184" s="3269"/>
      <c r="M184" s="3269"/>
      <c r="N184" s="3217"/>
      <c r="O184" s="3217">
        <v>4.5</v>
      </c>
      <c r="P184" s="3217"/>
      <c r="Q184" s="3217"/>
      <c r="R184" s="3217"/>
      <c r="S184" s="3217">
        <f>4.5*2852.38*365/12</f>
        <v>390419.51250000001</v>
      </c>
      <c r="T184" s="3217"/>
      <c r="U184" s="3217">
        <f t="shared" si="77"/>
        <v>0</v>
      </c>
      <c r="V184" s="3217">
        <f t="shared" si="81"/>
        <v>0</v>
      </c>
      <c r="W184" s="3217">
        <f>S184*12</f>
        <v>4685034.1500000004</v>
      </c>
      <c r="X184" s="3270">
        <v>44562</v>
      </c>
      <c r="Y184" s="3270">
        <v>48213</v>
      </c>
      <c r="Z184" s="3270"/>
      <c r="AA184" s="3271"/>
      <c r="AB184" s="3262"/>
    </row>
    <row r="185" spans="1:28" s="3183" customFormat="1" ht="34.5" customHeight="1">
      <c r="A185" s="3170">
        <v>308</v>
      </c>
      <c r="B185" s="3170">
        <v>178</v>
      </c>
      <c r="C185" s="3171" t="s">
        <v>4450</v>
      </c>
      <c r="D185" s="3172" t="s">
        <v>4290</v>
      </c>
      <c r="E185" s="3173" t="s">
        <v>3857</v>
      </c>
      <c r="F185" s="3171" t="s">
        <v>4451</v>
      </c>
      <c r="G185" s="3174">
        <v>23</v>
      </c>
      <c r="H185" s="3175" t="s">
        <v>4035</v>
      </c>
      <c r="I185" s="3173" t="s">
        <v>4173</v>
      </c>
      <c r="J185" s="3176" t="s">
        <v>3783</v>
      </c>
      <c r="K185" s="3177"/>
      <c r="L185" s="3179"/>
      <c r="M185" s="3179"/>
      <c r="N185" s="3180">
        <v>2.8588445503275799</v>
      </c>
      <c r="O185" s="3180">
        <f t="shared" si="79"/>
        <v>2.8588445503275799</v>
      </c>
      <c r="P185" s="3222"/>
      <c r="Q185" s="3195"/>
      <c r="R185" s="3195">
        <v>2000</v>
      </c>
      <c r="S185" s="3180">
        <f t="shared" si="71"/>
        <v>2000</v>
      </c>
      <c r="T185" s="3180">
        <f t="shared" si="83"/>
        <v>0</v>
      </c>
      <c r="U185" s="3180">
        <f t="shared" si="77"/>
        <v>0</v>
      </c>
      <c r="V185" s="3180">
        <f t="shared" si="81"/>
        <v>24000.000000000033</v>
      </c>
      <c r="W185" s="3180">
        <f t="shared" si="76"/>
        <v>24000.000000000033</v>
      </c>
      <c r="X185" s="3181">
        <v>45281</v>
      </c>
      <c r="Y185" s="3181">
        <v>45473</v>
      </c>
      <c r="Z185" s="3181" t="s">
        <v>3784</v>
      </c>
      <c r="AA185" s="3182">
        <v>12</v>
      </c>
      <c r="AB185" s="3171" t="s">
        <v>4174</v>
      </c>
    </row>
    <row r="186" spans="1:28" s="3183" customFormat="1" ht="34.5" customHeight="1">
      <c r="A186" s="3170">
        <v>195</v>
      </c>
      <c r="B186" s="3170">
        <v>179</v>
      </c>
      <c r="C186" s="3171" t="s">
        <v>4452</v>
      </c>
      <c r="D186" s="3172" t="s">
        <v>4290</v>
      </c>
      <c r="E186" s="3173" t="s">
        <v>3779</v>
      </c>
      <c r="F186" s="3171" t="s">
        <v>4295</v>
      </c>
      <c r="G186" s="3174">
        <v>8.8000000000000007</v>
      </c>
      <c r="H186" s="3175" t="s">
        <v>4453</v>
      </c>
      <c r="I186" s="3173" t="s">
        <v>4454</v>
      </c>
      <c r="J186" s="3176" t="s">
        <v>3783</v>
      </c>
      <c r="K186" s="3177"/>
      <c r="L186" s="3179">
        <v>26.151930261519301</v>
      </c>
      <c r="M186" s="3179">
        <v>11.2079701120797</v>
      </c>
      <c r="N186" s="3180"/>
      <c r="O186" s="3180">
        <f t="shared" si="79"/>
        <v>37.359900373599004</v>
      </c>
      <c r="P186" s="3180">
        <v>7000</v>
      </c>
      <c r="Q186" s="3180">
        <v>3000</v>
      </c>
      <c r="R186" s="3180"/>
      <c r="S186" s="3180">
        <f t="shared" si="71"/>
        <v>10000</v>
      </c>
      <c r="T186" s="3180">
        <v>89000</v>
      </c>
      <c r="U186" s="3180">
        <f t="shared" si="77"/>
        <v>36000</v>
      </c>
      <c r="V186" s="3180">
        <f t="shared" si="81"/>
        <v>0</v>
      </c>
      <c r="W186" s="3180">
        <f t="shared" si="76"/>
        <v>125000</v>
      </c>
      <c r="X186" s="3181">
        <v>45139</v>
      </c>
      <c r="Y186" s="3181">
        <v>45869</v>
      </c>
      <c r="Z186" s="3181" t="s">
        <v>3784</v>
      </c>
      <c r="AA186" s="3182">
        <v>12</v>
      </c>
      <c r="AB186" s="3171" t="s">
        <v>4455</v>
      </c>
    </row>
    <row r="187" spans="1:28" s="3183" customFormat="1" ht="34.5" customHeight="1">
      <c r="A187" s="3170">
        <v>196</v>
      </c>
      <c r="B187" s="3170">
        <v>180</v>
      </c>
      <c r="C187" s="3171" t="s">
        <v>4456</v>
      </c>
      <c r="D187" s="3172" t="s">
        <v>4290</v>
      </c>
      <c r="E187" s="3173" t="s">
        <v>3779</v>
      </c>
      <c r="F187" s="3171" t="s">
        <v>4295</v>
      </c>
      <c r="G187" s="3174">
        <v>7</v>
      </c>
      <c r="H187" s="3175" t="s">
        <v>3781</v>
      </c>
      <c r="I187" s="3173" t="s">
        <v>4457</v>
      </c>
      <c r="J187" s="3176" t="s">
        <v>3783</v>
      </c>
      <c r="K187" s="3177"/>
      <c r="L187" s="3179">
        <v>4.7</v>
      </c>
      <c r="M187" s="3179">
        <v>4.7</v>
      </c>
      <c r="N187" s="3180"/>
      <c r="O187" s="3180">
        <f t="shared" si="79"/>
        <v>9.4</v>
      </c>
      <c r="P187" s="3180">
        <v>1000</v>
      </c>
      <c r="Q187" s="3180">
        <v>1000</v>
      </c>
      <c r="R187" s="3180"/>
      <c r="S187" s="3180">
        <f t="shared" si="71"/>
        <v>2000</v>
      </c>
      <c r="T187" s="3180">
        <v>12000</v>
      </c>
      <c r="U187" s="3180">
        <v>12000</v>
      </c>
      <c r="V187" s="3180">
        <f t="shared" si="81"/>
        <v>0</v>
      </c>
      <c r="W187" s="3180">
        <f t="shared" si="76"/>
        <v>24000</v>
      </c>
      <c r="X187" s="3181">
        <v>45127</v>
      </c>
      <c r="Y187" s="3181">
        <v>45492</v>
      </c>
      <c r="Z187" s="3181" t="s">
        <v>3784</v>
      </c>
      <c r="AA187" s="3182">
        <v>12</v>
      </c>
      <c r="AB187" s="3171" t="s">
        <v>4174</v>
      </c>
    </row>
    <row r="188" spans="1:28" s="3183" customFormat="1" ht="34.5" customHeight="1">
      <c r="A188" s="3170">
        <v>202</v>
      </c>
      <c r="B188" s="3170">
        <v>181</v>
      </c>
      <c r="C188" s="3171" t="s">
        <v>4458</v>
      </c>
      <c r="D188" s="3172" t="s">
        <v>4290</v>
      </c>
      <c r="E188" s="3173" t="s">
        <v>3779</v>
      </c>
      <c r="F188" s="3171" t="s">
        <v>4459</v>
      </c>
      <c r="G188" s="3174">
        <v>71</v>
      </c>
      <c r="H188" s="3175" t="s">
        <v>3903</v>
      </c>
      <c r="I188" s="3173" t="s">
        <v>4460</v>
      </c>
      <c r="J188" s="3176" t="s">
        <v>3783</v>
      </c>
      <c r="K188" s="3177"/>
      <c r="L188" s="3179">
        <v>5</v>
      </c>
      <c r="M188" s="3179">
        <v>3</v>
      </c>
      <c r="N188" s="3180"/>
      <c r="O188" s="3180">
        <f t="shared" si="79"/>
        <v>8</v>
      </c>
      <c r="P188" s="3180">
        <f>L188*G188*365/12</f>
        <v>10797.916666666666</v>
      </c>
      <c r="Q188" s="3180">
        <f>M188*G188*365/12</f>
        <v>6478.75</v>
      </c>
      <c r="R188" s="3180"/>
      <c r="S188" s="3180">
        <f t="shared" si="71"/>
        <v>17276.666666666664</v>
      </c>
      <c r="T188" s="3180">
        <v>134973.96</v>
      </c>
      <c r="U188" s="3180">
        <f t="shared" si="77"/>
        <v>77745</v>
      </c>
      <c r="V188" s="3180">
        <f t="shared" si="81"/>
        <v>0</v>
      </c>
      <c r="W188" s="3180">
        <f t="shared" si="76"/>
        <v>212718.96</v>
      </c>
      <c r="X188" s="3181">
        <v>45148</v>
      </c>
      <c r="Y188" s="3181">
        <v>46243</v>
      </c>
      <c r="Z188" s="3181" t="s">
        <v>3784</v>
      </c>
      <c r="AA188" s="3182">
        <v>12</v>
      </c>
      <c r="AB188" s="3171" t="s">
        <v>4461</v>
      </c>
    </row>
    <row r="189" spans="1:28" s="3183" customFormat="1" ht="34.5" customHeight="1">
      <c r="A189" s="3170">
        <v>203</v>
      </c>
      <c r="B189" s="3170">
        <v>182</v>
      </c>
      <c r="C189" s="3171" t="s">
        <v>4080</v>
      </c>
      <c r="D189" s="3172" t="s">
        <v>4290</v>
      </c>
      <c r="E189" s="3173" t="s">
        <v>3857</v>
      </c>
      <c r="F189" s="3171" t="s">
        <v>4462</v>
      </c>
      <c r="G189" s="3174">
        <v>50</v>
      </c>
      <c r="H189" s="3175" t="s">
        <v>4035</v>
      </c>
      <c r="I189" s="3173" t="s">
        <v>4082</v>
      </c>
      <c r="J189" s="3176" t="s">
        <v>3783</v>
      </c>
      <c r="K189" s="3177"/>
      <c r="L189" s="3179"/>
      <c r="M189" s="3179"/>
      <c r="N189" s="3180">
        <v>1.32</v>
      </c>
      <c r="O189" s="3180">
        <f t="shared" si="79"/>
        <v>1.32</v>
      </c>
      <c r="P189" s="3180"/>
      <c r="Q189" s="3180"/>
      <c r="R189" s="3180">
        <v>2000</v>
      </c>
      <c r="S189" s="3180">
        <f t="shared" si="71"/>
        <v>2000</v>
      </c>
      <c r="T189" s="3180">
        <f t="shared" si="83"/>
        <v>0</v>
      </c>
      <c r="U189" s="3180">
        <f t="shared" si="77"/>
        <v>0</v>
      </c>
      <c r="V189" s="3180">
        <v>24000</v>
      </c>
      <c r="W189" s="3180">
        <f t="shared" si="76"/>
        <v>24000</v>
      </c>
      <c r="X189" s="3181">
        <v>45122</v>
      </c>
      <c r="Y189" s="3181">
        <v>45487</v>
      </c>
      <c r="Z189" s="3181" t="s">
        <v>3784</v>
      </c>
      <c r="AA189" s="3182">
        <v>12</v>
      </c>
      <c r="AB189" s="3171" t="s">
        <v>4170</v>
      </c>
    </row>
    <row r="190" spans="1:28" s="3183" customFormat="1" ht="34.5" customHeight="1">
      <c r="A190" s="3170">
        <v>206</v>
      </c>
      <c r="B190" s="3170">
        <v>183</v>
      </c>
      <c r="C190" s="3171" t="s">
        <v>4463</v>
      </c>
      <c r="D190" s="3172" t="s">
        <v>4290</v>
      </c>
      <c r="E190" s="3173" t="s">
        <v>3779</v>
      </c>
      <c r="F190" s="3171" t="s">
        <v>4464</v>
      </c>
      <c r="G190" s="3174">
        <v>44</v>
      </c>
      <c r="H190" s="3175" t="s">
        <v>3903</v>
      </c>
      <c r="I190" s="3173" t="s">
        <v>4465</v>
      </c>
      <c r="J190" s="3176" t="s">
        <v>3783</v>
      </c>
      <c r="K190" s="3177"/>
      <c r="L190" s="3179">
        <v>5</v>
      </c>
      <c r="M190" s="3179">
        <v>3</v>
      </c>
      <c r="N190" s="3180"/>
      <c r="O190" s="3180">
        <f t="shared" si="79"/>
        <v>8</v>
      </c>
      <c r="P190" s="3180">
        <f>L190*G190*365/12</f>
        <v>6691.666666666667</v>
      </c>
      <c r="Q190" s="3180">
        <f>M190*G190*365/12</f>
        <v>4015</v>
      </c>
      <c r="R190" s="3180"/>
      <c r="S190" s="3180">
        <f t="shared" si="71"/>
        <v>10706.666666666668</v>
      </c>
      <c r="T190" s="3180">
        <v>86991.67</v>
      </c>
      <c r="U190" s="3180">
        <f t="shared" si="77"/>
        <v>48180</v>
      </c>
      <c r="V190" s="3180">
        <f t="shared" si="81"/>
        <v>0</v>
      </c>
      <c r="W190" s="3180">
        <f t="shared" si="76"/>
        <v>135171.66999999998</v>
      </c>
      <c r="X190" s="3181">
        <v>45153</v>
      </c>
      <c r="Y190" s="3181">
        <v>46248</v>
      </c>
      <c r="Z190" s="3181" t="s">
        <v>3784</v>
      </c>
      <c r="AA190" s="3182">
        <v>12</v>
      </c>
      <c r="AB190" s="3171" t="s">
        <v>4466</v>
      </c>
    </row>
    <row r="191" spans="1:28" s="3183" customFormat="1" ht="34.5" customHeight="1">
      <c r="A191" s="3170">
        <v>217</v>
      </c>
      <c r="B191" s="3170">
        <v>184</v>
      </c>
      <c r="C191" s="3171" t="s">
        <v>4467</v>
      </c>
      <c r="D191" s="3172" t="s">
        <v>4290</v>
      </c>
      <c r="E191" s="3173" t="s">
        <v>3779</v>
      </c>
      <c r="F191" s="3171" t="s">
        <v>4468</v>
      </c>
      <c r="G191" s="3174">
        <v>165</v>
      </c>
      <c r="H191" s="3175" t="s">
        <v>4469</v>
      </c>
      <c r="I191" s="3173" t="s">
        <v>4470</v>
      </c>
      <c r="J191" s="3176" t="s">
        <v>3783</v>
      </c>
      <c r="K191" s="3177"/>
      <c r="L191" s="3179">
        <v>11</v>
      </c>
      <c r="M191" s="3179">
        <v>3</v>
      </c>
      <c r="N191" s="3180"/>
      <c r="O191" s="3180">
        <f t="shared" ref="O191:O219" si="85">SUM(L191:N191)</f>
        <v>14</v>
      </c>
      <c r="P191" s="3180">
        <f>L191*G191*365/12</f>
        <v>55206.25</v>
      </c>
      <c r="Q191" s="3180">
        <f>M191*G191*365/12</f>
        <v>15056.25</v>
      </c>
      <c r="R191" s="3180"/>
      <c r="S191" s="3179">
        <f t="shared" si="71"/>
        <v>70262.5</v>
      </c>
      <c r="T191" s="3180">
        <v>675021.9</v>
      </c>
      <c r="U191" s="3180">
        <f t="shared" si="77"/>
        <v>180675</v>
      </c>
      <c r="V191" s="3180">
        <f t="shared" si="81"/>
        <v>0</v>
      </c>
      <c r="W191" s="3180">
        <f t="shared" si="76"/>
        <v>855696.9</v>
      </c>
      <c r="X191" s="3181">
        <v>45153</v>
      </c>
      <c r="Y191" s="3181">
        <v>46234</v>
      </c>
      <c r="Z191" s="3181" t="s">
        <v>3784</v>
      </c>
      <c r="AA191" s="3182">
        <v>12</v>
      </c>
      <c r="AB191" s="3171" t="s">
        <v>4471</v>
      </c>
    </row>
    <row r="192" spans="1:28" s="3183" customFormat="1" ht="34.5" customHeight="1">
      <c r="A192" s="3170">
        <v>218</v>
      </c>
      <c r="B192" s="3170">
        <v>185</v>
      </c>
      <c r="C192" s="3171" t="s">
        <v>4472</v>
      </c>
      <c r="D192" s="3172" t="s">
        <v>4290</v>
      </c>
      <c r="E192" s="3173" t="s">
        <v>3779</v>
      </c>
      <c r="F192" s="3171" t="s">
        <v>4473</v>
      </c>
      <c r="G192" s="3174">
        <f>213+13</f>
        <v>226</v>
      </c>
      <c r="H192" s="3175" t="s">
        <v>3903</v>
      </c>
      <c r="I192" s="3173" t="s">
        <v>4474</v>
      </c>
      <c r="J192" s="3176" t="s">
        <v>3783</v>
      </c>
      <c r="K192" s="3177"/>
      <c r="L192" s="3179">
        <v>1.5</v>
      </c>
      <c r="M192" s="3179">
        <v>3</v>
      </c>
      <c r="N192" s="3180"/>
      <c r="O192" s="3180">
        <f t="shared" si="85"/>
        <v>4.5</v>
      </c>
      <c r="P192" s="3180">
        <f>L192*G192*365/12</f>
        <v>10311.25</v>
      </c>
      <c r="Q192" s="3180">
        <f>M192*G192*365/12</f>
        <v>20622.5</v>
      </c>
      <c r="R192" s="3180"/>
      <c r="S192" s="3179">
        <f t="shared" si="71"/>
        <v>30933.75</v>
      </c>
      <c r="T192" s="3180">
        <v>99242.25</v>
      </c>
      <c r="U192" s="3180">
        <v>247865.5</v>
      </c>
      <c r="V192" s="3180">
        <f t="shared" si="81"/>
        <v>0</v>
      </c>
      <c r="W192" s="3180">
        <f t="shared" si="76"/>
        <v>347107.75</v>
      </c>
      <c r="X192" s="3181">
        <v>45139</v>
      </c>
      <c r="Y192" s="3181">
        <v>46965</v>
      </c>
      <c r="Z192" s="3181" t="s">
        <v>3784</v>
      </c>
      <c r="AA192" s="3182">
        <v>12</v>
      </c>
      <c r="AB192" s="3171" t="s">
        <v>4475</v>
      </c>
    </row>
    <row r="193" spans="1:28" s="3183" customFormat="1" ht="34.5" customHeight="1">
      <c r="A193" s="3170">
        <v>221</v>
      </c>
      <c r="B193" s="3170">
        <v>186</v>
      </c>
      <c r="C193" s="3171" t="s">
        <v>4476</v>
      </c>
      <c r="D193" s="3172" t="s">
        <v>4290</v>
      </c>
      <c r="E193" s="3173" t="s">
        <v>3779</v>
      </c>
      <c r="F193" s="3171" t="s">
        <v>4477</v>
      </c>
      <c r="G193" s="3174">
        <v>302</v>
      </c>
      <c r="H193" s="3175" t="s">
        <v>3903</v>
      </c>
      <c r="I193" s="3173" t="s">
        <v>4478</v>
      </c>
      <c r="J193" s="3176" t="s">
        <v>3783</v>
      </c>
      <c r="K193" s="3177"/>
      <c r="L193" s="3179">
        <v>3.2</v>
      </c>
      <c r="M193" s="3179">
        <v>3</v>
      </c>
      <c r="N193" s="3180"/>
      <c r="O193" s="3180">
        <f t="shared" si="85"/>
        <v>6.2</v>
      </c>
      <c r="P193" s="3180">
        <v>29394.67</v>
      </c>
      <c r="Q193" s="3180">
        <f>M193*G193*365/12</f>
        <v>27557.5</v>
      </c>
      <c r="R193" s="3180"/>
      <c r="S193" s="3179">
        <f t="shared" si="71"/>
        <v>56952.17</v>
      </c>
      <c r="T193" s="3180">
        <v>375700.59</v>
      </c>
      <c r="U193" s="3180">
        <f t="shared" si="77"/>
        <v>330690</v>
      </c>
      <c r="V193" s="3180">
        <f t="shared" si="81"/>
        <v>0</v>
      </c>
      <c r="W193" s="3180">
        <f t="shared" si="76"/>
        <v>706390.59000000008</v>
      </c>
      <c r="X193" s="3181">
        <v>45139</v>
      </c>
      <c r="Y193" s="3181">
        <v>46965</v>
      </c>
      <c r="Z193" s="3181" t="s">
        <v>3784</v>
      </c>
      <c r="AA193" s="3182">
        <v>12</v>
      </c>
      <c r="AB193" s="3171" t="s">
        <v>4479</v>
      </c>
    </row>
    <row r="194" spans="1:28" s="3183" customFormat="1" ht="34.5" customHeight="1">
      <c r="A194" s="3170">
        <v>221</v>
      </c>
      <c r="B194" s="3170">
        <v>187</v>
      </c>
      <c r="C194" s="3171" t="s">
        <v>4476</v>
      </c>
      <c r="D194" s="3172" t="s">
        <v>4290</v>
      </c>
      <c r="E194" s="3173" t="s">
        <v>3779</v>
      </c>
      <c r="F194" s="3171" t="s">
        <v>4480</v>
      </c>
      <c r="G194" s="3174">
        <v>51</v>
      </c>
      <c r="H194" s="3175" t="s">
        <v>3903</v>
      </c>
      <c r="I194" s="3173" t="s">
        <v>4478</v>
      </c>
      <c r="J194" s="3176" t="s">
        <v>3783</v>
      </c>
      <c r="K194" s="3177"/>
      <c r="L194" s="3179">
        <v>3</v>
      </c>
      <c r="M194" s="3179"/>
      <c r="N194" s="3180"/>
      <c r="O194" s="3180">
        <f t="shared" si="85"/>
        <v>3</v>
      </c>
      <c r="P194" s="3180">
        <v>4653.75</v>
      </c>
      <c r="Q194" s="3180"/>
      <c r="R194" s="3180"/>
      <c r="S194" s="3179">
        <f t="shared" si="71"/>
        <v>4653.75</v>
      </c>
      <c r="T194" s="3180">
        <f t="shared" ref="T194:T197" si="86">L194*G194*365</f>
        <v>55845</v>
      </c>
      <c r="U194" s="3180">
        <f t="shared" si="77"/>
        <v>0</v>
      </c>
      <c r="V194" s="3180">
        <f t="shared" si="81"/>
        <v>0</v>
      </c>
      <c r="W194" s="3180">
        <f t="shared" si="76"/>
        <v>55845</v>
      </c>
      <c r="X194" s="3181">
        <v>45197</v>
      </c>
      <c r="Y194" s="3181">
        <v>46965</v>
      </c>
      <c r="Z194" s="3181" t="s">
        <v>3784</v>
      </c>
      <c r="AA194" s="3182">
        <v>12</v>
      </c>
      <c r="AB194" s="3171"/>
    </row>
    <row r="195" spans="1:28" s="3183" customFormat="1" ht="34.5" customHeight="1">
      <c r="A195" s="3170">
        <v>221</v>
      </c>
      <c r="B195" s="3170">
        <v>188</v>
      </c>
      <c r="C195" s="3171" t="s">
        <v>4476</v>
      </c>
      <c r="D195" s="3172" t="s">
        <v>4290</v>
      </c>
      <c r="E195" s="3173" t="s">
        <v>3779</v>
      </c>
      <c r="F195" s="3188" t="s">
        <v>4481</v>
      </c>
      <c r="G195" s="3174">
        <v>11</v>
      </c>
      <c r="H195" s="3175" t="s">
        <v>4300</v>
      </c>
      <c r="I195" s="3188" t="s">
        <v>4478</v>
      </c>
      <c r="J195" s="3176" t="s">
        <v>3783</v>
      </c>
      <c r="K195" s="3177"/>
      <c r="L195" s="3179">
        <v>4</v>
      </c>
      <c r="M195" s="3179"/>
      <c r="N195" s="3180"/>
      <c r="O195" s="3180">
        <f t="shared" si="85"/>
        <v>4</v>
      </c>
      <c r="P195" s="3180">
        <v>1338.33</v>
      </c>
      <c r="Q195" s="3180"/>
      <c r="R195" s="3180"/>
      <c r="S195" s="3179">
        <f t="shared" si="71"/>
        <v>1338.33</v>
      </c>
      <c r="T195" s="3180">
        <f t="shared" si="86"/>
        <v>16060</v>
      </c>
      <c r="U195" s="3180">
        <f t="shared" si="77"/>
        <v>0</v>
      </c>
      <c r="V195" s="3180">
        <f t="shared" si="81"/>
        <v>0</v>
      </c>
      <c r="W195" s="3180">
        <v>16060</v>
      </c>
      <c r="X195" s="3181">
        <v>45197</v>
      </c>
      <c r="Y195" s="3181">
        <v>45562</v>
      </c>
      <c r="Z195" s="3181" t="s">
        <v>3784</v>
      </c>
      <c r="AA195" s="3182">
        <v>12</v>
      </c>
      <c r="AB195" s="3171"/>
    </row>
    <row r="196" spans="1:28" s="3183" customFormat="1" ht="34.5" customHeight="1">
      <c r="A196" s="3170">
        <v>226</v>
      </c>
      <c r="B196" s="3170">
        <v>189</v>
      </c>
      <c r="C196" s="3171" t="s">
        <v>4482</v>
      </c>
      <c r="D196" s="3172" t="s">
        <v>4290</v>
      </c>
      <c r="E196" s="3173" t="s">
        <v>3779</v>
      </c>
      <c r="F196" s="3171" t="s">
        <v>4483</v>
      </c>
      <c r="G196" s="3174">
        <v>208</v>
      </c>
      <c r="H196" s="3175" t="s">
        <v>3903</v>
      </c>
      <c r="I196" s="3173" t="s">
        <v>4484</v>
      </c>
      <c r="J196" s="3176" t="s">
        <v>3783</v>
      </c>
      <c r="K196" s="3177"/>
      <c r="L196" s="3179">
        <v>5</v>
      </c>
      <c r="M196" s="3179">
        <v>3</v>
      </c>
      <c r="N196" s="3180"/>
      <c r="O196" s="3180">
        <f t="shared" si="85"/>
        <v>8</v>
      </c>
      <c r="P196" s="3180">
        <v>31633.33</v>
      </c>
      <c r="Q196" s="3180">
        <f>M196*G196*365/12</f>
        <v>18980</v>
      </c>
      <c r="R196" s="3180"/>
      <c r="S196" s="3179">
        <f t="shared" si="71"/>
        <v>50613.33</v>
      </c>
      <c r="T196" s="3180">
        <v>392253.32</v>
      </c>
      <c r="U196" s="3180">
        <f t="shared" si="77"/>
        <v>227760</v>
      </c>
      <c r="V196" s="3180">
        <f t="shared" si="81"/>
        <v>0</v>
      </c>
      <c r="W196" s="3180">
        <f t="shared" ref="W196:W219" si="87">SUM(T196:V196)</f>
        <v>620013.32000000007</v>
      </c>
      <c r="X196" s="3181">
        <v>45157</v>
      </c>
      <c r="Y196" s="3181">
        <v>46265</v>
      </c>
      <c r="Z196" s="3181" t="s">
        <v>3784</v>
      </c>
      <c r="AA196" s="3182">
        <v>12</v>
      </c>
      <c r="AB196" s="3171" t="s">
        <v>4485</v>
      </c>
    </row>
    <row r="197" spans="1:28" s="3183" customFormat="1" ht="34.5" customHeight="1">
      <c r="A197" s="3170">
        <v>227</v>
      </c>
      <c r="B197" s="3170">
        <v>190</v>
      </c>
      <c r="C197" s="3171" t="s">
        <v>4486</v>
      </c>
      <c r="D197" s="3172" t="s">
        <v>4290</v>
      </c>
      <c r="E197" s="3173" t="s">
        <v>3779</v>
      </c>
      <c r="F197" s="3171" t="s">
        <v>4487</v>
      </c>
      <c r="G197" s="3174">
        <v>10</v>
      </c>
      <c r="H197" s="3175" t="s">
        <v>3903</v>
      </c>
      <c r="I197" s="3173" t="s">
        <v>4488</v>
      </c>
      <c r="J197" s="3176" t="s">
        <v>3783</v>
      </c>
      <c r="K197" s="3177"/>
      <c r="L197" s="3179">
        <v>3</v>
      </c>
      <c r="M197" s="3179"/>
      <c r="N197" s="3180"/>
      <c r="O197" s="3180">
        <f t="shared" si="85"/>
        <v>3</v>
      </c>
      <c r="P197" s="3180">
        <f>L197*G197*365/12</f>
        <v>912.5</v>
      </c>
      <c r="Q197" s="3180">
        <f>M197*G197*365/12</f>
        <v>0</v>
      </c>
      <c r="R197" s="3180"/>
      <c r="S197" s="3179">
        <f t="shared" si="71"/>
        <v>912.5</v>
      </c>
      <c r="T197" s="3180">
        <f t="shared" si="86"/>
        <v>10950</v>
      </c>
      <c r="U197" s="3180">
        <f t="shared" si="77"/>
        <v>0</v>
      </c>
      <c r="V197" s="3180">
        <f t="shared" si="81"/>
        <v>0</v>
      </c>
      <c r="W197" s="3180">
        <f t="shared" si="87"/>
        <v>10950</v>
      </c>
      <c r="X197" s="3181">
        <v>45212</v>
      </c>
      <c r="Y197" s="3181">
        <v>45577</v>
      </c>
      <c r="Z197" s="3181" t="s">
        <v>3784</v>
      </c>
      <c r="AA197" s="3182">
        <v>12</v>
      </c>
      <c r="AB197" s="3171"/>
    </row>
    <row r="198" spans="1:28" s="3183" customFormat="1" ht="34.5" customHeight="1">
      <c r="A198" s="3170">
        <v>227</v>
      </c>
      <c r="B198" s="3170">
        <v>191</v>
      </c>
      <c r="C198" s="3171" t="s">
        <v>4489</v>
      </c>
      <c r="D198" s="3172" t="s">
        <v>4290</v>
      </c>
      <c r="E198" s="3173" t="s">
        <v>3779</v>
      </c>
      <c r="F198" s="3171" t="s">
        <v>4490</v>
      </c>
      <c r="G198" s="3174">
        <v>79</v>
      </c>
      <c r="H198" s="3175" t="s">
        <v>3903</v>
      </c>
      <c r="I198" s="3173" t="s">
        <v>4488</v>
      </c>
      <c r="J198" s="3176" t="s">
        <v>3783</v>
      </c>
      <c r="K198" s="3177"/>
      <c r="L198" s="3179">
        <v>5</v>
      </c>
      <c r="M198" s="3179">
        <v>3</v>
      </c>
      <c r="N198" s="3180"/>
      <c r="O198" s="3180">
        <f t="shared" si="85"/>
        <v>8</v>
      </c>
      <c r="P198" s="3180">
        <v>12014.58</v>
      </c>
      <c r="Q198" s="3180">
        <f>M198*G198*365/12</f>
        <v>7208.75</v>
      </c>
      <c r="R198" s="3180"/>
      <c r="S198" s="3179">
        <f t="shared" si="71"/>
        <v>19223.330000000002</v>
      </c>
      <c r="T198" s="3180">
        <v>150182.26</v>
      </c>
      <c r="U198" s="3180">
        <f t="shared" si="77"/>
        <v>86505</v>
      </c>
      <c r="V198" s="3180">
        <f t="shared" si="81"/>
        <v>0</v>
      </c>
      <c r="W198" s="3180">
        <f t="shared" si="87"/>
        <v>236687.26</v>
      </c>
      <c r="X198" s="3181">
        <v>45158</v>
      </c>
      <c r="Y198" s="3181">
        <v>46253</v>
      </c>
      <c r="Z198" s="3181" t="s">
        <v>3784</v>
      </c>
      <c r="AA198" s="3182">
        <v>12</v>
      </c>
      <c r="AB198" s="3171" t="s">
        <v>4461</v>
      </c>
    </row>
    <row r="199" spans="1:28" s="3183" customFormat="1" ht="34.5" customHeight="1">
      <c r="A199" s="3170">
        <v>231</v>
      </c>
      <c r="B199" s="3170">
        <v>192</v>
      </c>
      <c r="C199" s="3171" t="s">
        <v>4491</v>
      </c>
      <c r="D199" s="3172" t="s">
        <v>4290</v>
      </c>
      <c r="E199" s="3173" t="s">
        <v>3779</v>
      </c>
      <c r="F199" s="3171" t="s">
        <v>4492</v>
      </c>
      <c r="G199" s="3174">
        <v>82</v>
      </c>
      <c r="H199" s="3175" t="s">
        <v>3903</v>
      </c>
      <c r="I199" s="3173" t="s">
        <v>4493</v>
      </c>
      <c r="J199" s="3176" t="s">
        <v>3783</v>
      </c>
      <c r="K199" s="3177"/>
      <c r="L199" s="3179">
        <v>5.2</v>
      </c>
      <c r="M199" s="3179">
        <v>3</v>
      </c>
      <c r="N199" s="3180"/>
      <c r="O199" s="3180">
        <f t="shared" si="85"/>
        <v>8.1999999999999993</v>
      </c>
      <c r="P199" s="3180">
        <v>12969.67</v>
      </c>
      <c r="Q199" s="3180">
        <f>M199*G199*365/12</f>
        <v>7482.5</v>
      </c>
      <c r="R199" s="3180"/>
      <c r="S199" s="3179">
        <f t="shared" si="71"/>
        <v>20452.169999999998</v>
      </c>
      <c r="T199" s="3180">
        <v>160624.35999999999</v>
      </c>
      <c r="U199" s="3180">
        <f t="shared" si="77"/>
        <v>89790</v>
      </c>
      <c r="V199" s="3180">
        <f t="shared" si="81"/>
        <v>0</v>
      </c>
      <c r="W199" s="3180">
        <f t="shared" si="87"/>
        <v>250414.36</v>
      </c>
      <c r="X199" s="3181">
        <v>45164</v>
      </c>
      <c r="Y199" s="3181">
        <v>46265</v>
      </c>
      <c r="Z199" s="3181" t="s">
        <v>3784</v>
      </c>
      <c r="AA199" s="3182">
        <v>12</v>
      </c>
      <c r="AB199" s="3171" t="s">
        <v>4494</v>
      </c>
    </row>
    <row r="200" spans="1:28" s="3183" customFormat="1" ht="34.5" customHeight="1">
      <c r="A200" s="3170">
        <v>314</v>
      </c>
      <c r="B200" s="3170">
        <v>193</v>
      </c>
      <c r="C200" s="3190" t="s">
        <v>4495</v>
      </c>
      <c r="D200" s="3172" t="s">
        <v>4290</v>
      </c>
      <c r="E200" s="3173" t="s">
        <v>3779</v>
      </c>
      <c r="F200" s="3171" t="s">
        <v>4496</v>
      </c>
      <c r="G200" s="3174">
        <v>31</v>
      </c>
      <c r="H200" s="3175" t="s">
        <v>3979</v>
      </c>
      <c r="I200" s="3173" t="s">
        <v>4497</v>
      </c>
      <c r="J200" s="3176" t="s">
        <v>3783</v>
      </c>
      <c r="K200" s="3177"/>
      <c r="L200" s="3179">
        <v>17</v>
      </c>
      <c r="M200" s="3179">
        <v>3</v>
      </c>
      <c r="N200" s="3180"/>
      <c r="O200" s="3180">
        <f t="shared" si="85"/>
        <v>20</v>
      </c>
      <c r="P200" s="3180">
        <v>16029.58</v>
      </c>
      <c r="Q200" s="3180">
        <v>2829</v>
      </c>
      <c r="R200" s="3180"/>
      <c r="S200" s="3179">
        <f t="shared" si="71"/>
        <v>18858.580000000002</v>
      </c>
      <c r="T200" s="3180">
        <v>132452.64000000001</v>
      </c>
      <c r="U200" s="3180">
        <v>23376</v>
      </c>
      <c r="V200" s="3180">
        <f t="shared" si="81"/>
        <v>0</v>
      </c>
      <c r="W200" s="3180">
        <f t="shared" si="87"/>
        <v>155828.64000000001</v>
      </c>
      <c r="X200" s="3181">
        <v>45352</v>
      </c>
      <c r="Y200" s="3181">
        <v>46081</v>
      </c>
      <c r="Z200" s="3181" t="s">
        <v>3784</v>
      </c>
      <c r="AA200" s="3182">
        <v>8</v>
      </c>
      <c r="AB200" s="3171"/>
    </row>
    <row r="201" spans="1:28" s="3183" customFormat="1" ht="34.5" customHeight="1">
      <c r="A201" s="3170">
        <v>243</v>
      </c>
      <c r="B201" s="3170">
        <v>194</v>
      </c>
      <c r="C201" s="3171" t="s">
        <v>4498</v>
      </c>
      <c r="D201" s="3172" t="s">
        <v>4290</v>
      </c>
      <c r="E201" s="3173" t="s">
        <v>3779</v>
      </c>
      <c r="F201" s="3171" t="s">
        <v>4499</v>
      </c>
      <c r="G201" s="3174">
        <v>225</v>
      </c>
      <c r="H201" s="3175" t="s">
        <v>4500</v>
      </c>
      <c r="I201" s="3173" t="s">
        <v>4501</v>
      </c>
      <c r="J201" s="3176" t="s">
        <v>3783</v>
      </c>
      <c r="K201" s="3177"/>
      <c r="L201" s="3179">
        <v>3</v>
      </c>
      <c r="M201" s="3179">
        <v>3</v>
      </c>
      <c r="N201" s="3180"/>
      <c r="O201" s="3180">
        <f t="shared" si="85"/>
        <v>6</v>
      </c>
      <c r="P201" s="3180">
        <f t="shared" ref="P201:P206" si="88">L201*G201*365/12</f>
        <v>20531.25</v>
      </c>
      <c r="Q201" s="3180">
        <f t="shared" ref="Q201:Q208" si="89">M201*G201*365/12</f>
        <v>20531.25</v>
      </c>
      <c r="R201" s="3180"/>
      <c r="S201" s="3179">
        <f t="shared" si="71"/>
        <v>41062.5</v>
      </c>
      <c r="T201" s="3180">
        <v>254587.51999999999</v>
      </c>
      <c r="U201" s="3180">
        <f t="shared" si="77"/>
        <v>246375</v>
      </c>
      <c r="V201" s="3180">
        <f t="shared" si="81"/>
        <v>0</v>
      </c>
      <c r="W201" s="3180">
        <f t="shared" si="87"/>
        <v>500962.52</v>
      </c>
      <c r="X201" s="3181">
        <v>45170</v>
      </c>
      <c r="Y201" s="3181">
        <v>46630</v>
      </c>
      <c r="Z201" s="3181" t="s">
        <v>3784</v>
      </c>
      <c r="AA201" s="3182">
        <v>12</v>
      </c>
      <c r="AB201" s="3171" t="s">
        <v>4502</v>
      </c>
    </row>
    <row r="202" spans="1:28" s="3183" customFormat="1" ht="34.5" customHeight="1">
      <c r="A202" s="3170">
        <v>244</v>
      </c>
      <c r="B202" s="3170">
        <v>195</v>
      </c>
      <c r="C202" s="3171" t="s">
        <v>4289</v>
      </c>
      <c r="D202" s="3172" t="s">
        <v>4290</v>
      </c>
      <c r="E202" s="3173" t="s">
        <v>3779</v>
      </c>
      <c r="F202" s="3171" t="s">
        <v>4503</v>
      </c>
      <c r="G202" s="3174">
        <v>78</v>
      </c>
      <c r="H202" s="3175" t="s">
        <v>3903</v>
      </c>
      <c r="I202" s="3173" t="s">
        <v>4504</v>
      </c>
      <c r="J202" s="3176" t="s">
        <v>3783</v>
      </c>
      <c r="K202" s="3177"/>
      <c r="L202" s="3179">
        <v>6</v>
      </c>
      <c r="M202" s="3179">
        <v>3</v>
      </c>
      <c r="N202" s="3180"/>
      <c r="O202" s="3180">
        <f t="shared" si="85"/>
        <v>9</v>
      </c>
      <c r="P202" s="3180">
        <f t="shared" si="88"/>
        <v>14235</v>
      </c>
      <c r="Q202" s="3180">
        <f t="shared" si="89"/>
        <v>7117.5</v>
      </c>
      <c r="R202" s="3180"/>
      <c r="S202" s="3179">
        <f t="shared" si="71"/>
        <v>21352.5</v>
      </c>
      <c r="T202" s="3180">
        <v>176751.25</v>
      </c>
      <c r="U202" s="3180">
        <f t="shared" si="77"/>
        <v>85410</v>
      </c>
      <c r="V202" s="3180">
        <f t="shared" si="81"/>
        <v>0</v>
      </c>
      <c r="W202" s="3180">
        <f t="shared" si="87"/>
        <v>262161.25</v>
      </c>
      <c r="X202" s="3181">
        <v>45166</v>
      </c>
      <c r="Y202" s="3181">
        <v>46234</v>
      </c>
      <c r="Z202" s="3181" t="s">
        <v>3784</v>
      </c>
      <c r="AA202" s="3182">
        <v>12</v>
      </c>
      <c r="AB202" s="3171" t="s">
        <v>4505</v>
      </c>
    </row>
    <row r="203" spans="1:28" s="3183" customFormat="1" ht="34.5" customHeight="1">
      <c r="A203" s="3170">
        <v>245</v>
      </c>
      <c r="B203" s="3170">
        <v>196</v>
      </c>
      <c r="C203" s="3171" t="s">
        <v>4506</v>
      </c>
      <c r="D203" s="3172" t="s">
        <v>4290</v>
      </c>
      <c r="E203" s="3173" t="s">
        <v>3779</v>
      </c>
      <c r="F203" s="3171" t="s">
        <v>4507</v>
      </c>
      <c r="G203" s="3174">
        <v>63</v>
      </c>
      <c r="H203" s="3175" t="s">
        <v>3903</v>
      </c>
      <c r="I203" s="3173" t="s">
        <v>4508</v>
      </c>
      <c r="J203" s="3176" t="s">
        <v>3783</v>
      </c>
      <c r="K203" s="3177"/>
      <c r="L203" s="3179">
        <v>6.5</v>
      </c>
      <c r="M203" s="3179">
        <v>3</v>
      </c>
      <c r="N203" s="3180"/>
      <c r="O203" s="3180">
        <f t="shared" si="85"/>
        <v>9.5</v>
      </c>
      <c r="P203" s="3180">
        <f t="shared" si="88"/>
        <v>12455.625</v>
      </c>
      <c r="Q203" s="3180">
        <f t="shared" si="89"/>
        <v>5748.75</v>
      </c>
      <c r="R203" s="3180"/>
      <c r="S203" s="3179">
        <f t="shared" si="71"/>
        <v>18204.375</v>
      </c>
      <c r="T203" s="3180">
        <v>163839.38</v>
      </c>
      <c r="U203" s="3180">
        <f t="shared" si="77"/>
        <v>68985</v>
      </c>
      <c r="V203" s="3180">
        <f t="shared" si="81"/>
        <v>0</v>
      </c>
      <c r="W203" s="3180">
        <f t="shared" si="87"/>
        <v>232824.38</v>
      </c>
      <c r="X203" s="3181">
        <v>45166</v>
      </c>
      <c r="Y203" s="3181">
        <v>46234</v>
      </c>
      <c r="Z203" s="3181" t="s">
        <v>3784</v>
      </c>
      <c r="AA203" s="3182">
        <v>12</v>
      </c>
      <c r="AB203" s="3171" t="s">
        <v>4509</v>
      </c>
    </row>
    <row r="204" spans="1:28" s="3183" customFormat="1" ht="34.5" customHeight="1">
      <c r="A204" s="3170">
        <v>253</v>
      </c>
      <c r="B204" s="3170">
        <v>197</v>
      </c>
      <c r="C204" s="3171" t="s">
        <v>4510</v>
      </c>
      <c r="D204" s="3172" t="s">
        <v>4290</v>
      </c>
      <c r="E204" s="3173" t="s">
        <v>3779</v>
      </c>
      <c r="F204" s="3171" t="s">
        <v>4511</v>
      </c>
      <c r="G204" s="3174">
        <v>32</v>
      </c>
      <c r="H204" s="3175" t="s">
        <v>3903</v>
      </c>
      <c r="I204" s="3173" t="s">
        <v>4512</v>
      </c>
      <c r="J204" s="3176" t="s">
        <v>3783</v>
      </c>
      <c r="K204" s="3177"/>
      <c r="L204" s="3179">
        <v>13</v>
      </c>
      <c r="M204" s="3179">
        <v>3</v>
      </c>
      <c r="N204" s="3180"/>
      <c r="O204" s="3180">
        <f t="shared" si="85"/>
        <v>16</v>
      </c>
      <c r="P204" s="3180">
        <f t="shared" si="88"/>
        <v>12653.333333333334</v>
      </c>
      <c r="Q204" s="3180">
        <f t="shared" si="89"/>
        <v>2920</v>
      </c>
      <c r="R204" s="3180"/>
      <c r="S204" s="3179">
        <f t="shared" si="71"/>
        <v>15573.333333333334</v>
      </c>
      <c r="T204" s="3180">
        <v>153300</v>
      </c>
      <c r="U204" s="3180">
        <f t="shared" si="77"/>
        <v>35040</v>
      </c>
      <c r="V204" s="3180">
        <f t="shared" si="81"/>
        <v>0</v>
      </c>
      <c r="W204" s="3180">
        <f t="shared" si="87"/>
        <v>188340</v>
      </c>
      <c r="X204" s="3181">
        <v>45211</v>
      </c>
      <c r="Y204" s="3181">
        <v>46295</v>
      </c>
      <c r="Z204" s="3181" t="s">
        <v>3784</v>
      </c>
      <c r="AA204" s="3182">
        <v>12</v>
      </c>
      <c r="AB204" s="3171" t="s">
        <v>4513</v>
      </c>
    </row>
    <row r="205" spans="1:28" s="3183" customFormat="1" ht="34.5" customHeight="1">
      <c r="A205" s="3170">
        <v>255</v>
      </c>
      <c r="B205" s="3170">
        <v>198</v>
      </c>
      <c r="C205" s="3171" t="s">
        <v>4514</v>
      </c>
      <c r="D205" s="3172" t="s">
        <v>4290</v>
      </c>
      <c r="E205" s="3173" t="s">
        <v>3779</v>
      </c>
      <c r="F205" s="3171" t="s">
        <v>4515</v>
      </c>
      <c r="G205" s="3174">
        <v>49</v>
      </c>
      <c r="H205" s="3175" t="s">
        <v>4500</v>
      </c>
      <c r="I205" s="3173" t="s">
        <v>4501</v>
      </c>
      <c r="J205" s="3176" t="s">
        <v>3783</v>
      </c>
      <c r="K205" s="3177"/>
      <c r="L205" s="3179">
        <v>3</v>
      </c>
      <c r="M205" s="3179">
        <v>3</v>
      </c>
      <c r="N205" s="3180"/>
      <c r="O205" s="3180">
        <f t="shared" si="85"/>
        <v>6</v>
      </c>
      <c r="P205" s="3180">
        <f t="shared" si="88"/>
        <v>4471.25</v>
      </c>
      <c r="Q205" s="3180">
        <f t="shared" si="89"/>
        <v>4471.25</v>
      </c>
      <c r="R205" s="3180"/>
      <c r="S205" s="3179">
        <f t="shared" ref="S205:S219" si="90">SUM(P205:R205)</f>
        <v>8942.5</v>
      </c>
      <c r="T205" s="3180">
        <v>55443.5</v>
      </c>
      <c r="U205" s="3180">
        <f t="shared" si="77"/>
        <v>53655</v>
      </c>
      <c r="V205" s="3180">
        <f t="shared" si="81"/>
        <v>0</v>
      </c>
      <c r="W205" s="3180">
        <f t="shared" si="87"/>
        <v>109098.5</v>
      </c>
      <c r="X205" s="3181">
        <v>45171</v>
      </c>
      <c r="Y205" s="3181">
        <v>46630</v>
      </c>
      <c r="Z205" s="3181" t="s">
        <v>3784</v>
      </c>
      <c r="AA205" s="3182">
        <v>12</v>
      </c>
      <c r="AB205" s="3171" t="s">
        <v>4502</v>
      </c>
    </row>
    <row r="206" spans="1:28" s="3183" customFormat="1" ht="34.5" customHeight="1">
      <c r="A206" s="3170">
        <v>260</v>
      </c>
      <c r="B206" s="3170">
        <v>199</v>
      </c>
      <c r="C206" s="3171" t="s">
        <v>4516</v>
      </c>
      <c r="D206" s="3172" t="s">
        <v>4290</v>
      </c>
      <c r="E206" s="3173" t="s">
        <v>3779</v>
      </c>
      <c r="F206" s="3171" t="s">
        <v>4517</v>
      </c>
      <c r="G206" s="3174">
        <v>46</v>
      </c>
      <c r="H206" s="3175" t="s">
        <v>4518</v>
      </c>
      <c r="I206" s="3173" t="s">
        <v>4519</v>
      </c>
      <c r="J206" s="3176" t="s">
        <v>3783</v>
      </c>
      <c r="K206" s="3177"/>
      <c r="L206" s="3179">
        <v>7</v>
      </c>
      <c r="M206" s="3179">
        <v>3</v>
      </c>
      <c r="N206" s="3180"/>
      <c r="O206" s="3180">
        <f t="shared" si="85"/>
        <v>10</v>
      </c>
      <c r="P206" s="3180">
        <f t="shared" si="88"/>
        <v>9794.1666666666661</v>
      </c>
      <c r="Q206" s="3180">
        <f t="shared" si="89"/>
        <v>4197.5</v>
      </c>
      <c r="R206" s="3180"/>
      <c r="S206" s="3179">
        <f t="shared" si="90"/>
        <v>13991.666666666666</v>
      </c>
      <c r="T206" s="3180">
        <v>123126.67</v>
      </c>
      <c r="U206" s="3180">
        <f t="shared" si="77"/>
        <v>50370</v>
      </c>
      <c r="V206" s="3180">
        <f t="shared" si="81"/>
        <v>0</v>
      </c>
      <c r="W206" s="3180">
        <f t="shared" si="87"/>
        <v>173496.66999999998</v>
      </c>
      <c r="X206" s="3181">
        <v>45171</v>
      </c>
      <c r="Y206" s="3181">
        <v>45900</v>
      </c>
      <c r="Z206" s="3181" t="s">
        <v>3784</v>
      </c>
      <c r="AA206" s="3182">
        <v>12</v>
      </c>
      <c r="AB206" s="3171" t="s">
        <v>4520</v>
      </c>
    </row>
    <row r="207" spans="1:28" s="3183" customFormat="1" ht="34.5" customHeight="1">
      <c r="A207" s="3170">
        <v>269</v>
      </c>
      <c r="B207" s="3170">
        <v>200</v>
      </c>
      <c r="C207" s="3171" t="s">
        <v>4521</v>
      </c>
      <c r="D207" s="3172" t="s">
        <v>4290</v>
      </c>
      <c r="E207" s="3173" t="s">
        <v>3779</v>
      </c>
      <c r="F207" s="3171" t="s">
        <v>4522</v>
      </c>
      <c r="G207" s="3174">
        <v>41</v>
      </c>
      <c r="H207" s="3175" t="s">
        <v>3903</v>
      </c>
      <c r="I207" s="3173" t="s">
        <v>4523</v>
      </c>
      <c r="J207" s="3176" t="s">
        <v>3783</v>
      </c>
      <c r="K207" s="3177"/>
      <c r="L207" s="3179">
        <v>17</v>
      </c>
      <c r="M207" s="3179">
        <v>3</v>
      </c>
      <c r="N207" s="3180"/>
      <c r="O207" s="3180">
        <f t="shared" si="85"/>
        <v>20</v>
      </c>
      <c r="P207" s="3180">
        <v>21200.42</v>
      </c>
      <c r="Q207" s="3180">
        <f t="shared" si="89"/>
        <v>3741.25</v>
      </c>
      <c r="R207" s="3180"/>
      <c r="S207" s="3179">
        <f t="shared" si="90"/>
        <v>24941.67</v>
      </c>
      <c r="T207" s="3180">
        <v>258146.28</v>
      </c>
      <c r="U207" s="3180">
        <f t="shared" si="77"/>
        <v>44895</v>
      </c>
      <c r="V207" s="3180">
        <f t="shared" si="81"/>
        <v>0</v>
      </c>
      <c r="W207" s="3180">
        <f t="shared" si="87"/>
        <v>303041.28000000003</v>
      </c>
      <c r="X207" s="3181">
        <v>45211</v>
      </c>
      <c r="Y207" s="3181">
        <v>45930</v>
      </c>
      <c r="Z207" s="3181" t="s">
        <v>3784</v>
      </c>
      <c r="AA207" s="3182">
        <v>12</v>
      </c>
      <c r="AB207" s="3171" t="s">
        <v>4524</v>
      </c>
    </row>
    <row r="208" spans="1:28" s="3183" customFormat="1" ht="34.5" customHeight="1">
      <c r="A208" s="3170">
        <v>288</v>
      </c>
      <c r="B208" s="3170">
        <v>201</v>
      </c>
      <c r="C208" s="3171" t="s">
        <v>4525</v>
      </c>
      <c r="D208" s="3172" t="s">
        <v>4290</v>
      </c>
      <c r="E208" s="3173" t="s">
        <v>3779</v>
      </c>
      <c r="F208" s="3171" t="s">
        <v>4526</v>
      </c>
      <c r="G208" s="3174">
        <v>29</v>
      </c>
      <c r="H208" s="3175" t="s">
        <v>3903</v>
      </c>
      <c r="I208" s="3173" t="s">
        <v>4527</v>
      </c>
      <c r="J208" s="3176" t="s">
        <v>3783</v>
      </c>
      <c r="K208" s="3177"/>
      <c r="L208" s="3179">
        <v>16.28</v>
      </c>
      <c r="M208" s="3179">
        <v>3</v>
      </c>
      <c r="N208" s="3180"/>
      <c r="O208" s="3180">
        <f t="shared" si="85"/>
        <v>19.28</v>
      </c>
      <c r="P208" s="3180">
        <f>L208*G208*365/12</f>
        <v>14360.316666666666</v>
      </c>
      <c r="Q208" s="3180">
        <f t="shared" si="89"/>
        <v>2646.25</v>
      </c>
      <c r="R208" s="3180"/>
      <c r="S208" s="3179">
        <f t="shared" si="90"/>
        <v>17006.566666666666</v>
      </c>
      <c r="T208" s="3180">
        <v>118659.49</v>
      </c>
      <c r="U208" s="3180">
        <v>21866</v>
      </c>
      <c r="V208" s="3180">
        <f t="shared" si="81"/>
        <v>0</v>
      </c>
      <c r="W208" s="3180">
        <f t="shared" si="87"/>
        <v>140525.49</v>
      </c>
      <c r="X208" s="3181" t="s">
        <v>4528</v>
      </c>
      <c r="Y208" s="3181">
        <v>45991</v>
      </c>
      <c r="Z208" s="3181" t="s">
        <v>3784</v>
      </c>
      <c r="AA208" s="3182">
        <v>9</v>
      </c>
      <c r="AB208" s="3171"/>
    </row>
    <row r="209" spans="1:29" s="3183" customFormat="1" ht="34.5" customHeight="1">
      <c r="A209" s="3170">
        <v>291</v>
      </c>
      <c r="B209" s="3170">
        <v>202</v>
      </c>
      <c r="C209" s="3171" t="s">
        <v>4529</v>
      </c>
      <c r="D209" s="3172" t="s">
        <v>4290</v>
      </c>
      <c r="E209" s="3173" t="s">
        <v>3779</v>
      </c>
      <c r="F209" s="3171" t="s">
        <v>4530</v>
      </c>
      <c r="G209" s="3174">
        <v>7</v>
      </c>
      <c r="H209" s="3175" t="s">
        <v>4531</v>
      </c>
      <c r="I209" s="3173" t="s">
        <v>4532</v>
      </c>
      <c r="J209" s="3176" t="s">
        <v>3783</v>
      </c>
      <c r="K209" s="3177"/>
      <c r="L209" s="3179">
        <v>28.180039138943201</v>
      </c>
      <c r="M209" s="3179">
        <v>14.0900195694716</v>
      </c>
      <c r="N209" s="3180"/>
      <c r="O209" s="3180">
        <f t="shared" si="85"/>
        <v>42.270058708414801</v>
      </c>
      <c r="P209" s="3180">
        <v>6000</v>
      </c>
      <c r="Q209" s="3180">
        <v>3000</v>
      </c>
      <c r="R209" s="3180"/>
      <c r="S209" s="3179">
        <f t="shared" si="90"/>
        <v>9000</v>
      </c>
      <c r="T209" s="3180">
        <f>P209*AA209</f>
        <v>54000</v>
      </c>
      <c r="U209" s="3180">
        <f>Q209*AA209</f>
        <v>27000</v>
      </c>
      <c r="V209" s="3180">
        <f t="shared" si="81"/>
        <v>0</v>
      </c>
      <c r="W209" s="3180">
        <f t="shared" si="87"/>
        <v>81000</v>
      </c>
      <c r="X209" s="3181">
        <v>45218</v>
      </c>
      <c r="Y209" s="3181">
        <v>45565</v>
      </c>
      <c r="Z209" s="3181" t="s">
        <v>3784</v>
      </c>
      <c r="AA209" s="3182">
        <v>9</v>
      </c>
      <c r="AB209" s="3171"/>
    </row>
    <row r="210" spans="1:29" s="3183" customFormat="1" ht="34.5" customHeight="1">
      <c r="A210" s="3170"/>
      <c r="B210" s="3170">
        <v>203</v>
      </c>
      <c r="C210" s="3188" t="s">
        <v>4533</v>
      </c>
      <c r="D210" s="3172" t="s">
        <v>4290</v>
      </c>
      <c r="E210" s="3173" t="s">
        <v>3779</v>
      </c>
      <c r="F210" s="3188" t="s">
        <v>4534</v>
      </c>
      <c r="G210" s="3174">
        <v>214</v>
      </c>
      <c r="H210" s="3175" t="s">
        <v>3903</v>
      </c>
      <c r="I210" s="3173" t="s">
        <v>4535</v>
      </c>
      <c r="J210" s="3176" t="s">
        <v>4245</v>
      </c>
      <c r="K210" s="3170"/>
      <c r="L210" s="3179">
        <v>5</v>
      </c>
      <c r="M210" s="3179">
        <v>3</v>
      </c>
      <c r="N210" s="3180"/>
      <c r="O210" s="3180">
        <f t="shared" si="85"/>
        <v>8</v>
      </c>
      <c r="P210" s="3180">
        <f>L210*G210*365/12</f>
        <v>32545.833333333332</v>
      </c>
      <c r="Q210" s="3180">
        <f>M210*G210*365/12</f>
        <v>19527.5</v>
      </c>
      <c r="R210" s="3180"/>
      <c r="S210" s="3179">
        <f t="shared" si="90"/>
        <v>52073.333333333328</v>
      </c>
      <c r="T210" s="3180">
        <v>261436.67</v>
      </c>
      <c r="U210" s="3180">
        <v>156862</v>
      </c>
      <c r="V210" s="3180">
        <f t="shared" si="81"/>
        <v>0</v>
      </c>
      <c r="W210" s="3180">
        <f t="shared" si="87"/>
        <v>418298.67000000004</v>
      </c>
      <c r="X210" s="3181">
        <v>45352</v>
      </c>
      <c r="Y210" s="3181">
        <v>46812</v>
      </c>
      <c r="Z210" s="3181" t="s">
        <v>3784</v>
      </c>
      <c r="AA210" s="3182">
        <v>8</v>
      </c>
      <c r="AB210" s="3171" t="s">
        <v>3851</v>
      </c>
    </row>
    <row r="211" spans="1:29" s="3183" customFormat="1" ht="34.5" customHeight="1">
      <c r="A211" s="3170">
        <v>108</v>
      </c>
      <c r="B211" s="3170">
        <v>204</v>
      </c>
      <c r="C211" s="3171" t="s">
        <v>4536</v>
      </c>
      <c r="D211" s="3172" t="s">
        <v>4290</v>
      </c>
      <c r="E211" s="3173" t="s">
        <v>3857</v>
      </c>
      <c r="F211" s="3171" t="s">
        <v>4537</v>
      </c>
      <c r="G211" s="3174">
        <v>34</v>
      </c>
      <c r="H211" s="3175" t="s">
        <v>3903</v>
      </c>
      <c r="I211" s="3173" t="s">
        <v>4538</v>
      </c>
      <c r="J211" s="3176" t="s">
        <v>3844</v>
      </c>
      <c r="K211" s="3177">
        <v>0.1</v>
      </c>
      <c r="L211" s="3179"/>
      <c r="M211" s="3179"/>
      <c r="N211" s="3180">
        <v>15</v>
      </c>
      <c r="O211" s="3180">
        <f t="shared" si="85"/>
        <v>15</v>
      </c>
      <c r="P211" s="3180"/>
      <c r="Q211" s="3180">
        <f t="shared" ref="Q211:Q212" si="91">M211*G211*365/12</f>
        <v>0</v>
      </c>
      <c r="R211" s="3180">
        <f>N211*G211*365/12</f>
        <v>15512.5</v>
      </c>
      <c r="S211" s="3180">
        <f t="shared" si="90"/>
        <v>15512.5</v>
      </c>
      <c r="T211" s="3180">
        <f>L211*G211*365</f>
        <v>0</v>
      </c>
      <c r="U211" s="3180">
        <f>M211*G211*365</f>
        <v>0</v>
      </c>
      <c r="V211" s="3180">
        <v>183047.5</v>
      </c>
      <c r="W211" s="3180">
        <f t="shared" si="87"/>
        <v>183047.5</v>
      </c>
      <c r="X211" s="3181">
        <v>44652</v>
      </c>
      <c r="Y211" s="3181">
        <v>45747</v>
      </c>
      <c r="Z211" s="3181" t="s">
        <v>3784</v>
      </c>
      <c r="AA211" s="3182">
        <v>12</v>
      </c>
      <c r="AB211" s="3171" t="s">
        <v>4539</v>
      </c>
    </row>
    <row r="212" spans="1:29" s="3183" customFormat="1" ht="34.5" customHeight="1">
      <c r="A212" s="3170">
        <v>113</v>
      </c>
      <c r="B212" s="3170">
        <v>205</v>
      </c>
      <c r="C212" s="3171" t="s">
        <v>4540</v>
      </c>
      <c r="D212" s="3172" t="s">
        <v>4290</v>
      </c>
      <c r="E212" s="3173" t="s">
        <v>3779</v>
      </c>
      <c r="F212" s="3171" t="s">
        <v>4541</v>
      </c>
      <c r="G212" s="3174">
        <v>68</v>
      </c>
      <c r="H212" s="3175" t="s">
        <v>3903</v>
      </c>
      <c r="I212" s="3173" t="s">
        <v>4542</v>
      </c>
      <c r="J212" s="3176" t="s">
        <v>3844</v>
      </c>
      <c r="K212" s="3177">
        <v>0.1</v>
      </c>
      <c r="L212" s="3179">
        <v>9</v>
      </c>
      <c r="M212" s="3179">
        <v>3</v>
      </c>
      <c r="N212" s="3180"/>
      <c r="O212" s="3180">
        <f t="shared" si="85"/>
        <v>12</v>
      </c>
      <c r="P212" s="3180">
        <f>L212*G212*365/12</f>
        <v>18615</v>
      </c>
      <c r="Q212" s="3180">
        <f t="shared" si="91"/>
        <v>6205</v>
      </c>
      <c r="R212" s="3180">
        <f>N212*G212*365/12</f>
        <v>0</v>
      </c>
      <c r="S212" s="3180">
        <f t="shared" si="90"/>
        <v>24820</v>
      </c>
      <c r="T212" s="3180">
        <v>217175.01</v>
      </c>
      <c r="U212" s="3180">
        <f>M212*G212*365</f>
        <v>74460</v>
      </c>
      <c r="V212" s="3180">
        <f t="shared" ref="V212:V218" si="92">N212*G212*365</f>
        <v>0</v>
      </c>
      <c r="W212" s="3180">
        <f t="shared" si="87"/>
        <v>291635.01</v>
      </c>
      <c r="X212" s="3181">
        <v>44652</v>
      </c>
      <c r="Y212" s="3181">
        <v>45747</v>
      </c>
      <c r="Z212" s="3181" t="s">
        <v>3784</v>
      </c>
      <c r="AA212" s="3182">
        <v>12</v>
      </c>
      <c r="AB212" s="3171" t="s">
        <v>4543</v>
      </c>
    </row>
    <row r="213" spans="1:29" s="3183" customFormat="1" ht="34.5" customHeight="1">
      <c r="A213" s="3170">
        <v>31</v>
      </c>
      <c r="B213" s="3170">
        <v>206</v>
      </c>
      <c r="C213" s="3171" t="s">
        <v>4544</v>
      </c>
      <c r="D213" s="3172" t="s">
        <v>4290</v>
      </c>
      <c r="E213" s="3173" t="s">
        <v>3779</v>
      </c>
      <c r="F213" s="3171" t="s">
        <v>4545</v>
      </c>
      <c r="G213" s="3174">
        <v>377</v>
      </c>
      <c r="H213" s="3176" t="s">
        <v>3903</v>
      </c>
      <c r="I213" s="3171" t="s">
        <v>4546</v>
      </c>
      <c r="J213" s="3176" t="s">
        <v>4215</v>
      </c>
      <c r="K213" s="3177">
        <v>0.06</v>
      </c>
      <c r="L213" s="3179">
        <v>5.93</v>
      </c>
      <c r="M213" s="3179">
        <v>3</v>
      </c>
      <c r="N213" s="3180"/>
      <c r="O213" s="3180">
        <f t="shared" si="85"/>
        <v>8.93</v>
      </c>
      <c r="P213" s="3180">
        <f>L213*G213*365/12</f>
        <v>67999.804166666654</v>
      </c>
      <c r="Q213" s="3180">
        <f>M213*365*G213/12</f>
        <v>34401.25</v>
      </c>
      <c r="R213" s="3180"/>
      <c r="S213" s="3180">
        <f t="shared" si="90"/>
        <v>102401.05416666665</v>
      </c>
      <c r="T213" s="3180">
        <v>815997.61</v>
      </c>
      <c r="U213" s="3180">
        <f>M213*G213*365</f>
        <v>412815</v>
      </c>
      <c r="V213" s="3180">
        <f t="shared" si="92"/>
        <v>0</v>
      </c>
      <c r="W213" s="3180">
        <f t="shared" si="87"/>
        <v>1228812.6099999999</v>
      </c>
      <c r="X213" s="3181">
        <v>44348</v>
      </c>
      <c r="Y213" s="3181">
        <v>46538</v>
      </c>
      <c r="Z213" s="3181" t="s">
        <v>3784</v>
      </c>
      <c r="AA213" s="3182">
        <v>12</v>
      </c>
      <c r="AB213" s="3171"/>
    </row>
    <row r="214" spans="1:29" s="3183" customFormat="1" ht="34.5" customHeight="1">
      <c r="A214" s="3170">
        <v>70</v>
      </c>
      <c r="B214" s="3170">
        <v>207</v>
      </c>
      <c r="C214" s="3171" t="s">
        <v>4547</v>
      </c>
      <c r="D214" s="3172" t="s">
        <v>4290</v>
      </c>
      <c r="E214" s="3173" t="s">
        <v>3779</v>
      </c>
      <c r="F214" s="3171" t="s">
        <v>4548</v>
      </c>
      <c r="G214" s="3174">
        <v>170</v>
      </c>
      <c r="H214" s="3176" t="s">
        <v>3903</v>
      </c>
      <c r="I214" s="3171" t="s">
        <v>4549</v>
      </c>
      <c r="J214" s="3176" t="s">
        <v>4215</v>
      </c>
      <c r="K214" s="3177">
        <v>0.06</v>
      </c>
      <c r="L214" s="3179">
        <v>8</v>
      </c>
      <c r="M214" s="3179">
        <v>3</v>
      </c>
      <c r="N214" s="3180"/>
      <c r="O214" s="3180">
        <f t="shared" si="85"/>
        <v>11</v>
      </c>
      <c r="P214" s="3180">
        <f>L214*G214*365/12</f>
        <v>41366.666666666664</v>
      </c>
      <c r="Q214" s="3180">
        <f>M214*G214*365/12</f>
        <v>15512.5</v>
      </c>
      <c r="R214" s="3180"/>
      <c r="S214" s="3180">
        <f t="shared" si="90"/>
        <v>56879.166666666664</v>
      </c>
      <c r="T214" s="3180">
        <v>496400.04</v>
      </c>
      <c r="U214" s="3180">
        <f>M214*G214*365</f>
        <v>186150</v>
      </c>
      <c r="V214" s="3180">
        <f t="shared" si="92"/>
        <v>0</v>
      </c>
      <c r="W214" s="3180">
        <f t="shared" si="87"/>
        <v>682550.04</v>
      </c>
      <c r="X214" s="3181">
        <v>44501</v>
      </c>
      <c r="Y214" s="3181">
        <v>46691</v>
      </c>
      <c r="Z214" s="3181" t="s">
        <v>3784</v>
      </c>
      <c r="AA214" s="3182">
        <v>12</v>
      </c>
      <c r="AB214" s="3171"/>
    </row>
    <row r="215" spans="1:29" s="3183" customFormat="1" ht="34.5" customHeight="1">
      <c r="A215" s="3170">
        <v>88</v>
      </c>
      <c r="B215" s="3170">
        <v>208</v>
      </c>
      <c r="C215" s="3171" t="s">
        <v>4550</v>
      </c>
      <c r="D215" s="3172" t="s">
        <v>4290</v>
      </c>
      <c r="E215" s="3173" t="s">
        <v>3779</v>
      </c>
      <c r="F215" s="3188" t="s">
        <v>4551</v>
      </c>
      <c r="G215" s="3174">
        <v>171</v>
      </c>
      <c r="H215" s="3176" t="s">
        <v>3903</v>
      </c>
      <c r="I215" s="3171" t="s">
        <v>4552</v>
      </c>
      <c r="J215" s="3176" t="s">
        <v>4215</v>
      </c>
      <c r="K215" s="3177">
        <v>0.06</v>
      </c>
      <c r="L215" s="3179">
        <v>9</v>
      </c>
      <c r="M215" s="3179">
        <v>3</v>
      </c>
      <c r="N215" s="3180"/>
      <c r="O215" s="3180">
        <f t="shared" si="85"/>
        <v>12</v>
      </c>
      <c r="P215" s="3180">
        <f>L215*G215*365/12</f>
        <v>46811.25</v>
      </c>
      <c r="Q215" s="3180">
        <f>M215*365*G215/12</f>
        <v>15603.75</v>
      </c>
      <c r="R215" s="3180"/>
      <c r="S215" s="3180">
        <f t="shared" si="90"/>
        <v>62415</v>
      </c>
      <c r="T215" s="3180">
        <v>561735</v>
      </c>
      <c r="U215" s="3180">
        <f>M215*G215*365</f>
        <v>187245</v>
      </c>
      <c r="V215" s="3180">
        <f t="shared" si="92"/>
        <v>0</v>
      </c>
      <c r="W215" s="3180">
        <f t="shared" si="87"/>
        <v>748980</v>
      </c>
      <c r="X215" s="3181">
        <v>44562</v>
      </c>
      <c r="Y215" s="3181">
        <v>46387</v>
      </c>
      <c r="Z215" s="3181" t="s">
        <v>3784</v>
      </c>
      <c r="AA215" s="3182">
        <v>12</v>
      </c>
      <c r="AB215" s="3171"/>
    </row>
    <row r="216" spans="1:29" s="3183" customFormat="1" ht="34.5" customHeight="1">
      <c r="A216" s="3186">
        <v>309</v>
      </c>
      <c r="B216" s="3170">
        <v>209</v>
      </c>
      <c r="C216" s="3190" t="s">
        <v>4553</v>
      </c>
      <c r="D216" s="3172" t="s">
        <v>4290</v>
      </c>
      <c r="E216" s="3173" t="s">
        <v>3779</v>
      </c>
      <c r="F216" s="3171" t="s">
        <v>4554</v>
      </c>
      <c r="G216" s="3174">
        <v>77</v>
      </c>
      <c r="H216" s="3175" t="s">
        <v>3903</v>
      </c>
      <c r="I216" s="3173" t="s">
        <v>4555</v>
      </c>
      <c r="J216" s="3176" t="s">
        <v>3844</v>
      </c>
      <c r="K216" s="3177">
        <v>7.0000000000000007E-2</v>
      </c>
      <c r="L216" s="3185">
        <v>2.99</v>
      </c>
      <c r="M216" s="3185">
        <v>1.28</v>
      </c>
      <c r="N216" s="3186"/>
      <c r="O216" s="3180">
        <f t="shared" si="85"/>
        <v>4.2700000000000005</v>
      </c>
      <c r="P216" s="3186">
        <v>7000</v>
      </c>
      <c r="Q216" s="3186">
        <v>3000</v>
      </c>
      <c r="R216" s="3186"/>
      <c r="S216" s="3180">
        <f t="shared" si="90"/>
        <v>10000</v>
      </c>
      <c r="T216" s="3180">
        <v>78590</v>
      </c>
      <c r="U216" s="3180">
        <v>30000</v>
      </c>
      <c r="V216" s="3180">
        <f t="shared" si="92"/>
        <v>0</v>
      </c>
      <c r="W216" s="3180">
        <f t="shared" si="87"/>
        <v>108590</v>
      </c>
      <c r="X216" s="3187">
        <v>45275</v>
      </c>
      <c r="Y216" s="3187">
        <v>47087</v>
      </c>
      <c r="Z216" s="3181" t="s">
        <v>3784</v>
      </c>
      <c r="AA216" s="3182">
        <v>11</v>
      </c>
      <c r="AB216" s="3171" t="s">
        <v>4556</v>
      </c>
    </row>
    <row r="217" spans="1:29" s="3183" customFormat="1" ht="34.5" customHeight="1">
      <c r="A217" s="3170">
        <v>66</v>
      </c>
      <c r="B217" s="3170">
        <v>210</v>
      </c>
      <c r="C217" s="3171" t="s">
        <v>4557</v>
      </c>
      <c r="D217" s="3172" t="s">
        <v>4290</v>
      </c>
      <c r="E217" s="3173" t="s">
        <v>3779</v>
      </c>
      <c r="F217" s="3171" t="s">
        <v>4558</v>
      </c>
      <c r="G217" s="3174">
        <v>403</v>
      </c>
      <c r="H217" s="3176" t="s">
        <v>3903</v>
      </c>
      <c r="I217" s="3171" t="s">
        <v>4559</v>
      </c>
      <c r="J217" s="3176" t="s">
        <v>4215</v>
      </c>
      <c r="K217" s="3177">
        <v>0.06</v>
      </c>
      <c r="L217" s="3179">
        <v>4.88</v>
      </c>
      <c r="M217" s="3179">
        <v>3</v>
      </c>
      <c r="N217" s="3180"/>
      <c r="O217" s="3180">
        <f t="shared" si="85"/>
        <v>7.88</v>
      </c>
      <c r="P217" s="3180">
        <f>L217*G217*365/12</f>
        <v>59818.633333333331</v>
      </c>
      <c r="Q217" s="3180">
        <f>M217*G217*365/12</f>
        <v>36773.75</v>
      </c>
      <c r="R217" s="3180"/>
      <c r="S217" s="3180">
        <f t="shared" si="90"/>
        <v>96592.383333333331</v>
      </c>
      <c r="T217" s="3180">
        <v>717823.56</v>
      </c>
      <c r="U217" s="3180">
        <f t="shared" ref="U217:U219" si="93">M217*G217*365</f>
        <v>441285</v>
      </c>
      <c r="V217" s="3180">
        <f t="shared" si="92"/>
        <v>0</v>
      </c>
      <c r="W217" s="3180">
        <f t="shared" si="87"/>
        <v>1159108.56</v>
      </c>
      <c r="X217" s="3181">
        <v>44449</v>
      </c>
      <c r="Y217" s="3181">
        <v>46639</v>
      </c>
      <c r="Z217" s="3181" t="s">
        <v>3784</v>
      </c>
      <c r="AA217" s="3182">
        <v>12</v>
      </c>
      <c r="AB217" s="3171" t="s">
        <v>4556</v>
      </c>
    </row>
    <row r="218" spans="1:29" s="3183" customFormat="1" ht="34.5" customHeight="1">
      <c r="A218" s="3186">
        <v>135</v>
      </c>
      <c r="B218" s="3170">
        <v>211</v>
      </c>
      <c r="C218" s="3171" t="s">
        <v>4560</v>
      </c>
      <c r="D218" s="3172" t="s">
        <v>4290</v>
      </c>
      <c r="E218" s="3173" t="s">
        <v>3779</v>
      </c>
      <c r="F218" s="3171" t="s">
        <v>4561</v>
      </c>
      <c r="G218" s="3174">
        <v>155</v>
      </c>
      <c r="H218" s="3175" t="s">
        <v>3903</v>
      </c>
      <c r="I218" s="3173" t="s">
        <v>4562</v>
      </c>
      <c r="J218" s="3176" t="s">
        <v>3844</v>
      </c>
      <c r="K218" s="3177">
        <v>0.1</v>
      </c>
      <c r="L218" s="3185">
        <v>6</v>
      </c>
      <c r="M218" s="3185">
        <v>3</v>
      </c>
      <c r="N218" s="3186"/>
      <c r="O218" s="3180">
        <f t="shared" si="85"/>
        <v>9</v>
      </c>
      <c r="P218" s="3186">
        <f>L218*G218*365/12</f>
        <v>28287.5</v>
      </c>
      <c r="Q218" s="3186">
        <f>M218*G218*365/12</f>
        <v>14143.75</v>
      </c>
      <c r="R218" s="3186"/>
      <c r="S218" s="3180">
        <f t="shared" si="90"/>
        <v>42431.25</v>
      </c>
      <c r="T218" s="3180">
        <v>339450</v>
      </c>
      <c r="U218" s="3180">
        <f t="shared" si="93"/>
        <v>169725</v>
      </c>
      <c r="V218" s="3180">
        <f t="shared" si="92"/>
        <v>0</v>
      </c>
      <c r="W218" s="3180">
        <f t="shared" si="87"/>
        <v>509175</v>
      </c>
      <c r="X218" s="3187">
        <v>44805</v>
      </c>
      <c r="Y218" s="3187">
        <v>46081</v>
      </c>
      <c r="Z218" s="3181" t="s">
        <v>3784</v>
      </c>
      <c r="AA218" s="3182">
        <v>12</v>
      </c>
      <c r="AB218" s="3171" t="s">
        <v>4556</v>
      </c>
    </row>
    <row r="219" spans="1:29" s="3183" customFormat="1" ht="34.5" customHeight="1">
      <c r="A219" s="3170">
        <v>55</v>
      </c>
      <c r="B219" s="3170">
        <v>212</v>
      </c>
      <c r="C219" s="3171" t="s">
        <v>4563</v>
      </c>
      <c r="D219" s="3172" t="s">
        <v>4290</v>
      </c>
      <c r="E219" s="3173" t="s">
        <v>3857</v>
      </c>
      <c r="F219" s="3171" t="s">
        <v>4564</v>
      </c>
      <c r="G219" s="3174">
        <f>1296+140</f>
        <v>1436</v>
      </c>
      <c r="H219" s="3176" t="s">
        <v>4565</v>
      </c>
      <c r="I219" s="3171" t="s">
        <v>4566</v>
      </c>
      <c r="J219" s="3176" t="s">
        <v>4215</v>
      </c>
      <c r="K219" s="3177">
        <v>0.1</v>
      </c>
      <c r="L219" s="3179"/>
      <c r="M219" s="3179"/>
      <c r="N219" s="3180">
        <v>5</v>
      </c>
      <c r="O219" s="3180">
        <f t="shared" si="85"/>
        <v>5</v>
      </c>
      <c r="P219" s="3180"/>
      <c r="Q219" s="3180">
        <f>M219*G219*365/12</f>
        <v>0</v>
      </c>
      <c r="R219" s="3180">
        <f>N219*G219*365/12</f>
        <v>218391.66666666666</v>
      </c>
      <c r="S219" s="3180">
        <f t="shared" si="90"/>
        <v>218391.66666666666</v>
      </c>
      <c r="T219" s="3180">
        <f t="shared" ref="T219" si="94">L219*G219*365</f>
        <v>0</v>
      </c>
      <c r="U219" s="3180">
        <f t="shared" si="93"/>
        <v>0</v>
      </c>
      <c r="V219" s="3180">
        <v>2620700.0299999998</v>
      </c>
      <c r="W219" s="3180">
        <f t="shared" si="87"/>
        <v>2620700.0299999998</v>
      </c>
      <c r="X219" s="3181">
        <v>44440</v>
      </c>
      <c r="Y219" s="3181">
        <v>48091</v>
      </c>
      <c r="Z219" s="3181" t="s">
        <v>3784</v>
      </c>
      <c r="AA219" s="3182">
        <v>12</v>
      </c>
      <c r="AB219" s="3171" t="s">
        <v>4556</v>
      </c>
    </row>
    <row r="220" spans="1:29" s="3183" customFormat="1" ht="34.5" customHeight="1">
      <c r="A220" s="3170">
        <v>187</v>
      </c>
      <c r="B220" s="3170">
        <v>213</v>
      </c>
      <c r="C220" s="3171" t="s">
        <v>4567</v>
      </c>
      <c r="D220" s="3172" t="s">
        <v>4290</v>
      </c>
      <c r="E220" s="3173" t="s">
        <v>3779</v>
      </c>
      <c r="F220" s="3171" t="s">
        <v>4568</v>
      </c>
      <c r="G220" s="3174">
        <v>163</v>
      </c>
      <c r="H220" s="3175" t="s">
        <v>3903</v>
      </c>
      <c r="I220" s="3173" t="s">
        <v>4569</v>
      </c>
      <c r="J220" s="3176" t="s">
        <v>4570</v>
      </c>
      <c r="K220" s="3170" t="s">
        <v>4571</v>
      </c>
      <c r="L220" s="3179">
        <v>4</v>
      </c>
      <c r="M220" s="3179">
        <v>3</v>
      </c>
      <c r="N220" s="3180"/>
      <c r="O220" s="3180">
        <f>SUM(L220:N220)</f>
        <v>7</v>
      </c>
      <c r="P220" s="3180">
        <f>L220*G220*365/12</f>
        <v>19831.666666666668</v>
      </c>
      <c r="Q220" s="3180">
        <f>M220*G220*365/12</f>
        <v>14873.75</v>
      </c>
      <c r="R220" s="3180"/>
      <c r="S220" s="3180">
        <f>SUM(P220:R220)</f>
        <v>34705.416666666672</v>
      </c>
      <c r="T220" s="3180">
        <v>229489.06</v>
      </c>
      <c r="U220" s="3180">
        <f>M220*G220*365</f>
        <v>178485</v>
      </c>
      <c r="V220" s="3180">
        <f>N220*G220*365</f>
        <v>0</v>
      </c>
      <c r="W220" s="3180">
        <f>SUM(T220:V220)</f>
        <v>407974.06</v>
      </c>
      <c r="X220" s="3181">
        <v>45094</v>
      </c>
      <c r="Y220" s="3181">
        <v>46920</v>
      </c>
      <c r="Z220" s="3181" t="s">
        <v>3784</v>
      </c>
      <c r="AA220" s="3182">
        <v>12</v>
      </c>
      <c r="AB220" s="3176" t="s">
        <v>4572</v>
      </c>
    </row>
    <row r="221" spans="1:29" s="3189" customFormat="1" ht="26.25" customHeight="1">
      <c r="B221" s="3170">
        <v>214</v>
      </c>
      <c r="C221" s="3171" t="s">
        <v>4573</v>
      </c>
      <c r="D221" s="3170" t="s">
        <v>4290</v>
      </c>
      <c r="E221" s="3170" t="s">
        <v>3779</v>
      </c>
      <c r="F221" s="3171" t="s">
        <v>4574</v>
      </c>
      <c r="G221" s="3192">
        <v>114</v>
      </c>
      <c r="H221" s="3170" t="s">
        <v>3908</v>
      </c>
      <c r="I221" s="3170" t="s">
        <v>4575</v>
      </c>
      <c r="J221" s="3170" t="s">
        <v>4215</v>
      </c>
      <c r="K221" s="3177">
        <v>0.09</v>
      </c>
      <c r="L221" s="3178">
        <v>10</v>
      </c>
      <c r="M221" s="3178">
        <v>3</v>
      </c>
      <c r="N221" s="3178"/>
      <c r="O221" s="3178">
        <f t="shared" ref="O221:O230" si="95">SUM(L221:N221)</f>
        <v>13</v>
      </c>
      <c r="P221" s="3194">
        <v>34675</v>
      </c>
      <c r="Q221" s="3194">
        <v>10402.5</v>
      </c>
      <c r="R221" s="3194"/>
      <c r="S221" s="3174">
        <f t="shared" ref="S221:S224" si="96">SUM(P221:R221)</f>
        <v>45077.5</v>
      </c>
      <c r="T221" s="3194">
        <v>416100</v>
      </c>
      <c r="U221" s="3194">
        <v>124830</v>
      </c>
      <c r="V221" s="3194">
        <v>0</v>
      </c>
      <c r="W221" s="3174">
        <f t="shared" ref="W221:W230" si="97">SUM(T221:V221)</f>
        <v>540930</v>
      </c>
      <c r="X221" s="3181">
        <v>44409</v>
      </c>
      <c r="Y221" s="3181">
        <v>46599</v>
      </c>
      <c r="Z221" s="3170"/>
      <c r="AA221" s="3182">
        <v>12</v>
      </c>
      <c r="AB221" s="3170"/>
      <c r="AC221" s="3170"/>
    </row>
    <row r="222" spans="1:29" s="3189" customFormat="1" ht="27" customHeight="1">
      <c r="B222" s="3170">
        <v>215</v>
      </c>
      <c r="C222" s="3171" t="s">
        <v>4576</v>
      </c>
      <c r="D222" s="3170" t="s">
        <v>4290</v>
      </c>
      <c r="E222" s="3170" t="s">
        <v>3857</v>
      </c>
      <c r="F222" s="3171" t="s">
        <v>4577</v>
      </c>
      <c r="G222" s="3192">
        <v>25</v>
      </c>
      <c r="H222" s="3170" t="s">
        <v>3781</v>
      </c>
      <c r="I222" s="3170" t="s">
        <v>4578</v>
      </c>
      <c r="J222" s="3170" t="s">
        <v>4122</v>
      </c>
      <c r="K222" s="3177"/>
      <c r="L222" s="3178"/>
      <c r="M222" s="3178"/>
      <c r="N222" s="3178">
        <v>2.19</v>
      </c>
      <c r="O222" s="3178">
        <f t="shared" si="95"/>
        <v>2.19</v>
      </c>
      <c r="P222" s="3194"/>
      <c r="Q222" s="3194"/>
      <c r="R222" s="3194">
        <v>1666.67</v>
      </c>
      <c r="S222" s="3174">
        <f t="shared" si="96"/>
        <v>1666.67</v>
      </c>
      <c r="T222" s="3194"/>
      <c r="U222" s="3194"/>
      <c r="V222" s="3194">
        <v>3333.33</v>
      </c>
      <c r="W222" s="3174">
        <f t="shared" si="97"/>
        <v>3333.33</v>
      </c>
      <c r="X222" s="3181">
        <v>44986</v>
      </c>
      <c r="Y222" s="3181">
        <v>45351</v>
      </c>
      <c r="Z222" s="3170"/>
      <c r="AA222" s="3182">
        <v>2</v>
      </c>
      <c r="AB222" s="3170" t="s">
        <v>4076</v>
      </c>
      <c r="AC222" s="3170"/>
    </row>
    <row r="223" spans="1:29" s="3189" customFormat="1" ht="27" customHeight="1">
      <c r="B223" s="3170">
        <v>216</v>
      </c>
      <c r="C223" s="3171" t="s">
        <v>4579</v>
      </c>
      <c r="D223" s="3170" t="s">
        <v>4290</v>
      </c>
      <c r="E223" s="3170" t="s">
        <v>3857</v>
      </c>
      <c r="F223" s="3171" t="s">
        <v>4580</v>
      </c>
      <c r="G223" s="3192">
        <v>11</v>
      </c>
      <c r="H223" s="3170" t="s">
        <v>3781</v>
      </c>
      <c r="I223" s="3170" t="s">
        <v>4300</v>
      </c>
      <c r="J223" s="3170" t="s">
        <v>3783</v>
      </c>
      <c r="K223" s="3177"/>
      <c r="L223" s="3178"/>
      <c r="M223" s="3178"/>
      <c r="N223" s="3178">
        <v>5</v>
      </c>
      <c r="O223" s="3178">
        <f t="shared" si="95"/>
        <v>5</v>
      </c>
      <c r="P223" s="3194"/>
      <c r="Q223" s="3194"/>
      <c r="R223" s="3194">
        <v>1672.92</v>
      </c>
      <c r="S223" s="3174">
        <f t="shared" si="96"/>
        <v>1672.92</v>
      </c>
      <c r="T223" s="3194"/>
      <c r="U223" s="3194"/>
      <c r="V223" s="3194">
        <v>20075.04</v>
      </c>
      <c r="W223" s="3174">
        <f t="shared" si="97"/>
        <v>20075.04</v>
      </c>
      <c r="X223" s="3181">
        <v>44910</v>
      </c>
      <c r="Y223" s="3181">
        <v>45640</v>
      </c>
      <c r="Z223" s="3170"/>
      <c r="AA223" s="3182">
        <v>2</v>
      </c>
      <c r="AB223" s="3170"/>
      <c r="AC223" s="3170"/>
    </row>
    <row r="224" spans="1:29" s="3189" customFormat="1" ht="27" customHeight="1">
      <c r="B224" s="3170">
        <v>217</v>
      </c>
      <c r="C224" s="3171" t="s">
        <v>4581</v>
      </c>
      <c r="D224" s="3170" t="s">
        <v>4290</v>
      </c>
      <c r="E224" s="3170" t="s">
        <v>3857</v>
      </c>
      <c r="F224" s="3171" t="s">
        <v>4582</v>
      </c>
      <c r="G224" s="3192">
        <v>40</v>
      </c>
      <c r="H224" s="3170" t="s">
        <v>3781</v>
      </c>
      <c r="I224" s="3170" t="s">
        <v>4583</v>
      </c>
      <c r="J224" s="3170" t="s">
        <v>3884</v>
      </c>
      <c r="K224" s="3177">
        <v>0.05</v>
      </c>
      <c r="L224" s="3178"/>
      <c r="M224" s="3178"/>
      <c r="N224" s="3178"/>
      <c r="O224" s="3178">
        <f t="shared" si="95"/>
        <v>0</v>
      </c>
      <c r="P224" s="3194">
        <v>0</v>
      </c>
      <c r="Q224" s="3194">
        <v>0</v>
      </c>
      <c r="R224" s="3194">
        <v>6995.82</v>
      </c>
      <c r="S224" s="3174">
        <f t="shared" si="96"/>
        <v>6995.82</v>
      </c>
      <c r="T224" s="3194">
        <v>0</v>
      </c>
      <c r="U224" s="3194">
        <v>0</v>
      </c>
      <c r="V224" s="3194">
        <v>20987.46</v>
      </c>
      <c r="W224" s="3174">
        <f t="shared" si="97"/>
        <v>20987.46</v>
      </c>
      <c r="X224" s="3181">
        <v>45200</v>
      </c>
      <c r="Y224" s="3181">
        <v>45351</v>
      </c>
      <c r="Z224" s="3170"/>
      <c r="AA224" s="3182">
        <v>3</v>
      </c>
      <c r="AB224" s="3170"/>
      <c r="AC224" s="3170"/>
    </row>
    <row r="225" spans="1:33" s="3189" customFormat="1" ht="27" customHeight="1">
      <c r="B225" s="3170">
        <v>218</v>
      </c>
      <c r="C225" s="3171" t="s">
        <v>4584</v>
      </c>
      <c r="D225" s="3170" t="s">
        <v>4290</v>
      </c>
      <c r="E225" s="3170" t="s">
        <v>3779</v>
      </c>
      <c r="F225" s="3171" t="s">
        <v>4585</v>
      </c>
      <c r="G225" s="3192">
        <v>718</v>
      </c>
      <c r="H225" s="3170" t="s">
        <v>3903</v>
      </c>
      <c r="I225" s="3170" t="s">
        <v>4586</v>
      </c>
      <c r="J225" s="3170" t="s">
        <v>4215</v>
      </c>
      <c r="K225" s="3177">
        <v>0.06</v>
      </c>
      <c r="L225" s="3178">
        <v>4.3499999999999996</v>
      </c>
      <c r="M225" s="3178">
        <v>3</v>
      </c>
      <c r="N225" s="3178"/>
      <c r="O225" s="3178">
        <f t="shared" si="95"/>
        <v>7.35</v>
      </c>
      <c r="P225" s="3194">
        <v>95000.38</v>
      </c>
      <c r="Q225" s="3194">
        <v>65517.5</v>
      </c>
      <c r="R225" s="3194"/>
      <c r="S225" s="3174">
        <f>SUM(P225:R225)</f>
        <v>160517.88</v>
      </c>
      <c r="T225" s="3194">
        <v>1140004.56</v>
      </c>
      <c r="U225" s="3194">
        <v>786210</v>
      </c>
      <c r="V225" s="3194"/>
      <c r="W225" s="3174">
        <f t="shared" si="97"/>
        <v>1926214.56</v>
      </c>
      <c r="X225" s="3181">
        <v>44348</v>
      </c>
      <c r="Y225" s="3181">
        <v>47999</v>
      </c>
      <c r="Z225" s="3170"/>
      <c r="AA225" s="3182">
        <v>12</v>
      </c>
      <c r="AB225" s="3170"/>
      <c r="AC225" s="3170"/>
    </row>
    <row r="226" spans="1:33" s="3189" customFormat="1" ht="27" customHeight="1">
      <c r="B226" s="3170">
        <v>219</v>
      </c>
      <c r="C226" s="3171" t="s">
        <v>4587</v>
      </c>
      <c r="D226" s="3170" t="s">
        <v>4290</v>
      </c>
      <c r="E226" s="3170" t="s">
        <v>3857</v>
      </c>
      <c r="F226" s="3171" t="s">
        <v>4588</v>
      </c>
      <c r="G226" s="3192">
        <v>53</v>
      </c>
      <c r="H226" s="3170" t="s">
        <v>3903</v>
      </c>
      <c r="I226" s="3170" t="s">
        <v>4589</v>
      </c>
      <c r="J226" s="3170" t="s">
        <v>3844</v>
      </c>
      <c r="K226" s="3170"/>
      <c r="L226" s="3178"/>
      <c r="M226" s="3178"/>
      <c r="N226" s="3178">
        <v>13.65</v>
      </c>
      <c r="O226" s="3178">
        <f t="shared" si="95"/>
        <v>13.65</v>
      </c>
      <c r="P226" s="3194"/>
      <c r="Q226" s="3194"/>
      <c r="R226" s="3194">
        <v>22000</v>
      </c>
      <c r="S226" s="3174">
        <f t="shared" ref="S226:S230" si="98">SUM(P226:R226)</f>
        <v>22000</v>
      </c>
      <c r="T226" s="3194">
        <v>0</v>
      </c>
      <c r="U226" s="3194">
        <v>0</v>
      </c>
      <c r="V226" s="3194">
        <v>22000</v>
      </c>
      <c r="W226" s="3174">
        <f t="shared" si="97"/>
        <v>22000</v>
      </c>
      <c r="X226" s="3181">
        <v>44682</v>
      </c>
      <c r="Y226" s="3181">
        <v>45777</v>
      </c>
      <c r="Z226" s="3170"/>
      <c r="AA226" s="3182">
        <v>1</v>
      </c>
      <c r="AB226" s="3170" t="s">
        <v>3855</v>
      </c>
      <c r="AC226" s="3170"/>
    </row>
    <row r="227" spans="1:33" s="3189" customFormat="1" ht="27" customHeight="1">
      <c r="B227" s="3170">
        <v>220</v>
      </c>
      <c r="C227" s="3171" t="s">
        <v>4579</v>
      </c>
      <c r="D227" s="3170" t="s">
        <v>4290</v>
      </c>
      <c r="E227" s="3170" t="s">
        <v>3779</v>
      </c>
      <c r="F227" s="3171" t="s">
        <v>4590</v>
      </c>
      <c r="G227" s="3192">
        <v>54</v>
      </c>
      <c r="H227" s="3170" t="s">
        <v>3781</v>
      </c>
      <c r="I227" s="3170" t="s">
        <v>4591</v>
      </c>
      <c r="J227" s="3170" t="s">
        <v>3783</v>
      </c>
      <c r="K227" s="3170"/>
      <c r="L227" s="3178">
        <v>12</v>
      </c>
      <c r="M227" s="3178">
        <v>3</v>
      </c>
      <c r="N227" s="3178"/>
      <c r="O227" s="3178">
        <f t="shared" si="95"/>
        <v>15</v>
      </c>
      <c r="P227" s="3194">
        <v>19710</v>
      </c>
      <c r="Q227" s="3194">
        <v>4927.5</v>
      </c>
      <c r="R227" s="3194"/>
      <c r="S227" s="3174">
        <f t="shared" si="98"/>
        <v>24637.5</v>
      </c>
      <c r="T227" s="3194">
        <v>252945</v>
      </c>
      <c r="U227" s="3194">
        <v>59130</v>
      </c>
      <c r="V227" s="3194">
        <v>0</v>
      </c>
      <c r="W227" s="3174">
        <f t="shared" si="97"/>
        <v>312075</v>
      </c>
      <c r="X227" s="3181">
        <v>44774</v>
      </c>
      <c r="Y227" s="3181">
        <v>45869</v>
      </c>
      <c r="Z227" s="3170"/>
      <c r="AA227" s="3182">
        <v>12</v>
      </c>
      <c r="AB227" s="3170"/>
      <c r="AC227" s="3170"/>
    </row>
    <row r="228" spans="1:33" s="3189" customFormat="1" ht="27" customHeight="1">
      <c r="B228" s="3170">
        <v>221</v>
      </c>
      <c r="C228" s="3190" t="s">
        <v>3815</v>
      </c>
      <c r="D228" s="3170" t="s">
        <v>4290</v>
      </c>
      <c r="E228" s="3170" t="s">
        <v>3857</v>
      </c>
      <c r="F228" s="3171" t="s">
        <v>4592</v>
      </c>
      <c r="G228" s="3192">
        <v>80.75</v>
      </c>
      <c r="H228" s="3170" t="s">
        <v>3781</v>
      </c>
      <c r="I228" s="3170" t="s">
        <v>4593</v>
      </c>
      <c r="J228" s="3170" t="s">
        <v>3783</v>
      </c>
      <c r="K228" s="3170"/>
      <c r="L228" s="3178"/>
      <c r="M228" s="3178"/>
      <c r="N228" s="3178">
        <v>4.95</v>
      </c>
      <c r="O228" s="3178">
        <f t="shared" si="95"/>
        <v>4.95</v>
      </c>
      <c r="P228" s="3194"/>
      <c r="Q228" s="3194"/>
      <c r="R228" s="3194">
        <v>12166.67</v>
      </c>
      <c r="S228" s="3174">
        <f t="shared" si="98"/>
        <v>12166.67</v>
      </c>
      <c r="T228" s="3194">
        <v>0</v>
      </c>
      <c r="U228" s="3194">
        <v>0</v>
      </c>
      <c r="V228" s="3194">
        <v>25200</v>
      </c>
      <c r="W228" s="3174">
        <f t="shared" si="97"/>
        <v>25200</v>
      </c>
      <c r="X228" s="3181">
        <v>45299</v>
      </c>
      <c r="Y228" s="3181">
        <v>45361</v>
      </c>
      <c r="Z228" s="3170"/>
      <c r="AA228" s="3182">
        <v>2</v>
      </c>
      <c r="AB228" s="3223" t="s">
        <v>4594</v>
      </c>
      <c r="AC228" s="3170"/>
    </row>
    <row r="229" spans="1:33" s="3189" customFormat="1" ht="27" customHeight="1">
      <c r="B229" s="3170">
        <v>222</v>
      </c>
      <c r="C229" s="3171" t="s">
        <v>4595</v>
      </c>
      <c r="D229" s="3170" t="s">
        <v>4290</v>
      </c>
      <c r="E229" s="3170" t="s">
        <v>3779</v>
      </c>
      <c r="F229" s="3171" t="s">
        <v>4596</v>
      </c>
      <c r="G229" s="3192">
        <v>12</v>
      </c>
      <c r="H229" s="3170" t="s">
        <v>4597</v>
      </c>
      <c r="I229" s="3170" t="s">
        <v>4598</v>
      </c>
      <c r="J229" s="3170" t="s">
        <v>3783</v>
      </c>
      <c r="K229" s="3170"/>
      <c r="L229" s="3178">
        <v>19.18</v>
      </c>
      <c r="M229" s="3178">
        <v>8.2200000000000006</v>
      </c>
      <c r="N229" s="3178"/>
      <c r="O229" s="3178">
        <f t="shared" si="95"/>
        <v>27.4</v>
      </c>
      <c r="P229" s="3194">
        <v>7000</v>
      </c>
      <c r="Q229" s="3194">
        <v>3000</v>
      </c>
      <c r="R229" s="3194"/>
      <c r="S229" s="3174">
        <f t="shared" si="98"/>
        <v>10000</v>
      </c>
      <c r="T229" s="3194">
        <v>35000</v>
      </c>
      <c r="U229" s="3194">
        <v>15000</v>
      </c>
      <c r="V229" s="3194">
        <v>0</v>
      </c>
      <c r="W229" s="3174">
        <f t="shared" si="97"/>
        <v>50000</v>
      </c>
      <c r="X229" s="3181">
        <v>45194</v>
      </c>
      <c r="Y229" s="3181">
        <v>45565</v>
      </c>
      <c r="Z229" s="3170"/>
      <c r="AA229" s="3182">
        <v>4</v>
      </c>
      <c r="AB229" s="3170"/>
      <c r="AC229" s="3170"/>
    </row>
    <row r="230" spans="1:33" s="3189" customFormat="1" ht="27" customHeight="1">
      <c r="B230" s="3170">
        <v>223</v>
      </c>
      <c r="C230" s="3171" t="s">
        <v>4599</v>
      </c>
      <c r="D230" s="3170" t="s">
        <v>4290</v>
      </c>
      <c r="E230" s="3170" t="s">
        <v>3779</v>
      </c>
      <c r="F230" s="3171" t="s">
        <v>4600</v>
      </c>
      <c r="G230" s="3192">
        <v>83</v>
      </c>
      <c r="H230" s="3170" t="s">
        <v>3903</v>
      </c>
      <c r="I230" s="3170" t="s">
        <v>4601</v>
      </c>
      <c r="J230" s="3170" t="s">
        <v>3783</v>
      </c>
      <c r="K230" s="3170"/>
      <c r="L230" s="3178">
        <v>5</v>
      </c>
      <c r="M230" s="3178">
        <v>3</v>
      </c>
      <c r="N230" s="3178"/>
      <c r="O230" s="3178">
        <f t="shared" si="95"/>
        <v>8</v>
      </c>
      <c r="P230" s="3194">
        <v>12622.92</v>
      </c>
      <c r="Q230" s="3194">
        <v>7573.75</v>
      </c>
      <c r="R230" s="3194"/>
      <c r="S230" s="3174">
        <f t="shared" si="98"/>
        <v>20196.669999999998</v>
      </c>
      <c r="T230" s="3194">
        <v>37868.76</v>
      </c>
      <c r="U230" s="3194">
        <v>22721.25</v>
      </c>
      <c r="V230" s="3194">
        <v>0</v>
      </c>
      <c r="W230" s="3174">
        <f t="shared" si="97"/>
        <v>60590.01</v>
      </c>
      <c r="X230" s="3181">
        <v>45078</v>
      </c>
      <c r="Y230" s="3181">
        <v>46173</v>
      </c>
      <c r="Z230" s="3170"/>
      <c r="AA230" s="3182">
        <v>3</v>
      </c>
      <c r="AB230" s="3170"/>
      <c r="AC230" s="3170"/>
    </row>
    <row r="231" spans="1:33" s="3183" customFormat="1" ht="34.5" customHeight="1">
      <c r="A231" s="3170">
        <v>222</v>
      </c>
      <c r="B231" s="3170">
        <v>224</v>
      </c>
      <c r="C231" s="3171" t="s">
        <v>4602</v>
      </c>
      <c r="D231" s="3172" t="s">
        <v>4290</v>
      </c>
      <c r="E231" s="3173" t="s">
        <v>3779</v>
      </c>
      <c r="F231" s="3171" t="s">
        <v>4603</v>
      </c>
      <c r="G231" s="3174">
        <v>330</v>
      </c>
      <c r="H231" s="3175" t="s">
        <v>4604</v>
      </c>
      <c r="I231" s="3173" t="s">
        <v>4605</v>
      </c>
      <c r="J231" s="3176" t="s">
        <v>3884</v>
      </c>
      <c r="K231" s="3177">
        <v>0.15</v>
      </c>
      <c r="L231" s="3179"/>
      <c r="M231" s="3179"/>
      <c r="N231" s="3180"/>
      <c r="O231" s="3180"/>
      <c r="P231" s="3195"/>
      <c r="Q231" s="3180"/>
      <c r="R231" s="3180"/>
      <c r="S231" s="3179"/>
      <c r="T231" s="3180"/>
      <c r="U231" s="3180">
        <f t="shared" ref="U231:U232" si="99">M231*G231*365</f>
        <v>0</v>
      </c>
      <c r="V231" s="3180">
        <f t="shared" ref="V231:V236" si="100">N231*G231*365</f>
        <v>0</v>
      </c>
      <c r="W231" s="3180">
        <f t="shared" ref="W231:W236" si="101">SUM(T231:V231)</f>
        <v>0</v>
      </c>
      <c r="X231" s="3181">
        <v>45170</v>
      </c>
      <c r="Y231" s="3181">
        <v>45535</v>
      </c>
      <c r="Z231" s="3181"/>
      <c r="AA231" s="3182">
        <v>8</v>
      </c>
      <c r="AB231" s="3171" t="s">
        <v>3919</v>
      </c>
    </row>
    <row r="232" spans="1:33" s="3183" customFormat="1" ht="34.5" customHeight="1">
      <c r="A232" s="3170">
        <v>229</v>
      </c>
      <c r="B232" s="3170">
        <v>225</v>
      </c>
      <c r="C232" s="3171" t="s">
        <v>4606</v>
      </c>
      <c r="D232" s="3172" t="s">
        <v>4290</v>
      </c>
      <c r="E232" s="3173" t="s">
        <v>3779</v>
      </c>
      <c r="F232" s="3171" t="s">
        <v>4607</v>
      </c>
      <c r="G232" s="3174">
        <v>308</v>
      </c>
      <c r="H232" s="3175" t="s">
        <v>4608</v>
      </c>
      <c r="I232" s="3173" t="s">
        <v>4609</v>
      </c>
      <c r="J232" s="3176" t="s">
        <v>3896</v>
      </c>
      <c r="K232" s="3177">
        <v>0.25</v>
      </c>
      <c r="L232" s="3179"/>
      <c r="M232" s="3179">
        <v>2</v>
      </c>
      <c r="N232" s="3180"/>
      <c r="O232" s="3180"/>
      <c r="P232" s="3195"/>
      <c r="Q232" s="3180"/>
      <c r="R232" s="3180"/>
      <c r="S232" s="3179"/>
      <c r="T232" s="3180"/>
      <c r="U232" s="3180">
        <f t="shared" si="99"/>
        <v>224840</v>
      </c>
      <c r="V232" s="3180">
        <f t="shared" si="100"/>
        <v>0</v>
      </c>
      <c r="W232" s="3180">
        <f t="shared" si="101"/>
        <v>224840</v>
      </c>
      <c r="X232" s="3181">
        <v>45153</v>
      </c>
      <c r="Y232" s="3181">
        <v>46265</v>
      </c>
      <c r="Z232" s="3181"/>
      <c r="AA232" s="3182">
        <v>12</v>
      </c>
      <c r="AB232" s="3171"/>
    </row>
    <row r="233" spans="1:33" s="3183" customFormat="1" ht="34.5" customHeight="1">
      <c r="A233" s="3170">
        <v>85</v>
      </c>
      <c r="B233" s="3170">
        <v>226</v>
      </c>
      <c r="C233" s="3171" t="s">
        <v>4610</v>
      </c>
      <c r="D233" s="3172" t="s">
        <v>4290</v>
      </c>
      <c r="E233" s="3173" t="s">
        <v>3779</v>
      </c>
      <c r="F233" s="3188" t="s">
        <v>4611</v>
      </c>
      <c r="G233" s="3174">
        <v>240</v>
      </c>
      <c r="H233" s="3176" t="s">
        <v>3903</v>
      </c>
      <c r="I233" s="3171" t="s">
        <v>4612</v>
      </c>
      <c r="J233" s="3176" t="s">
        <v>3896</v>
      </c>
      <c r="K233" s="3177">
        <v>0.08</v>
      </c>
      <c r="L233" s="3179"/>
      <c r="M233" s="3179">
        <v>2.95890410958904</v>
      </c>
      <c r="N233" s="3180"/>
      <c r="O233" s="3180"/>
      <c r="P233" s="3180"/>
      <c r="Q233" s="3180"/>
      <c r="R233" s="3180"/>
      <c r="S233" s="3180"/>
      <c r="T233" s="3180"/>
      <c r="U233" s="3180">
        <f>Q233*AA233</f>
        <v>0</v>
      </c>
      <c r="V233" s="3180">
        <f t="shared" si="100"/>
        <v>0</v>
      </c>
      <c r="W233" s="3180">
        <f t="shared" si="101"/>
        <v>0</v>
      </c>
      <c r="X233" s="3181">
        <v>44651</v>
      </c>
      <c r="Y233" s="3181">
        <v>48121</v>
      </c>
      <c r="Z233" s="3181"/>
      <c r="AA233" s="3182">
        <v>12</v>
      </c>
      <c r="AB233" s="3171" t="s">
        <v>4613</v>
      </c>
    </row>
    <row r="234" spans="1:33" s="3183" customFormat="1" ht="34.5" customHeight="1">
      <c r="A234" s="3170">
        <v>84</v>
      </c>
      <c r="B234" s="3170">
        <v>227</v>
      </c>
      <c r="C234" s="3171" t="s">
        <v>4614</v>
      </c>
      <c r="D234" s="3172" t="s">
        <v>4290</v>
      </c>
      <c r="E234" s="3173" t="s">
        <v>3779</v>
      </c>
      <c r="F234" s="3188" t="s">
        <v>4615</v>
      </c>
      <c r="G234" s="3174">
        <v>166</v>
      </c>
      <c r="H234" s="3176" t="s">
        <v>3903</v>
      </c>
      <c r="I234" s="3171" t="s">
        <v>4616</v>
      </c>
      <c r="J234" s="3176" t="s">
        <v>3896</v>
      </c>
      <c r="K234" s="3177">
        <v>0.08</v>
      </c>
      <c r="L234" s="3179"/>
      <c r="M234" s="3179">
        <v>2.95890410958904</v>
      </c>
      <c r="N234" s="3180"/>
      <c r="O234" s="3180"/>
      <c r="P234" s="3180"/>
      <c r="Q234" s="3180"/>
      <c r="R234" s="3180"/>
      <c r="S234" s="3180"/>
      <c r="T234" s="3180"/>
      <c r="U234" s="3180">
        <f>Q234*AA234</f>
        <v>0</v>
      </c>
      <c r="V234" s="3180">
        <f t="shared" si="100"/>
        <v>0</v>
      </c>
      <c r="W234" s="3180">
        <f t="shared" si="101"/>
        <v>0</v>
      </c>
      <c r="X234" s="3181">
        <v>44591</v>
      </c>
      <c r="Y234" s="3181">
        <v>47512</v>
      </c>
      <c r="Z234" s="3181"/>
      <c r="AA234" s="3182">
        <v>12</v>
      </c>
      <c r="AB234" s="3171" t="s">
        <v>4617</v>
      </c>
    </row>
    <row r="235" spans="1:33" s="3183" customFormat="1" ht="34.5" customHeight="1">
      <c r="A235" s="3170">
        <v>183</v>
      </c>
      <c r="B235" s="3170">
        <v>228</v>
      </c>
      <c r="C235" s="3171" t="s">
        <v>4618</v>
      </c>
      <c r="D235" s="3172" t="s">
        <v>4290</v>
      </c>
      <c r="E235" s="3173" t="s">
        <v>3779</v>
      </c>
      <c r="F235" s="3171" t="s">
        <v>4619</v>
      </c>
      <c r="G235" s="3174">
        <v>233</v>
      </c>
      <c r="H235" s="3175" t="s">
        <v>3781</v>
      </c>
      <c r="I235" s="3173" t="s">
        <v>4620</v>
      </c>
      <c r="J235" s="3176" t="s">
        <v>3844</v>
      </c>
      <c r="K235" s="3177" t="s">
        <v>4621</v>
      </c>
      <c r="L235" s="3196"/>
      <c r="M235" s="3179">
        <v>0.99</v>
      </c>
      <c r="N235" s="3180"/>
      <c r="O235" s="3180"/>
      <c r="P235" s="3180"/>
      <c r="Q235" s="3180"/>
      <c r="R235" s="3180"/>
      <c r="S235" s="3180"/>
      <c r="T235" s="3180"/>
      <c r="U235" s="3180">
        <f>Q235*AA235</f>
        <v>0</v>
      </c>
      <c r="V235" s="3180">
        <f t="shared" si="100"/>
        <v>0</v>
      </c>
      <c r="W235" s="3180">
        <f t="shared" si="101"/>
        <v>0</v>
      </c>
      <c r="X235" s="3181">
        <v>45108</v>
      </c>
      <c r="Y235" s="3181">
        <v>46965</v>
      </c>
      <c r="Z235" s="3181"/>
      <c r="AA235" s="3182">
        <v>12</v>
      </c>
      <c r="AB235" s="3171" t="s">
        <v>4622</v>
      </c>
    </row>
    <row r="236" spans="1:33" s="3183" customFormat="1" ht="34.5" customHeight="1">
      <c r="A236" s="3170">
        <v>184</v>
      </c>
      <c r="B236" s="3170">
        <v>229</v>
      </c>
      <c r="C236" s="3171" t="s">
        <v>4623</v>
      </c>
      <c r="D236" s="3172" t="s">
        <v>4290</v>
      </c>
      <c r="E236" s="3173" t="s">
        <v>3779</v>
      </c>
      <c r="F236" s="3171" t="s">
        <v>4624</v>
      </c>
      <c r="G236" s="3174">
        <v>199</v>
      </c>
      <c r="H236" s="3175" t="s">
        <v>3781</v>
      </c>
      <c r="I236" s="3173" t="s">
        <v>4625</v>
      </c>
      <c r="J236" s="3176" t="s">
        <v>3844</v>
      </c>
      <c r="K236" s="3177" t="s">
        <v>4626</v>
      </c>
      <c r="L236" s="3196"/>
      <c r="M236" s="3179">
        <v>0.99</v>
      </c>
      <c r="N236" s="3180"/>
      <c r="O236" s="3180"/>
      <c r="P236" s="3180"/>
      <c r="Q236" s="3180"/>
      <c r="R236" s="3180"/>
      <c r="S236" s="3180"/>
      <c r="T236" s="3180"/>
      <c r="U236" s="3180">
        <f>Q236*AA236</f>
        <v>0</v>
      </c>
      <c r="V236" s="3180">
        <f t="shared" si="100"/>
        <v>0</v>
      </c>
      <c r="W236" s="3180">
        <f t="shared" si="101"/>
        <v>0</v>
      </c>
      <c r="X236" s="3181">
        <v>45108</v>
      </c>
      <c r="Y236" s="3181">
        <v>46965</v>
      </c>
      <c r="Z236" s="3181"/>
      <c r="AA236" s="3182">
        <v>12</v>
      </c>
      <c r="AB236" s="3171" t="s">
        <v>4622</v>
      </c>
    </row>
    <row r="237" spans="1:33" s="3183" customFormat="1" ht="34.5" customHeight="1">
      <c r="A237" s="3201"/>
      <c r="B237" s="3170"/>
      <c r="C237" s="3202" t="s">
        <v>4627</v>
      </c>
      <c r="D237" s="3203"/>
      <c r="E237" s="3204"/>
      <c r="F237" s="3202"/>
      <c r="G237" s="3205">
        <f>SUM(G136:G236)</f>
        <v>28875.33</v>
      </c>
      <c r="H237" s="3205">
        <f t="shared" ref="H237:W237" si="102">SUM(H136:H236)</f>
        <v>0</v>
      </c>
      <c r="I237" s="3205">
        <f t="shared" si="102"/>
        <v>0</v>
      </c>
      <c r="J237" s="3205">
        <f t="shared" si="102"/>
        <v>0</v>
      </c>
      <c r="K237" s="3218"/>
      <c r="L237" s="3205">
        <f t="shared" si="102"/>
        <v>601.44504737728016</v>
      </c>
      <c r="M237" s="3205">
        <f t="shared" si="102"/>
        <v>239.84497598292117</v>
      </c>
      <c r="N237" s="3205">
        <f t="shared" si="102"/>
        <v>119.95534035236027</v>
      </c>
      <c r="O237" s="3205">
        <f>W237/G237/365</f>
        <v>4.5238281374908391</v>
      </c>
      <c r="P237" s="3205">
        <f t="shared" si="102"/>
        <v>2154634.1962500005</v>
      </c>
      <c r="Q237" s="3205">
        <f t="shared" si="102"/>
        <v>1062978.3766666667</v>
      </c>
      <c r="R237" s="3205">
        <f t="shared" si="102"/>
        <v>459552.91666666663</v>
      </c>
      <c r="S237" s="3205">
        <f t="shared" si="102"/>
        <v>4067585.0020833327</v>
      </c>
      <c r="T237" s="3205">
        <f t="shared" si="102"/>
        <v>25407546.171666671</v>
      </c>
      <c r="U237" s="3205">
        <f t="shared" si="102"/>
        <v>12616760.27</v>
      </c>
      <c r="V237" s="3205">
        <f t="shared" si="102"/>
        <v>4969525.4800000004</v>
      </c>
      <c r="W237" s="3205">
        <f t="shared" si="102"/>
        <v>47678866.07166668</v>
      </c>
      <c r="X237" s="3210"/>
      <c r="Y237" s="3210"/>
      <c r="Z237" s="3210"/>
      <c r="AA237" s="3211"/>
      <c r="AB237" s="3202"/>
    </row>
    <row r="238" spans="1:33" s="3272" customFormat="1" ht="34.5" customHeight="1">
      <c r="A238" s="3261"/>
      <c r="B238" s="3261">
        <v>230</v>
      </c>
      <c r="C238" s="3262" t="s">
        <v>4628</v>
      </c>
      <c r="D238" s="3263" t="s">
        <v>4629</v>
      </c>
      <c r="E238" s="3262" t="s">
        <v>4630</v>
      </c>
      <c r="F238" s="3262" t="s">
        <v>4630</v>
      </c>
      <c r="G238" s="3264">
        <v>2228</v>
      </c>
      <c r="H238" s="3265" t="s">
        <v>4631</v>
      </c>
      <c r="I238" s="3266" t="s">
        <v>4631</v>
      </c>
      <c r="J238" s="3267" t="s">
        <v>3884</v>
      </c>
      <c r="K238" s="3268">
        <v>0.35</v>
      </c>
      <c r="L238" s="3269"/>
      <c r="M238" s="3269"/>
      <c r="N238" s="3217"/>
      <c r="O238" s="3217">
        <f>SUM(L238:N238)</f>
        <v>0</v>
      </c>
      <c r="P238" s="3217"/>
      <c r="Q238" s="3217"/>
      <c r="R238" s="3217">
        <v>11886.12</v>
      </c>
      <c r="S238" s="3269">
        <f>SUM(P238:R238)</f>
        <v>11886.12</v>
      </c>
      <c r="T238" s="3217">
        <f>L238*G238*365</f>
        <v>0</v>
      </c>
      <c r="U238" s="3217">
        <f>M238*G238*365</f>
        <v>0</v>
      </c>
      <c r="V238" s="3217">
        <f>R238*AA238</f>
        <v>142633.44</v>
      </c>
      <c r="W238" s="3217">
        <f>SUM(T238:V238)</f>
        <v>142633.44</v>
      </c>
      <c r="X238" s="3270">
        <v>44743</v>
      </c>
      <c r="Y238" s="3270">
        <v>47118</v>
      </c>
      <c r="Z238" s="3270"/>
      <c r="AA238" s="3271">
        <v>12</v>
      </c>
      <c r="AB238" s="3262" t="s">
        <v>3919</v>
      </c>
      <c r="AG238" s="3272">
        <f>W238/G238/365</f>
        <v>0.1753934236737906</v>
      </c>
    </row>
    <row r="239" spans="1:33" s="3183" customFormat="1" ht="30.75" hidden="1" customHeight="1">
      <c r="A239" s="3170"/>
      <c r="B239" s="3170"/>
      <c r="C239" s="3171"/>
      <c r="D239" s="3172"/>
      <c r="E239" s="3173"/>
      <c r="F239" s="3171"/>
      <c r="G239" s="3224"/>
      <c r="H239" s="3175"/>
      <c r="I239" s="3173"/>
      <c r="J239" s="3176"/>
      <c r="K239" s="3170"/>
      <c r="L239" s="3179"/>
      <c r="M239" s="3179"/>
      <c r="N239" s="3180"/>
      <c r="O239" s="3180"/>
      <c r="P239" s="3180"/>
      <c r="Q239" s="3180"/>
      <c r="R239" s="3180"/>
      <c r="S239" s="3180"/>
      <c r="T239" s="3180"/>
      <c r="U239" s="3180"/>
      <c r="V239" s="3180"/>
      <c r="W239" s="3180"/>
      <c r="X239" s="3181"/>
      <c r="Y239" s="3181"/>
      <c r="Z239" s="3181"/>
      <c r="AA239" s="3182"/>
      <c r="AB239" s="3171"/>
    </row>
    <row r="240" spans="1:33" s="3183" customFormat="1" ht="29.25" hidden="1" customHeight="1">
      <c r="A240" s="3172"/>
      <c r="B240" s="3172"/>
      <c r="C240" s="3171"/>
      <c r="D240" s="3172"/>
      <c r="E240" s="3171"/>
      <c r="F240" s="3171"/>
      <c r="G240" s="3224">
        <f t="shared" ref="G240:W240" si="103">SUM(G3:G239)</f>
        <v>104387.50000000001</v>
      </c>
      <c r="H240" s="3179">
        <f t="shared" si="103"/>
        <v>0</v>
      </c>
      <c r="I240" s="3180">
        <f t="shared" si="103"/>
        <v>711</v>
      </c>
      <c r="J240" s="3179">
        <f t="shared" si="103"/>
        <v>0</v>
      </c>
      <c r="K240" s="3225">
        <f t="shared" si="103"/>
        <v>4.66</v>
      </c>
      <c r="L240" s="3179">
        <f t="shared" si="103"/>
        <v>1808.9462576598382</v>
      </c>
      <c r="M240" s="3179">
        <f t="shared" si="103"/>
        <v>760.79146038022657</v>
      </c>
      <c r="N240" s="3179">
        <f t="shared" si="103"/>
        <v>353.38134606675573</v>
      </c>
      <c r="O240" s="3179">
        <f t="shared" si="103"/>
        <v>1799.9073537174099</v>
      </c>
      <c r="P240" s="3179">
        <f t="shared" si="103"/>
        <v>7947396.9375000019</v>
      </c>
      <c r="Q240" s="3179">
        <f t="shared" si="103"/>
        <v>3803360.6833333336</v>
      </c>
      <c r="R240" s="3179">
        <f t="shared" si="103"/>
        <v>1686292.5758333332</v>
      </c>
      <c r="S240" s="3179">
        <f t="shared" si="103"/>
        <v>13977714.389999999</v>
      </c>
      <c r="T240" s="3179">
        <f t="shared" si="103"/>
        <v>93027654.403333381</v>
      </c>
      <c r="U240" s="3179">
        <f t="shared" si="103"/>
        <v>46943287.459999993</v>
      </c>
      <c r="V240" s="3179">
        <f t="shared" si="103"/>
        <v>17285123.810000002</v>
      </c>
      <c r="W240" s="3179">
        <f t="shared" si="103"/>
        <v>178052697.72333342</v>
      </c>
      <c r="X240" s="3187">
        <f>SUM(X3:X118)</f>
        <v>5085635</v>
      </c>
      <c r="Y240" s="3187">
        <f>SUM(Y3:Y118)</f>
        <v>5219225</v>
      </c>
      <c r="Z240" s="3187"/>
      <c r="AA240" s="3226"/>
      <c r="AB240" s="3171"/>
    </row>
    <row r="241" spans="1:29" s="3183" customFormat="1" ht="33.75" hidden="1" customHeight="1">
      <c r="A241" s="3170"/>
      <c r="B241" s="3170"/>
      <c r="C241" s="3171"/>
      <c r="D241" s="3172"/>
      <c r="E241" s="3171"/>
      <c r="F241" s="3171"/>
      <c r="G241" s="3224">
        <f t="shared" ref="G241:W241" si="104">SUBTOTAL(9,G3:G239)</f>
        <v>104387.50000000001</v>
      </c>
      <c r="H241" s="3179">
        <f t="shared" si="104"/>
        <v>0</v>
      </c>
      <c r="I241" s="3180">
        <f t="shared" si="104"/>
        <v>711</v>
      </c>
      <c r="J241" s="3179">
        <f t="shared" si="104"/>
        <v>0</v>
      </c>
      <c r="K241" s="3225">
        <f t="shared" si="104"/>
        <v>4.66</v>
      </c>
      <c r="L241" s="3179">
        <f t="shared" si="104"/>
        <v>1808.9462576598382</v>
      </c>
      <c r="M241" s="3179">
        <f t="shared" si="104"/>
        <v>760.79146038022657</v>
      </c>
      <c r="N241" s="3179">
        <f t="shared" si="104"/>
        <v>353.38134606675573</v>
      </c>
      <c r="O241" s="3179">
        <f t="shared" si="104"/>
        <v>1799.9073537174099</v>
      </c>
      <c r="P241" s="3179">
        <f t="shared" si="104"/>
        <v>7947396.9375000019</v>
      </c>
      <c r="Q241" s="3179">
        <f t="shared" si="104"/>
        <v>3803360.6833333336</v>
      </c>
      <c r="R241" s="3179">
        <f t="shared" si="104"/>
        <v>1686292.5758333332</v>
      </c>
      <c r="S241" s="3179">
        <f t="shared" si="104"/>
        <v>13977714.389999999</v>
      </c>
      <c r="T241" s="3179">
        <f t="shared" si="104"/>
        <v>93027654.403333381</v>
      </c>
      <c r="U241" s="3179">
        <f t="shared" si="104"/>
        <v>46943287.459999993</v>
      </c>
      <c r="V241" s="3179">
        <f t="shared" si="104"/>
        <v>17285123.810000002</v>
      </c>
      <c r="W241" s="3179">
        <f t="shared" si="104"/>
        <v>178052697.72333342</v>
      </c>
      <c r="X241" s="3187">
        <f>SUBTOTAL(9,X3:X118)</f>
        <v>5085635</v>
      </c>
      <c r="Y241" s="3187">
        <f>SUBTOTAL(9,Y3:Y118)</f>
        <v>5219225</v>
      </c>
      <c r="Z241" s="3187"/>
      <c r="AA241" s="3226"/>
      <c r="AB241" s="3171"/>
    </row>
    <row r="242" spans="1:29" s="3183" customFormat="1" ht="39" customHeight="1">
      <c r="A242" s="3170"/>
      <c r="B242" s="3170">
        <v>1</v>
      </c>
      <c r="C242" s="3171" t="s">
        <v>4308</v>
      </c>
      <c r="D242" s="3172" t="s">
        <v>4290</v>
      </c>
      <c r="E242" s="3173" t="s">
        <v>3779</v>
      </c>
      <c r="F242" s="3171" t="s">
        <v>4632</v>
      </c>
      <c r="G242" s="3174">
        <v>10</v>
      </c>
      <c r="H242" s="3176" t="s">
        <v>4310</v>
      </c>
      <c r="I242" s="3171" t="s">
        <v>4633</v>
      </c>
      <c r="J242" s="3176" t="s">
        <v>3783</v>
      </c>
      <c r="K242" s="3177"/>
      <c r="L242" s="3179">
        <v>39.450000000000003</v>
      </c>
      <c r="M242" s="3179"/>
      <c r="N242" s="3180"/>
      <c r="O242" s="3180">
        <f>SUM(L242:N242)</f>
        <v>39.450000000000003</v>
      </c>
      <c r="P242" s="3180">
        <v>12000</v>
      </c>
      <c r="Q242" s="3180">
        <f>M242*G242*365/12</f>
        <v>0</v>
      </c>
      <c r="R242" s="3180"/>
      <c r="S242" s="3180">
        <f>SUM(P242:R242)</f>
        <v>12000</v>
      </c>
      <c r="T242" s="3180">
        <v>144000</v>
      </c>
      <c r="U242" s="3180">
        <f>M242*G242*365</f>
        <v>0</v>
      </c>
      <c r="V242" s="3180">
        <f>N242*G242*365</f>
        <v>0</v>
      </c>
      <c r="W242" s="3180">
        <f t="shared" ref="W242:W247" si="105">SUM(T242:V242)</f>
        <v>144000</v>
      </c>
      <c r="X242" s="3181">
        <v>43798</v>
      </c>
      <c r="Y242" s="3181">
        <v>47815</v>
      </c>
      <c r="Z242" s="3181" t="s">
        <v>3784</v>
      </c>
      <c r="AA242" s="3182">
        <v>12</v>
      </c>
      <c r="AB242" s="3171"/>
    </row>
    <row r="243" spans="1:29" s="3183" customFormat="1" ht="39" customHeight="1">
      <c r="A243" s="3170"/>
      <c r="B243" s="3170">
        <v>2</v>
      </c>
      <c r="C243" s="3190" t="s">
        <v>4634</v>
      </c>
      <c r="D243" s="3172" t="s">
        <v>4635</v>
      </c>
      <c r="E243" s="3173" t="s">
        <v>3857</v>
      </c>
      <c r="F243" s="3171" t="s">
        <v>4636</v>
      </c>
      <c r="G243" s="3174">
        <v>6</v>
      </c>
      <c r="H243" s="3175" t="s">
        <v>4637</v>
      </c>
      <c r="I243" s="3173" t="s">
        <v>4638</v>
      </c>
      <c r="J243" s="3176" t="s">
        <v>3783</v>
      </c>
      <c r="K243" s="3177"/>
      <c r="L243" s="3179">
        <v>50</v>
      </c>
      <c r="M243" s="3179"/>
      <c r="N243" s="3180"/>
      <c r="O243" s="3180">
        <f>SUM(L243:N243)</f>
        <v>50</v>
      </c>
      <c r="P243" s="3180">
        <f>1500*G243</f>
        <v>9000</v>
      </c>
      <c r="Q243" s="3180"/>
      <c r="R243" s="3180"/>
      <c r="S243" s="3180">
        <f>SUM(P243:R243)</f>
        <v>9000</v>
      </c>
      <c r="T243" s="3180">
        <v>98700</v>
      </c>
      <c r="U243" s="3180">
        <f t="shared" ref="U243" si="106">Q243*AA243</f>
        <v>0</v>
      </c>
      <c r="V243" s="3180">
        <f>N243*G243*365</f>
        <v>0</v>
      </c>
      <c r="W243" s="3180">
        <f t="shared" si="105"/>
        <v>98700</v>
      </c>
      <c r="X243" s="3181">
        <v>45265</v>
      </c>
      <c r="Y243" s="3181">
        <v>47091</v>
      </c>
      <c r="Z243" s="3181" t="s">
        <v>3784</v>
      </c>
      <c r="AA243" s="3182">
        <v>11</v>
      </c>
      <c r="AB243" s="3171"/>
    </row>
    <row r="244" spans="1:29" s="3183" customFormat="1" ht="39" customHeight="1">
      <c r="A244" s="3170"/>
      <c r="B244" s="3170">
        <v>3</v>
      </c>
      <c r="C244" s="3171" t="s">
        <v>4639</v>
      </c>
      <c r="D244" s="3172" t="s">
        <v>4635</v>
      </c>
      <c r="E244" s="3173" t="s">
        <v>3857</v>
      </c>
      <c r="F244" s="3171" t="s">
        <v>4640</v>
      </c>
      <c r="G244" s="3174">
        <v>173</v>
      </c>
      <c r="H244" s="3175" t="s">
        <v>4641</v>
      </c>
      <c r="I244" s="3173" t="s">
        <v>4641</v>
      </c>
      <c r="J244" s="3176" t="s">
        <v>3844</v>
      </c>
      <c r="K244" s="3177">
        <v>0.35</v>
      </c>
      <c r="L244" s="3193"/>
      <c r="M244" s="3179"/>
      <c r="N244" s="3180">
        <v>2.4700000000000002</v>
      </c>
      <c r="O244" s="3180">
        <f>SUM(L244:N244)</f>
        <v>2.4700000000000002</v>
      </c>
      <c r="P244" s="3180"/>
      <c r="Q244" s="3180"/>
      <c r="R244" s="3180">
        <v>13000</v>
      </c>
      <c r="S244" s="3180">
        <f>SUM(P244:R244)</f>
        <v>13000</v>
      </c>
      <c r="T244" s="3180">
        <f>L244*G244*365</f>
        <v>0</v>
      </c>
      <c r="U244" s="3180">
        <f>M244*G244*365</f>
        <v>0</v>
      </c>
      <c r="V244" s="3180">
        <v>104000</v>
      </c>
      <c r="W244" s="3180">
        <f t="shared" si="105"/>
        <v>104000</v>
      </c>
      <c r="X244" s="3181">
        <v>45248</v>
      </c>
      <c r="Y244" s="3181">
        <v>46343</v>
      </c>
      <c r="Z244" s="3181"/>
      <c r="AA244" s="3182">
        <v>6</v>
      </c>
      <c r="AB244" s="3171" t="s">
        <v>4556</v>
      </c>
    </row>
    <row r="245" spans="1:29" s="3183" customFormat="1" ht="39" customHeight="1">
      <c r="A245" s="3170"/>
      <c r="B245" s="3170">
        <v>4</v>
      </c>
      <c r="C245" s="3171" t="s">
        <v>4025</v>
      </c>
      <c r="D245" s="3172" t="s">
        <v>4300</v>
      </c>
      <c r="E245" s="3173" t="s">
        <v>3779</v>
      </c>
      <c r="F245" s="3171" t="s">
        <v>4642</v>
      </c>
      <c r="G245" s="3174">
        <v>235</v>
      </c>
      <c r="H245" s="3175" t="s">
        <v>4300</v>
      </c>
      <c r="I245" s="3173" t="s">
        <v>4300</v>
      </c>
      <c r="J245" s="3176" t="s">
        <v>3783</v>
      </c>
      <c r="K245" s="3177"/>
      <c r="L245" s="3179">
        <v>2</v>
      </c>
      <c r="M245" s="3179"/>
      <c r="N245" s="3180"/>
      <c r="O245" s="3180">
        <f t="shared" ref="O245:O247" si="107">SUM(L245:N245)</f>
        <v>2</v>
      </c>
      <c r="P245" s="3180">
        <v>14295.83</v>
      </c>
      <c r="Q245" s="3180">
        <f>M245*G245*365/12</f>
        <v>0</v>
      </c>
      <c r="R245" s="3180"/>
      <c r="S245" s="3179">
        <f t="shared" ref="S245:S247" si="108">SUM(P245:R245)</f>
        <v>14295.83</v>
      </c>
      <c r="T245" s="3180">
        <f t="shared" ref="T245:T247" si="109">L245*G245*365</f>
        <v>171550</v>
      </c>
      <c r="U245" s="3180">
        <f t="shared" ref="U245" si="110">M245*G245*365</f>
        <v>0</v>
      </c>
      <c r="V245" s="3180">
        <f t="shared" ref="V245:V247" si="111">N245*G245*365</f>
        <v>0</v>
      </c>
      <c r="W245" s="3180">
        <f t="shared" si="105"/>
        <v>171550</v>
      </c>
      <c r="X245" s="3181">
        <v>45188</v>
      </c>
      <c r="Y245" s="3181">
        <v>45918</v>
      </c>
      <c r="Z245" s="3181" t="s">
        <v>3784</v>
      </c>
      <c r="AA245" s="3182">
        <v>12</v>
      </c>
      <c r="AB245" s="3171"/>
    </row>
    <row r="246" spans="1:29" s="3183" customFormat="1" ht="39" customHeight="1">
      <c r="A246" s="3170"/>
      <c r="B246" s="3170">
        <v>5</v>
      </c>
      <c r="C246" s="3171" t="s">
        <v>4643</v>
      </c>
      <c r="D246" s="3172" t="s">
        <v>3778</v>
      </c>
      <c r="E246" s="3173" t="s">
        <v>3779</v>
      </c>
      <c r="F246" s="3171" t="s">
        <v>4644</v>
      </c>
      <c r="G246" s="3174">
        <v>160</v>
      </c>
      <c r="H246" s="3175" t="s">
        <v>4645</v>
      </c>
      <c r="I246" s="3180" t="s">
        <v>4645</v>
      </c>
      <c r="J246" s="3176" t="s">
        <v>3783</v>
      </c>
      <c r="K246" s="3177"/>
      <c r="L246" s="3179"/>
      <c r="M246" s="3179">
        <v>0.33</v>
      </c>
      <c r="N246" s="3180"/>
      <c r="O246" s="3180">
        <f t="shared" si="107"/>
        <v>0.33</v>
      </c>
      <c r="P246" s="3180">
        <f>G246*L246</f>
        <v>0</v>
      </c>
      <c r="Q246" s="3180">
        <v>1600</v>
      </c>
      <c r="R246" s="3180"/>
      <c r="S246" s="3179">
        <f t="shared" si="108"/>
        <v>1600</v>
      </c>
      <c r="T246" s="3180">
        <f t="shared" si="109"/>
        <v>0</v>
      </c>
      <c r="U246" s="3180">
        <v>19200</v>
      </c>
      <c r="V246" s="3180">
        <f t="shared" si="111"/>
        <v>0</v>
      </c>
      <c r="W246" s="3180">
        <f t="shared" si="105"/>
        <v>19200</v>
      </c>
      <c r="X246" s="3181">
        <v>44936</v>
      </c>
      <c r="Y246" s="3181">
        <v>46761</v>
      </c>
      <c r="Z246" s="3181" t="s">
        <v>3784</v>
      </c>
      <c r="AA246" s="3182">
        <v>12</v>
      </c>
      <c r="AB246" s="3171"/>
    </row>
    <row r="247" spans="1:29" s="3183" customFormat="1" ht="39" customHeight="1">
      <c r="A247" s="3170"/>
      <c r="B247" s="3170">
        <v>6</v>
      </c>
      <c r="C247" s="3171" t="s">
        <v>4643</v>
      </c>
      <c r="D247" s="3172" t="s">
        <v>3778</v>
      </c>
      <c r="E247" s="3173" t="s">
        <v>3779</v>
      </c>
      <c r="F247" s="3171" t="s">
        <v>4644</v>
      </c>
      <c r="G247" s="3174"/>
      <c r="H247" s="3175" t="s">
        <v>4645</v>
      </c>
      <c r="I247" s="3180" t="s">
        <v>4645</v>
      </c>
      <c r="J247" s="3176" t="s">
        <v>3783</v>
      </c>
      <c r="K247" s="3177"/>
      <c r="L247" s="3179"/>
      <c r="M247" s="3179">
        <v>0.12</v>
      </c>
      <c r="N247" s="3180"/>
      <c r="O247" s="3180">
        <f t="shared" si="107"/>
        <v>0.12</v>
      </c>
      <c r="P247" s="3180">
        <f>G247*L247</f>
        <v>0</v>
      </c>
      <c r="Q247" s="3180">
        <v>600</v>
      </c>
      <c r="R247" s="3180"/>
      <c r="S247" s="3179">
        <f t="shared" si="108"/>
        <v>600</v>
      </c>
      <c r="T247" s="3180">
        <f t="shared" si="109"/>
        <v>0</v>
      </c>
      <c r="U247" s="3180">
        <v>7200</v>
      </c>
      <c r="V247" s="3180">
        <f t="shared" si="111"/>
        <v>0</v>
      </c>
      <c r="W247" s="3180">
        <f t="shared" si="105"/>
        <v>7200</v>
      </c>
      <c r="X247" s="3181">
        <v>44936</v>
      </c>
      <c r="Y247" s="3181">
        <v>46761</v>
      </c>
      <c r="Z247" s="3181" t="s">
        <v>3784</v>
      </c>
      <c r="AA247" s="3182">
        <v>12</v>
      </c>
      <c r="AB247" s="3171"/>
    </row>
    <row r="248" spans="1:29" s="3189" customFormat="1" ht="39" customHeight="1">
      <c r="B248" s="3170">
        <v>7</v>
      </c>
      <c r="C248" s="3190" t="s">
        <v>4080</v>
      </c>
      <c r="D248" s="3170" t="s">
        <v>4290</v>
      </c>
      <c r="E248" s="3170" t="s">
        <v>3857</v>
      </c>
      <c r="F248" s="3171" t="s">
        <v>4646</v>
      </c>
      <c r="G248" s="3192"/>
      <c r="H248" s="3170" t="s">
        <v>4647</v>
      </c>
      <c r="I248" s="3170" t="s">
        <v>4648</v>
      </c>
      <c r="J248" s="3170" t="s">
        <v>3783</v>
      </c>
      <c r="K248" s="3170"/>
      <c r="L248" s="3178"/>
      <c r="M248" s="3178"/>
      <c r="N248" s="3178"/>
      <c r="O248" s="3178">
        <f>SUM(L248:N248)</f>
        <v>0</v>
      </c>
      <c r="P248" s="3194"/>
      <c r="Q248" s="3194"/>
      <c r="R248" s="3194">
        <v>12083.33</v>
      </c>
      <c r="S248" s="3174">
        <f>SUM(P248:R248)</f>
        <v>12083.33</v>
      </c>
      <c r="T248" s="3194"/>
      <c r="U248" s="3194">
        <v>0</v>
      </c>
      <c r="V248" s="3194">
        <v>145000</v>
      </c>
      <c r="W248" s="3174">
        <f>SUM(T248:V248)</f>
        <v>145000</v>
      </c>
      <c r="X248" s="3181">
        <v>45323</v>
      </c>
      <c r="Y248" s="3181">
        <v>45688</v>
      </c>
      <c r="Z248" s="3170"/>
      <c r="AA248" s="3182">
        <v>12</v>
      </c>
      <c r="AB248" s="3170"/>
      <c r="AC248" s="3170"/>
    </row>
    <row r="249" spans="1:29" s="3189" customFormat="1" ht="39" customHeight="1">
      <c r="A249" s="3199"/>
      <c r="B249" s="3170">
        <v>8</v>
      </c>
      <c r="C249" s="3171" t="s">
        <v>3968</v>
      </c>
      <c r="D249" s="3170" t="s">
        <v>4649</v>
      </c>
      <c r="E249" s="3191" t="s">
        <v>3779</v>
      </c>
      <c r="F249" s="3171" t="s">
        <v>4650</v>
      </c>
      <c r="G249" s="3192"/>
      <c r="H249" s="3192" t="s">
        <v>4019</v>
      </c>
      <c r="I249" s="3191" t="s">
        <v>4651</v>
      </c>
      <c r="J249" s="3170" t="s">
        <v>3783</v>
      </c>
      <c r="K249" s="3170"/>
      <c r="L249" s="3178"/>
      <c r="M249" s="3178"/>
      <c r="N249" s="3178"/>
      <c r="O249" s="3178">
        <v>0</v>
      </c>
      <c r="P249" s="3174"/>
      <c r="Q249" s="3174"/>
      <c r="R249" s="3174">
        <v>3000</v>
      </c>
      <c r="S249" s="3174">
        <f t="shared" ref="S249" si="112">SUM(P249:R249)</f>
        <v>3000</v>
      </c>
      <c r="T249" s="3174">
        <v>0</v>
      </c>
      <c r="U249" s="3174">
        <v>0</v>
      </c>
      <c r="V249" s="3174">
        <v>18000</v>
      </c>
      <c r="W249" s="3174">
        <f t="shared" ref="W249" si="113">SUM(T249:V249)</f>
        <v>18000</v>
      </c>
      <c r="X249" s="3181">
        <v>45017</v>
      </c>
      <c r="Y249" s="3181">
        <v>45565</v>
      </c>
      <c r="Z249" s="3170"/>
      <c r="AA249" s="3182">
        <v>6</v>
      </c>
      <c r="AB249" s="3170" t="s">
        <v>4652</v>
      </c>
      <c r="AC249" s="3170"/>
    </row>
    <row r="250" spans="1:29" s="3235" customFormat="1" ht="39" customHeight="1">
      <c r="A250" s="3227"/>
      <c r="B250" s="3170">
        <v>9</v>
      </c>
      <c r="C250" s="3228" t="s">
        <v>4653</v>
      </c>
      <c r="D250" s="3229" t="s">
        <v>4654</v>
      </c>
      <c r="E250" s="3230"/>
      <c r="F250" s="3228" t="s">
        <v>4655</v>
      </c>
      <c r="G250" s="3231" t="s">
        <v>4656</v>
      </c>
      <c r="H250" s="3231" t="s">
        <v>4657</v>
      </c>
      <c r="I250" s="3230" t="s">
        <v>4658</v>
      </c>
      <c r="J250" s="3229" t="s">
        <v>3783</v>
      </c>
      <c r="K250" s="3229"/>
      <c r="L250" s="3232"/>
      <c r="M250" s="3232"/>
      <c r="N250" s="3232"/>
      <c r="O250" s="3232"/>
      <c r="P250" s="3224"/>
      <c r="Q250" s="3224"/>
      <c r="R250" s="3224"/>
      <c r="S250" s="3224"/>
      <c r="T250" s="3224">
        <v>120000</v>
      </c>
      <c r="U250" s="3224"/>
      <c r="V250" s="3224"/>
      <c r="W250" s="3224">
        <f>SUM(T250:V250)</f>
        <v>120000</v>
      </c>
      <c r="X250" s="3233">
        <v>45413</v>
      </c>
      <c r="Y250" s="3233">
        <v>45777</v>
      </c>
      <c r="Z250" s="3229"/>
      <c r="AA250" s="3234"/>
      <c r="AB250" s="3229"/>
      <c r="AC250" s="3229"/>
    </row>
    <row r="251" spans="1:29" s="3235" customFormat="1" ht="39" customHeight="1">
      <c r="A251" s="3227"/>
      <c r="B251" s="3170">
        <v>10</v>
      </c>
      <c r="C251" s="3228" t="s">
        <v>4355</v>
      </c>
      <c r="D251" s="3229" t="s">
        <v>4654</v>
      </c>
      <c r="E251" s="3230"/>
      <c r="F251" s="3228" t="s">
        <v>4659</v>
      </c>
      <c r="G251" s="3231" t="s">
        <v>4660</v>
      </c>
      <c r="H251" s="3231" t="s">
        <v>4657</v>
      </c>
      <c r="I251" s="3229" t="s">
        <v>4661</v>
      </c>
      <c r="J251" s="3229" t="s">
        <v>3783</v>
      </c>
      <c r="K251" s="3229"/>
      <c r="L251" s="3232"/>
      <c r="M251" s="3232"/>
      <c r="N251" s="3232"/>
      <c r="O251" s="3232"/>
      <c r="P251" s="3224"/>
      <c r="Q251" s="3224"/>
      <c r="R251" s="3224"/>
      <c r="S251" s="3224"/>
      <c r="T251" s="3224">
        <v>96000</v>
      </c>
      <c r="U251" s="3224"/>
      <c r="V251" s="3224"/>
      <c r="W251" s="3224">
        <f t="shared" ref="W251:W253" si="114">SUM(T251:V251)</f>
        <v>96000</v>
      </c>
      <c r="X251" s="3233">
        <v>45292</v>
      </c>
      <c r="Y251" s="3233">
        <v>45657</v>
      </c>
      <c r="Z251" s="3229"/>
      <c r="AA251" s="3234"/>
      <c r="AB251" s="3229"/>
      <c r="AC251" s="3229"/>
    </row>
    <row r="252" spans="1:29" s="3235" customFormat="1" ht="39" customHeight="1">
      <c r="A252" s="3227"/>
      <c r="B252" s="3170">
        <v>11</v>
      </c>
      <c r="C252" s="3228" t="s">
        <v>4467</v>
      </c>
      <c r="D252" s="3229" t="s">
        <v>4654</v>
      </c>
      <c r="E252" s="3230"/>
      <c r="F252" s="3228" t="s">
        <v>4662</v>
      </c>
      <c r="G252" s="3231" t="s">
        <v>4663</v>
      </c>
      <c r="H252" s="3231" t="s">
        <v>4657</v>
      </c>
      <c r="I252" s="3230" t="s">
        <v>4664</v>
      </c>
      <c r="J252" s="3229" t="s">
        <v>4665</v>
      </c>
      <c r="K252" s="3229"/>
      <c r="L252" s="3232"/>
      <c r="M252" s="3232"/>
      <c r="N252" s="3232"/>
      <c r="O252" s="3232"/>
      <c r="P252" s="3224"/>
      <c r="Q252" s="3224"/>
      <c r="R252" s="3224"/>
      <c r="S252" s="3224"/>
      <c r="T252" s="3224">
        <v>60000</v>
      </c>
      <c r="U252" s="3224"/>
      <c r="V252" s="3224"/>
      <c r="W252" s="3224">
        <f t="shared" si="114"/>
        <v>60000</v>
      </c>
      <c r="X252" s="3233">
        <v>45200</v>
      </c>
      <c r="Y252" s="3233">
        <v>45565</v>
      </c>
      <c r="Z252" s="3229"/>
      <c r="AA252" s="3234"/>
      <c r="AB252" s="3229"/>
      <c r="AC252" s="3229"/>
    </row>
    <row r="253" spans="1:29" s="3235" customFormat="1" ht="39" customHeight="1">
      <c r="A253" s="3227"/>
      <c r="B253" s="3170">
        <v>12</v>
      </c>
      <c r="C253" s="3228" t="s">
        <v>4017</v>
      </c>
      <c r="D253" s="3229" t="s">
        <v>4654</v>
      </c>
      <c r="E253" s="3230"/>
      <c r="F253" s="3228" t="s">
        <v>4666</v>
      </c>
      <c r="G253" s="3231" t="s">
        <v>4667</v>
      </c>
      <c r="H253" s="3231" t="s">
        <v>4657</v>
      </c>
      <c r="I253" s="3230" t="s">
        <v>4020</v>
      </c>
      <c r="J253" s="3229" t="s">
        <v>3783</v>
      </c>
      <c r="K253" s="3229"/>
      <c r="L253" s="3232"/>
      <c r="M253" s="3232"/>
      <c r="N253" s="3232"/>
      <c r="O253" s="3232"/>
      <c r="P253" s="3224"/>
      <c r="Q253" s="3224"/>
      <c r="R253" s="3224"/>
      <c r="S253" s="3224"/>
      <c r="T253" s="3224">
        <v>1700</v>
      </c>
      <c r="U253" s="3224"/>
      <c r="V253" s="3224"/>
      <c r="W253" s="3224">
        <f t="shared" si="114"/>
        <v>1700</v>
      </c>
      <c r="X253" s="3233">
        <v>45124</v>
      </c>
      <c r="Y253" s="3233">
        <v>45489</v>
      </c>
      <c r="Z253" s="3229"/>
      <c r="AA253" s="3234"/>
      <c r="AB253" s="3229"/>
      <c r="AC253" s="3229"/>
    </row>
    <row r="254" spans="1:29" ht="28.5" customHeight="1">
      <c r="B254" s="3236"/>
      <c r="C254" s="3202"/>
      <c r="D254" s="3203" t="s">
        <v>4668</v>
      </c>
      <c r="E254" s="3237"/>
      <c r="F254" s="3237"/>
      <c r="G254" s="3238"/>
      <c r="H254" s="3239"/>
      <c r="I254" s="3237"/>
      <c r="J254" s="3239"/>
      <c r="K254" s="3240"/>
      <c r="L254" s="3241">
        <f>SUM(L242:L253)</f>
        <v>91.45</v>
      </c>
      <c r="M254" s="3241">
        <f t="shared" ref="M254:W254" si="115">SUM(M242:M253)</f>
        <v>0.45</v>
      </c>
      <c r="N254" s="3241">
        <f t="shared" si="115"/>
        <v>2.4700000000000002</v>
      </c>
      <c r="O254" s="3241">
        <f t="shared" si="115"/>
        <v>94.37</v>
      </c>
      <c r="P254" s="3241">
        <f t="shared" si="115"/>
        <v>35295.83</v>
      </c>
      <c r="Q254" s="3241">
        <f t="shared" si="115"/>
        <v>2200</v>
      </c>
      <c r="R254" s="3241">
        <f t="shared" si="115"/>
        <v>28083.33</v>
      </c>
      <c r="S254" s="3241">
        <f t="shared" si="115"/>
        <v>65579.16</v>
      </c>
      <c r="T254" s="3241">
        <f t="shared" si="115"/>
        <v>691950</v>
      </c>
      <c r="U254" s="3241">
        <f t="shared" si="115"/>
        <v>26400</v>
      </c>
      <c r="V254" s="3241">
        <f t="shared" si="115"/>
        <v>267000</v>
      </c>
      <c r="W254" s="3241">
        <f t="shared" si="115"/>
        <v>985350</v>
      </c>
      <c r="X254" s="3242"/>
      <c r="Y254" s="3242"/>
      <c r="Z254" s="3242"/>
      <c r="AA254" s="3243"/>
      <c r="AB254" s="3244"/>
    </row>
    <row r="255" spans="1:29" ht="47.25" customHeight="1">
      <c r="B255" s="3245"/>
      <c r="C255" s="3246"/>
      <c r="D255" s="3247" t="s">
        <v>4669</v>
      </c>
      <c r="E255" s="3248"/>
      <c r="F255" s="3248"/>
      <c r="G255" s="3249"/>
      <c r="H255" s="3245"/>
      <c r="I255" s="3248"/>
      <c r="J255" s="3245"/>
      <c r="K255" s="3247"/>
      <c r="L255" s="3250"/>
      <c r="M255" s="3250"/>
      <c r="N255" s="3245"/>
      <c r="O255" s="3245"/>
      <c r="P255" s="3245"/>
      <c r="Q255" s="3245"/>
      <c r="R255" s="3245"/>
      <c r="S255" s="3245"/>
      <c r="T255" s="3245"/>
      <c r="U255" s="3245"/>
      <c r="V255" s="3245"/>
      <c r="W255" s="3251">
        <f>W43+W87+W110+W126+W135+W237+W238+W254</f>
        <v>90083015.581666678</v>
      </c>
      <c r="X255" s="3252"/>
      <c r="Y255" s="3252"/>
    </row>
    <row r="256" spans="1:29">
      <c r="W256" s="3260"/>
    </row>
    <row r="258" spans="23:23">
      <c r="W258" s="3260"/>
    </row>
  </sheetData>
  <mergeCells count="1">
    <mergeCell ref="B1:AB1"/>
  </mergeCells>
  <phoneticPr fontId="134" type="noConversion"/>
  <dataValidations count="3">
    <dataValidation type="list" allowBlank="1" showInputMessage="1" showErrorMessage="1" sqref="J52:J54">
      <formula1>"固定租金,分成租金,固定分成取其高"</formula1>
    </dataValidation>
    <dataValidation type="list" allowBlank="1" showInputMessage="1" showErrorMessage="1" sqref="E2:E220 E231:E253">
      <formula1>"租赁,场地使用,临时"</formula1>
    </dataValidation>
    <dataValidation type="list" allowBlank="1" showInputMessage="1" showErrorMessage="1" sqref="J2 J34 J129 J143 J4:J11 J46:J48 J101:J103 J108:J109 J125 J242">
      <formula1>"固定租金,固定与抽成租金取高,纯抽成租金,固定场地使用费,固定场地使用费与抽成取高,"</formula1>
    </dataValidation>
  </dataValidations>
  <printOptions horizontalCentered="1"/>
  <pageMargins left="0.23622047244094491" right="0.23622047244094491" top="0.19685039370078741" bottom="0.19685039370078741" header="0" footer="0"/>
  <pageSetup paperSize="8" scale="89" orientation="landscape" horizontalDpi="300" vertic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election activeCell="E10" sqref="E10"/>
    </sheetView>
  </sheetViews>
  <sheetFormatPr defaultColWidth="9" defaultRowHeight="13.5"/>
  <cols>
    <col min="1" max="1" width="9" style="3128"/>
    <col min="2" max="2" width="18.625" style="3128" customWidth="1"/>
    <col min="3" max="3" width="12.5" style="3128" customWidth="1"/>
    <col min="4" max="5" width="9" style="3128"/>
    <col min="6" max="6" width="9.75" style="3128" customWidth="1"/>
    <col min="7" max="7" width="7.125" style="3128" customWidth="1"/>
    <col min="8" max="8" width="12.5" style="3128" customWidth="1"/>
    <col min="9" max="9" width="12.25" style="3128" customWidth="1"/>
    <col min="10" max="10" width="12.375" style="3128" customWidth="1"/>
    <col min="11" max="11" width="9" style="3128"/>
    <col min="12" max="12" width="9.625" style="3128" customWidth="1"/>
    <col min="13" max="16384" width="9" style="3128"/>
  </cols>
  <sheetData>
    <row r="2" spans="2:13">
      <c r="H2" s="3128" t="s">
        <v>3745</v>
      </c>
    </row>
    <row r="3" spans="2:13" ht="27">
      <c r="B3" s="3128" t="s">
        <v>3665</v>
      </c>
      <c r="C3" s="3128" t="s">
        <v>3666</v>
      </c>
      <c r="D3" s="3128" t="s">
        <v>3667</v>
      </c>
      <c r="E3" s="3128" t="s">
        <v>3668</v>
      </c>
      <c r="F3" s="3128" t="s">
        <v>3669</v>
      </c>
      <c r="G3" s="3128" t="s">
        <v>3670</v>
      </c>
      <c r="H3" s="3365" t="s">
        <v>3671</v>
      </c>
      <c r="I3" s="3365"/>
      <c r="J3" s="3128" t="s">
        <v>3672</v>
      </c>
      <c r="K3" s="3128" t="s">
        <v>3673</v>
      </c>
      <c r="L3" s="3128" t="s">
        <v>3674</v>
      </c>
      <c r="M3" s="3129" t="s">
        <v>3744</v>
      </c>
    </row>
    <row r="4" spans="2:13" ht="27">
      <c r="B4" s="3129" t="s">
        <v>3675</v>
      </c>
      <c r="C4" s="3129" t="s">
        <v>3676</v>
      </c>
      <c r="D4" s="3128">
        <v>2852.38</v>
      </c>
      <c r="E4" s="3128">
        <v>2182.4499999999998</v>
      </c>
      <c r="F4" s="3128">
        <v>3060</v>
      </c>
      <c r="G4" s="3128" t="s">
        <v>3677</v>
      </c>
      <c r="H4" s="3130">
        <v>44562</v>
      </c>
      <c r="I4" s="3130">
        <v>44926</v>
      </c>
      <c r="J4" s="3128">
        <v>5026050</v>
      </c>
      <c r="K4" s="3131">
        <f>J4/$F$4/365</f>
        <v>4.5</v>
      </c>
      <c r="L4" s="3129" t="s">
        <v>3678</v>
      </c>
      <c r="M4" s="3159">
        <v>0.15</v>
      </c>
    </row>
    <row r="5" spans="2:13" ht="27">
      <c r="C5" s="3129" t="s">
        <v>3679</v>
      </c>
      <c r="D5" s="3128">
        <v>275.54000000000002</v>
      </c>
      <c r="E5" s="3128">
        <v>223.71</v>
      </c>
      <c r="H5" s="3130">
        <v>44927</v>
      </c>
      <c r="I5" s="3130">
        <v>45291</v>
      </c>
      <c r="J5" s="3128">
        <v>5026050</v>
      </c>
      <c r="K5" s="3131">
        <f t="shared" ref="K5:K13" si="0">J5/$F$4/365</f>
        <v>4.5</v>
      </c>
      <c r="L5" s="3132">
        <f>(J6-J5)/J5</f>
        <v>5.1111111111111114E-2</v>
      </c>
      <c r="M5" s="3159">
        <v>0.15</v>
      </c>
    </row>
    <row r="6" spans="2:13">
      <c r="D6" s="3128">
        <f>SUM(D4:D5)</f>
        <v>3127.92</v>
      </c>
      <c r="H6" s="3130">
        <v>45292</v>
      </c>
      <c r="I6" s="3130">
        <v>45657</v>
      </c>
      <c r="J6" s="3128">
        <v>5282937</v>
      </c>
      <c r="K6" s="3131">
        <f t="shared" si="0"/>
        <v>4.7300000000000004</v>
      </c>
      <c r="M6" s="3159">
        <v>0.15</v>
      </c>
    </row>
    <row r="7" spans="2:13" ht="27">
      <c r="B7" s="3129" t="s">
        <v>3680</v>
      </c>
      <c r="H7" s="3130">
        <v>45658</v>
      </c>
      <c r="I7" s="3130">
        <v>46022</v>
      </c>
      <c r="J7" s="3128">
        <v>5282937</v>
      </c>
      <c r="K7" s="3131">
        <f t="shared" si="0"/>
        <v>4.7300000000000004</v>
      </c>
      <c r="M7" s="3159">
        <v>0.15</v>
      </c>
    </row>
    <row r="8" spans="2:13">
      <c r="H8" s="3130">
        <v>46023</v>
      </c>
      <c r="I8" s="3130">
        <v>46387</v>
      </c>
      <c r="J8" s="3133">
        <v>5550993</v>
      </c>
      <c r="K8" s="3131">
        <f t="shared" si="0"/>
        <v>4.97</v>
      </c>
      <c r="M8" s="3159">
        <v>0.15</v>
      </c>
    </row>
    <row r="9" spans="2:13">
      <c r="H9" s="3130">
        <v>46388</v>
      </c>
      <c r="I9" s="3130">
        <v>46752</v>
      </c>
      <c r="J9" s="3133">
        <v>5550993</v>
      </c>
      <c r="K9" s="3131">
        <f t="shared" si="0"/>
        <v>4.97</v>
      </c>
      <c r="M9" s="3159">
        <v>0.15</v>
      </c>
    </row>
    <row r="10" spans="2:13">
      <c r="H10" s="3130">
        <v>46753</v>
      </c>
      <c r="I10" s="3130">
        <v>47118</v>
      </c>
      <c r="J10" s="3133">
        <v>5819049</v>
      </c>
      <c r="K10" s="3131">
        <f t="shared" si="0"/>
        <v>5.21</v>
      </c>
      <c r="M10" s="3159">
        <v>0.15</v>
      </c>
    </row>
    <row r="11" spans="2:13">
      <c r="H11" s="3130">
        <v>47119</v>
      </c>
      <c r="I11" s="3130">
        <v>47483</v>
      </c>
      <c r="J11" s="3133">
        <v>5819049</v>
      </c>
      <c r="K11" s="3131">
        <f t="shared" si="0"/>
        <v>5.21</v>
      </c>
      <c r="M11" s="3159">
        <v>0.15</v>
      </c>
    </row>
    <row r="12" spans="2:13">
      <c r="H12" s="3130">
        <v>47484</v>
      </c>
      <c r="I12" s="3130">
        <v>47848</v>
      </c>
      <c r="J12" s="3133">
        <v>6109443</v>
      </c>
      <c r="K12" s="3131">
        <f t="shared" si="0"/>
        <v>5.47</v>
      </c>
      <c r="M12" s="3159">
        <v>0.15</v>
      </c>
    </row>
    <row r="13" spans="2:13">
      <c r="H13" s="3130">
        <v>47849</v>
      </c>
      <c r="I13" s="3130">
        <v>48213</v>
      </c>
      <c r="J13" s="3133">
        <v>6109443</v>
      </c>
      <c r="K13" s="3131">
        <f t="shared" si="0"/>
        <v>5.47</v>
      </c>
      <c r="M13" s="3159">
        <v>0.15</v>
      </c>
    </row>
    <row r="17" spans="2:12">
      <c r="B17" s="3128" t="s">
        <v>3681</v>
      </c>
      <c r="C17" s="3128" t="s">
        <v>3682</v>
      </c>
      <c r="D17" s="3128" t="s">
        <v>3683</v>
      </c>
      <c r="E17" s="3128" t="s">
        <v>3684</v>
      </c>
      <c r="F17" s="3128" t="s">
        <v>3685</v>
      </c>
      <c r="G17" s="3128" t="s">
        <v>3686</v>
      </c>
      <c r="H17" s="3365" t="s">
        <v>3687</v>
      </c>
      <c r="I17" s="3365"/>
    </row>
    <row r="18" spans="2:12" ht="148.5">
      <c r="B18" s="3129" t="s">
        <v>3688</v>
      </c>
      <c r="C18" s="3129" t="s">
        <v>3689</v>
      </c>
      <c r="D18" s="3128">
        <v>3127.15</v>
      </c>
      <c r="E18" s="3128">
        <v>2392.69</v>
      </c>
      <c r="F18" s="3128">
        <v>2228</v>
      </c>
      <c r="G18" s="3128" t="s">
        <v>3690</v>
      </c>
      <c r="H18" s="3130">
        <v>44743</v>
      </c>
      <c r="I18" s="3130">
        <v>47118</v>
      </c>
      <c r="J18" s="3129" t="s">
        <v>3691</v>
      </c>
      <c r="K18" s="3131"/>
    </row>
    <row r="19" spans="2:12">
      <c r="C19" s="3129"/>
      <c r="H19" s="3130"/>
      <c r="I19" s="3130"/>
      <c r="K19" s="3131"/>
      <c r="L19" s="3132"/>
    </row>
    <row r="20" spans="2:12">
      <c r="H20" s="3130"/>
      <c r="I20" s="3130"/>
      <c r="K20" s="3131"/>
    </row>
    <row r="21" spans="2:12">
      <c r="H21" s="3130"/>
      <c r="I21" s="3130"/>
      <c r="K21" s="3131"/>
    </row>
    <row r="22" spans="2:12">
      <c r="H22" s="3130"/>
      <c r="I22" s="3130"/>
      <c r="J22" s="3133"/>
      <c r="K22" s="3131"/>
    </row>
    <row r="23" spans="2:12">
      <c r="H23" s="3130"/>
      <c r="I23" s="3130"/>
      <c r="J23" s="3133"/>
      <c r="K23" s="3131"/>
    </row>
    <row r="24" spans="2:12">
      <c r="H24" s="3130"/>
      <c r="I24" s="3130"/>
      <c r="J24" s="3133"/>
      <c r="K24" s="3131"/>
    </row>
    <row r="25" spans="2:12">
      <c r="H25" s="3130"/>
      <c r="I25" s="3130"/>
      <c r="J25" s="3133"/>
      <c r="K25" s="3131"/>
    </row>
    <row r="26" spans="2:12">
      <c r="H26" s="3130"/>
      <c r="I26" s="3130"/>
      <c r="J26" s="3133"/>
      <c r="K26" s="3131"/>
    </row>
    <row r="27" spans="2:12">
      <c r="H27" s="3130"/>
      <c r="I27" s="3130"/>
      <c r="J27" s="3133"/>
      <c r="K27" s="3131"/>
    </row>
  </sheetData>
  <mergeCells count="2">
    <mergeCell ref="H3:I3"/>
    <mergeCell ref="H17:I17"/>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276" t="str">
        <f>项目基本情况!B1</f>
        <v>北京市朝阳区清林东路4号6号楼负2层B202、负3层B302商业用房房地产抵押价值预评估</v>
      </c>
      <c r="C37" s="3276"/>
      <c r="D37" s="3276"/>
      <c r="E37" s="3276"/>
      <c r="F37" s="3276"/>
      <c r="G37" s="3276"/>
      <c r="H37" s="3276"/>
      <c r="I37" s="3276"/>
    </row>
    <row r="38" spans="1:9">
      <c r="A38" s="787"/>
      <c r="B38" s="787"/>
    </row>
    <row r="39" spans="1:9">
      <c r="A39" s="785" t="s">
        <v>371</v>
      </c>
      <c r="B39" s="785" t="s">
        <v>373</v>
      </c>
    </row>
    <row r="40" spans="1:9">
      <c r="A40" s="785"/>
      <c r="B40" s="1370" t="str">
        <f>项目基本情况!B5</f>
        <v>浦发银行</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H8" sqref="H8"/>
    </sheetView>
  </sheetViews>
  <sheetFormatPr defaultColWidth="9" defaultRowHeight="13.5"/>
  <cols>
    <col min="1" max="1" width="25" style="3148" customWidth="1"/>
    <col min="2" max="9" width="15.75" style="3148" customWidth="1"/>
    <col min="10" max="10" width="10.25" style="3148" bestFit="1" customWidth="1"/>
    <col min="11" max="16384" width="9" style="3148"/>
  </cols>
  <sheetData>
    <row r="1" spans="1:11" ht="16.5">
      <c r="A1" s="3145" t="s">
        <v>662</v>
      </c>
      <c r="B1" s="3145">
        <f>SUM(B14:B23)</f>
        <v>17848.889999999985</v>
      </c>
      <c r="C1" s="3146"/>
      <c r="D1" s="3146"/>
      <c r="E1" s="3146"/>
      <c r="F1" s="3146"/>
      <c r="G1" s="3147"/>
      <c r="H1" s="3147"/>
      <c r="I1" s="3147"/>
      <c r="J1" s="3147"/>
      <c r="K1" s="3147"/>
    </row>
    <row r="2" spans="1:11" ht="16.5">
      <c r="A2" s="3145" t="s">
        <v>650</v>
      </c>
      <c r="B2" s="3145">
        <f>SUM(C14:C23)</f>
        <v>0</v>
      </c>
      <c r="C2" s="3146"/>
      <c r="D2" s="3146"/>
      <c r="E2" s="3146"/>
      <c r="F2" s="3146"/>
      <c r="G2" s="3147"/>
      <c r="H2" s="3147"/>
      <c r="I2" s="3147"/>
      <c r="J2" s="3147"/>
      <c r="K2" s="3147"/>
    </row>
    <row r="3" spans="1:11" ht="16.5">
      <c r="A3" s="3145" t="s">
        <v>659</v>
      </c>
      <c r="B3" s="3275">
        <f>项目基本情况!D3</f>
        <v>45418</v>
      </c>
      <c r="C3" s="3146"/>
      <c r="D3" s="3146"/>
      <c r="E3" s="3146"/>
      <c r="F3" s="3146"/>
      <c r="G3" s="3147"/>
      <c r="H3" s="3147"/>
      <c r="I3" s="3147"/>
      <c r="J3" s="3147"/>
      <c r="K3" s="3147"/>
    </row>
    <row r="4" spans="1:11" ht="33">
      <c r="A4" s="3145" t="s">
        <v>658</v>
      </c>
      <c r="B4" s="3145" t="s">
        <v>657</v>
      </c>
      <c r="C4" s="3145" t="s">
        <v>656</v>
      </c>
      <c r="D4" s="3145" t="s">
        <v>655</v>
      </c>
      <c r="E4" s="3146"/>
      <c r="F4" s="3147"/>
      <c r="G4" s="3147"/>
      <c r="H4" s="3147"/>
      <c r="I4" s="3147"/>
      <c r="J4" s="3147"/>
      <c r="K4" s="3147"/>
    </row>
    <row r="5" spans="1:11" ht="16.5">
      <c r="A5" s="3145" t="s">
        <v>654</v>
      </c>
      <c r="B5" s="3145">
        <f ca="1">SUM(D14:D23)</f>
        <v>16569</v>
      </c>
      <c r="C5" s="3145">
        <f ca="1">IF(B5=D14,结果表!H102,ROUND(B5*10000/$B$1,0))</f>
        <v>9283</v>
      </c>
      <c r="D5" s="3145" t="e">
        <f ca="1">ROUND(B5*10000/$B$2,0)</f>
        <v>#DIV/0!</v>
      </c>
      <c r="E5" s="3146"/>
      <c r="F5" s="3147"/>
      <c r="G5" s="3147"/>
      <c r="H5" s="3147"/>
      <c r="I5" s="3147"/>
      <c r="J5" s="3147"/>
      <c r="K5" s="3147"/>
    </row>
    <row r="6" spans="1:11" ht="16.5">
      <c r="A6" s="3145" t="s">
        <v>653</v>
      </c>
      <c r="B6" s="3145">
        <f ca="1">SUM(G14:G23)</f>
        <v>16569</v>
      </c>
      <c r="C6" s="3145">
        <f ca="1">IF(B6=G14,结果表!H108,ROUND(B6*10000/$B$1,0))</f>
        <v>9283</v>
      </c>
      <c r="D6" s="3145" t="e">
        <f ca="1">ROUND(B6*10000/$B$2,0)</f>
        <v>#DIV/0!</v>
      </c>
      <c r="E6" s="3146"/>
      <c r="F6" s="3147"/>
      <c r="G6" s="3147"/>
      <c r="H6" s="3147"/>
      <c r="I6" s="3147"/>
      <c r="J6" s="3147"/>
      <c r="K6" s="3147"/>
    </row>
    <row r="7" spans="1:11" ht="16.5">
      <c r="A7" s="3145" t="s">
        <v>661</v>
      </c>
      <c r="B7" s="3145">
        <f>SUM(H14:H23)</f>
        <v>0</v>
      </c>
      <c r="C7" s="3145" t="str">
        <f>IF(B7=H14,结果表!H110,ROUND(B7*10000/$B$1,0))</f>
        <v>——</v>
      </c>
      <c r="D7" s="3145" t="e">
        <f>ROUND(B7*10000/$B$2,0)</f>
        <v>#DIV/0!</v>
      </c>
      <c r="E7" s="3146"/>
      <c r="F7" s="3147"/>
      <c r="G7" s="3147"/>
      <c r="H7" s="3147"/>
      <c r="I7" s="3147"/>
      <c r="J7" s="3147"/>
      <c r="K7" s="3147"/>
    </row>
    <row r="8" spans="1:11" ht="16.5">
      <c r="A8" s="3145" t="s">
        <v>587</v>
      </c>
      <c r="B8" s="3145">
        <f>SUM(I14:I23)</f>
        <v>0</v>
      </c>
      <c r="C8" s="3145" t="str">
        <f>IF(B8=I14,结果表!H112,ROUND(B8*10000/$B$1,0))</f>
        <v>——</v>
      </c>
      <c r="D8" s="3145" t="e">
        <f>ROUND(B8*10000/$B$2,0)</f>
        <v>#DIV/0!</v>
      </c>
      <c r="E8" s="3146"/>
      <c r="F8" s="3147"/>
      <c r="G8" s="3147"/>
      <c r="H8" s="3147"/>
      <c r="I8" s="3147"/>
      <c r="J8" s="3147"/>
      <c r="K8" s="3147"/>
    </row>
    <row r="9" spans="1:11" ht="16.5">
      <c r="A9" s="3145" t="s">
        <v>652</v>
      </c>
      <c r="B9" s="3149"/>
      <c r="C9" s="3146"/>
      <c r="D9" s="3146"/>
      <c r="E9" s="3146"/>
      <c r="F9" s="3147"/>
      <c r="G9" s="3147"/>
      <c r="H9" s="3147"/>
      <c r="I9" s="3147"/>
      <c r="J9" s="3147"/>
      <c r="K9" s="3147"/>
    </row>
    <row r="10" spans="1:11" ht="16.5">
      <c r="A10" s="3145" t="s">
        <v>651</v>
      </c>
      <c r="B10" s="3145">
        <f>IF(E10="",0,ROUND(B1*(E10*365/G10)/10000,0))</f>
        <v>0</v>
      </c>
      <c r="C10" s="3145" t="s">
        <v>3353</v>
      </c>
      <c r="D10" s="3145" t="s">
        <v>3354</v>
      </c>
      <c r="E10" s="3150"/>
      <c r="F10" s="3151" t="s">
        <v>3355</v>
      </c>
      <c r="G10" s="3152"/>
      <c r="H10" s="3147"/>
      <c r="I10" s="3147"/>
      <c r="J10" s="3147"/>
      <c r="K10" s="3147"/>
    </row>
    <row r="11" spans="1:11" ht="16.5">
      <c r="A11" s="3145" t="s">
        <v>667</v>
      </c>
      <c r="B11" s="3149"/>
      <c r="C11" s="3146"/>
      <c r="D11" s="3146"/>
      <c r="E11" s="3146"/>
      <c r="F11" s="3147"/>
      <c r="G11" s="3147"/>
      <c r="H11" s="3147"/>
      <c r="I11" s="3147"/>
      <c r="J11" s="3147">
        <f>J14+J15</f>
        <v>8979</v>
      </c>
      <c r="K11" s="3147"/>
    </row>
    <row r="12" spans="1:11" ht="16.5">
      <c r="A12" s="3146"/>
      <c r="B12" s="3146"/>
      <c r="C12" s="3146"/>
      <c r="D12" s="3146"/>
      <c r="E12" s="3146"/>
      <c r="F12" s="3147"/>
      <c r="G12" s="3147">
        <f ca="1">G14+G15</f>
        <v>9008</v>
      </c>
      <c r="H12" s="3147"/>
      <c r="I12" s="3147"/>
      <c r="J12" s="3147">
        <f>J14+J15+J16</f>
        <v>16552</v>
      </c>
      <c r="K12" s="3147">
        <f ca="1">J12-B6</f>
        <v>-17</v>
      </c>
    </row>
    <row r="13" spans="1:11" ht="33">
      <c r="A13" s="3153" t="s">
        <v>666</v>
      </c>
      <c r="B13" s="3154" t="s">
        <v>663</v>
      </c>
      <c r="C13" s="3154" t="s">
        <v>665</v>
      </c>
      <c r="D13" s="3154" t="s">
        <v>664</v>
      </c>
      <c r="E13" s="3145" t="s">
        <v>656</v>
      </c>
      <c r="F13" s="3145" t="s">
        <v>655</v>
      </c>
      <c r="G13" s="3154" t="s">
        <v>649</v>
      </c>
      <c r="H13" s="3154" t="s">
        <v>660</v>
      </c>
      <c r="I13" s="3154" t="s">
        <v>648</v>
      </c>
      <c r="J13" s="3158">
        <v>45170</v>
      </c>
      <c r="K13" s="3147"/>
    </row>
    <row r="14" spans="1:11" ht="16.5">
      <c r="A14" s="3155" t="s">
        <v>3736</v>
      </c>
      <c r="B14" s="3156">
        <f>'数据-汇总表'!G19</f>
        <v>2852.38</v>
      </c>
      <c r="C14" s="3156"/>
      <c r="D14" s="3156">
        <f ca="1">结果表!H101</f>
        <v>4946</v>
      </c>
      <c r="E14" s="3156">
        <f ca="1">ROUND(D14*10000/B14,0)</f>
        <v>17340</v>
      </c>
      <c r="F14" s="3156" t="e">
        <f ca="1">ROUND(D14*10000/C14,0)</f>
        <v>#DIV/0!</v>
      </c>
      <c r="G14" s="3156">
        <f ca="1">结果表!H107</f>
        <v>4946</v>
      </c>
      <c r="H14" s="3156"/>
      <c r="I14" s="3156"/>
      <c r="J14" s="3147">
        <v>4893</v>
      </c>
      <c r="K14" s="3147">
        <f ca="1">D14-J14</f>
        <v>53</v>
      </c>
    </row>
    <row r="15" spans="1:11" ht="16.5">
      <c r="A15" s="3155" t="s">
        <v>3737</v>
      </c>
      <c r="B15" s="3156">
        <f>'数据-汇总表'!G20</f>
        <v>3127.15</v>
      </c>
      <c r="C15" s="3157"/>
      <c r="D15" s="3157">
        <f ca="1">'结果表-地下3层'!H101</f>
        <v>4062</v>
      </c>
      <c r="E15" s="3156">
        <f t="shared" ref="E15:E23" ca="1" si="0">ROUND(D15*10000/B15,0)</f>
        <v>12989</v>
      </c>
      <c r="F15" s="3156" t="e">
        <f t="shared" ref="F15:F23" ca="1" si="1">ROUND(D15*10000/C15,0)</f>
        <v>#DIV/0!</v>
      </c>
      <c r="G15" s="3149">
        <f ca="1">'结果表-地下3层'!H107</f>
        <v>4062</v>
      </c>
      <c r="H15" s="3149"/>
      <c r="I15" s="3157"/>
      <c r="J15" s="3147">
        <v>4086</v>
      </c>
      <c r="K15" s="3147">
        <f t="shared" ref="K15:K16" ca="1" si="2">D15-J15</f>
        <v>-24</v>
      </c>
    </row>
    <row r="16" spans="1:11" ht="16.5">
      <c r="A16" s="3155" t="s">
        <v>4671</v>
      </c>
      <c r="B16" s="3157">
        <f>[3]系统读取表!$B$14</f>
        <v>11869.359999999982</v>
      </c>
      <c r="C16" s="3157"/>
      <c r="D16" s="3157">
        <f ca="1">[3]系统读取表!$D$14</f>
        <v>7561</v>
      </c>
      <c r="E16" s="3156">
        <f t="shared" ca="1" si="0"/>
        <v>6370</v>
      </c>
      <c r="F16" s="3156" t="e">
        <f t="shared" ca="1" si="1"/>
        <v>#DIV/0!</v>
      </c>
      <c r="G16" s="3149">
        <f ca="1">[3]系统读取表!$G$14</f>
        <v>7561</v>
      </c>
      <c r="H16" s="3149"/>
      <c r="I16" s="3157"/>
      <c r="J16" s="3147">
        <f>[3]系统读取表!$J$14</f>
        <v>7573</v>
      </c>
      <c r="K16" s="3147">
        <f t="shared" ca="1" si="2"/>
        <v>-12</v>
      </c>
    </row>
    <row r="17" spans="1:11" ht="16.5">
      <c r="A17" s="3155" t="s">
        <v>647</v>
      </c>
      <c r="B17" s="3157"/>
      <c r="C17" s="3157"/>
      <c r="D17" s="3157"/>
      <c r="E17" s="3156" t="e">
        <f t="shared" si="0"/>
        <v>#DIV/0!</v>
      </c>
      <c r="F17" s="3156" t="e">
        <f t="shared" si="1"/>
        <v>#DIV/0!</v>
      </c>
      <c r="G17" s="3149"/>
      <c r="H17" s="3149"/>
      <c r="I17" s="3157"/>
      <c r="J17" s="3147"/>
      <c r="K17" s="3147"/>
    </row>
    <row r="18" spans="1:11" ht="16.5">
      <c r="A18" s="3155" t="s">
        <v>646</v>
      </c>
      <c r="B18" s="3157"/>
      <c r="C18" s="3157"/>
      <c r="D18" s="3157"/>
      <c r="E18" s="3156" t="e">
        <f t="shared" si="0"/>
        <v>#DIV/0!</v>
      </c>
      <c r="F18" s="3156" t="e">
        <f t="shared" si="1"/>
        <v>#DIV/0!</v>
      </c>
      <c r="G18" s="3157"/>
      <c r="H18" s="3157"/>
      <c r="I18" s="3157"/>
      <c r="J18" s="3147"/>
      <c r="K18" s="3147"/>
    </row>
    <row r="19" spans="1:11" ht="16.5">
      <c r="A19" s="3155" t="s">
        <v>645</v>
      </c>
      <c r="B19" s="3157"/>
      <c r="C19" s="3157"/>
      <c r="D19" s="3157"/>
      <c r="E19" s="3156" t="e">
        <f t="shared" si="0"/>
        <v>#DIV/0!</v>
      </c>
      <c r="F19" s="3156" t="e">
        <f t="shared" si="1"/>
        <v>#DIV/0!</v>
      </c>
      <c r="G19" s="3157"/>
      <c r="H19" s="3157"/>
      <c r="I19" s="3157"/>
      <c r="J19" s="3147"/>
      <c r="K19" s="3147"/>
    </row>
    <row r="20" spans="1:11" ht="16.5">
      <c r="A20" s="3155" t="s">
        <v>644</v>
      </c>
      <c r="B20" s="3157"/>
      <c r="C20" s="3157"/>
      <c r="D20" s="3157"/>
      <c r="E20" s="3156" t="e">
        <f t="shared" si="0"/>
        <v>#DIV/0!</v>
      </c>
      <c r="F20" s="3156" t="e">
        <f t="shared" si="1"/>
        <v>#DIV/0!</v>
      </c>
      <c r="G20" s="3157"/>
      <c r="H20" s="3157"/>
      <c r="I20" s="3157"/>
      <c r="J20" s="3147"/>
      <c r="K20" s="3147"/>
    </row>
    <row r="21" spans="1:11" ht="16.5">
      <c r="A21" s="3155" t="s">
        <v>643</v>
      </c>
      <c r="B21" s="3157"/>
      <c r="C21" s="3157"/>
      <c r="D21" s="3157"/>
      <c r="E21" s="3156" t="e">
        <f t="shared" si="0"/>
        <v>#DIV/0!</v>
      </c>
      <c r="F21" s="3156" t="e">
        <f t="shared" si="1"/>
        <v>#DIV/0!</v>
      </c>
      <c r="G21" s="3157"/>
      <c r="H21" s="3157"/>
      <c r="I21" s="3157"/>
      <c r="J21" s="3147"/>
      <c r="K21" s="3147"/>
    </row>
    <row r="22" spans="1:11" ht="16.5">
      <c r="A22" s="3155" t="s">
        <v>642</v>
      </c>
      <c r="B22" s="3157"/>
      <c r="C22" s="3157"/>
      <c r="D22" s="3157"/>
      <c r="E22" s="3156" t="e">
        <f t="shared" si="0"/>
        <v>#DIV/0!</v>
      </c>
      <c r="F22" s="3156" t="e">
        <f t="shared" si="1"/>
        <v>#DIV/0!</v>
      </c>
      <c r="G22" s="3157"/>
      <c r="H22" s="3157"/>
      <c r="I22" s="3157"/>
      <c r="J22" s="3147"/>
      <c r="K22" s="3147"/>
    </row>
    <row r="23" spans="1:11" ht="16.5">
      <c r="A23" s="3155" t="s">
        <v>641</v>
      </c>
      <c r="B23" s="3157"/>
      <c r="C23" s="3157"/>
      <c r="D23" s="3157"/>
      <c r="E23" s="3149" t="e">
        <f t="shared" si="0"/>
        <v>#DIV/0!</v>
      </c>
      <c r="F23" s="3149" t="e">
        <f t="shared" si="1"/>
        <v>#DIV/0!</v>
      </c>
      <c r="G23" s="3157"/>
      <c r="H23" s="3157"/>
      <c r="I23" s="3157"/>
      <c r="J23" s="3147"/>
      <c r="K23" s="3147"/>
    </row>
    <row r="24" spans="1:11">
      <c r="A24" s="3147"/>
      <c r="B24" s="3147"/>
      <c r="C24" s="3147"/>
      <c r="D24" s="3147"/>
      <c r="E24" s="3147"/>
      <c r="F24" s="3147"/>
      <c r="G24" s="3147"/>
      <c r="H24" s="3147"/>
      <c r="I24" s="3147"/>
      <c r="J24" s="3147"/>
      <c r="K24" s="3147"/>
    </row>
    <row r="25" spans="1:11">
      <c r="A25" s="3147"/>
      <c r="B25" s="3147"/>
      <c r="C25" s="3147"/>
      <c r="D25" s="3147"/>
      <c r="E25" s="3147"/>
      <c r="F25" s="3147"/>
      <c r="G25" s="3147"/>
      <c r="H25" s="3147"/>
      <c r="I25" s="3147"/>
      <c r="J25" s="3147"/>
      <c r="K25" s="3147"/>
    </row>
    <row r="26" spans="1:11">
      <c r="A26" s="3147"/>
      <c r="B26" s="3147"/>
      <c r="C26" s="3147"/>
      <c r="D26" s="3147"/>
      <c r="E26" s="3147"/>
      <c r="F26" s="3147"/>
      <c r="G26" s="3147"/>
      <c r="H26" s="3147"/>
      <c r="I26" s="3147"/>
      <c r="J26" s="3147"/>
      <c r="K26" s="314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5"/>
    <col min="36" max="16384" width="12.625" style="1553"/>
  </cols>
  <sheetData>
    <row r="1" spans="1:12" ht="21.75" customHeight="1" thickBot="1">
      <c r="A1" s="1513" t="s">
        <v>1259</v>
      </c>
      <c r="B1" s="638"/>
      <c r="C1" s="1612" t="s">
        <v>3705</v>
      </c>
      <c r="D1" s="638"/>
      <c r="E1" s="638"/>
      <c r="F1" s="1613" t="s">
        <v>1260</v>
      </c>
      <c r="G1" s="1445"/>
      <c r="H1" s="1613" t="str">
        <f>IF(G1="现房","——","估价对象范围")</f>
        <v>估价对象范围</v>
      </c>
      <c r="I1" s="1614"/>
    </row>
    <row r="2" spans="1:12" ht="21.75" customHeight="1" thickBot="1">
      <c r="A2" s="3400" t="str">
        <f>项目基本情况!S2</f>
        <v>北京市朝阳区清林东路4号6号楼负2层B202、负3层B302商业用房房地产</v>
      </c>
      <c r="B2" s="3401"/>
      <c r="C2" s="3401"/>
      <c r="D2" s="3401"/>
      <c r="E2" s="3401"/>
      <c r="F2" s="3401"/>
      <c r="G2" s="3401"/>
      <c r="H2" s="3401"/>
      <c r="I2" s="3402"/>
    </row>
    <row r="3" spans="1:12" ht="12.75">
      <c r="A3" s="3404" t="s">
        <v>1261</v>
      </c>
      <c r="B3" s="3405"/>
      <c r="C3" s="3405"/>
      <c r="D3" s="3405"/>
      <c r="E3" s="3405"/>
      <c r="F3" s="3405"/>
      <c r="G3" s="3405"/>
      <c r="H3" s="3405"/>
      <c r="I3" s="3405"/>
    </row>
    <row r="4" spans="1:12" ht="14.25">
      <c r="A4" s="1616" t="s">
        <v>1262</v>
      </c>
      <c r="B4" s="1617" t="s">
        <v>1263</v>
      </c>
      <c r="C4" s="1618" t="s">
        <v>3729</v>
      </c>
      <c r="D4" s="1618" t="s">
        <v>3709</v>
      </c>
      <c r="E4" s="3409" t="s">
        <v>1264</v>
      </c>
      <c r="F4" s="3410"/>
      <c r="G4" s="3410"/>
      <c r="H4" s="3410"/>
      <c r="I4" s="3411"/>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380" t="s">
        <v>1265</v>
      </c>
      <c r="B5" s="3367">
        <v>25</v>
      </c>
      <c r="C5" s="3406"/>
      <c r="D5" s="3403"/>
      <c r="E5" s="117" t="s">
        <v>1266</v>
      </c>
      <c r="F5" s="1619"/>
      <c r="G5" s="1619"/>
      <c r="H5" s="1619"/>
      <c r="I5" s="1273"/>
    </row>
    <row r="6" spans="1:12" ht="12.75">
      <c r="A6" s="3380"/>
      <c r="B6" s="3367"/>
      <c r="C6" s="3408"/>
      <c r="D6" s="3403"/>
      <c r="E6" s="117" t="s">
        <v>1267</v>
      </c>
      <c r="F6" s="1619"/>
      <c r="G6" s="1619"/>
      <c r="H6" s="1619"/>
      <c r="I6" s="1273"/>
    </row>
    <row r="7" spans="1:12" ht="12.75">
      <c r="A7" s="3380"/>
      <c r="B7" s="3367"/>
      <c r="C7" s="3407"/>
      <c r="D7" s="3403"/>
      <c r="E7" s="117" t="s">
        <v>1268</v>
      </c>
      <c r="F7" s="1619"/>
      <c r="G7" s="1619"/>
      <c r="H7" s="1619"/>
      <c r="I7" s="1273"/>
    </row>
    <row r="8" spans="1:12" ht="12.75">
      <c r="A8" s="3380" t="s">
        <v>1269</v>
      </c>
      <c r="B8" s="3367">
        <v>15</v>
      </c>
      <c r="C8" s="3406"/>
      <c r="D8" s="3403"/>
      <c r="E8" s="117" t="s">
        <v>1270</v>
      </c>
      <c r="F8" s="1619"/>
      <c r="G8" s="1619"/>
      <c r="H8" s="1619"/>
      <c r="I8" s="1273"/>
    </row>
    <row r="9" spans="1:12" ht="12.75">
      <c r="A9" s="3380"/>
      <c r="B9" s="3367"/>
      <c r="C9" s="3407"/>
      <c r="D9" s="3403"/>
      <c r="E9" s="117" t="s">
        <v>1271</v>
      </c>
      <c r="F9" s="1619"/>
      <c r="G9" s="1619"/>
      <c r="H9" s="1619"/>
      <c r="I9" s="1273"/>
    </row>
    <row r="10" spans="1:12" ht="12.75">
      <c r="A10" s="3380" t="s">
        <v>1272</v>
      </c>
      <c r="B10" s="3367">
        <v>15</v>
      </c>
      <c r="C10" s="3406"/>
      <c r="D10" s="3403"/>
      <c r="E10" s="117" t="s">
        <v>1273</v>
      </c>
      <c r="F10" s="1619"/>
      <c r="G10" s="1619"/>
      <c r="H10" s="1619"/>
      <c r="I10" s="1273"/>
    </row>
    <row r="11" spans="1:12" ht="12.75">
      <c r="A11" s="3380"/>
      <c r="B11" s="3367"/>
      <c r="C11" s="3407"/>
      <c r="D11" s="3403"/>
      <c r="E11" s="117" t="s">
        <v>1274</v>
      </c>
      <c r="F11" s="1619"/>
      <c r="G11" s="1619"/>
      <c r="H11" s="1619"/>
      <c r="I11" s="1273"/>
    </row>
    <row r="12" spans="1:12" ht="12.75">
      <c r="A12" s="3380" t="s">
        <v>1275</v>
      </c>
      <c r="B12" s="3367">
        <v>15</v>
      </c>
      <c r="C12" s="3406"/>
      <c r="D12" s="3403"/>
      <c r="E12" s="117" t="s">
        <v>1276</v>
      </c>
      <c r="F12" s="1619"/>
      <c r="G12" s="1619"/>
      <c r="H12" s="1619"/>
      <c r="I12" s="1273"/>
    </row>
    <row r="13" spans="1:12" ht="12.75">
      <c r="A13" s="3380"/>
      <c r="B13" s="3367"/>
      <c r="C13" s="3407"/>
      <c r="D13" s="3403"/>
      <c r="E13" s="117" t="s">
        <v>1277</v>
      </c>
      <c r="F13" s="1619"/>
      <c r="G13" s="1619"/>
      <c r="H13" s="1619"/>
      <c r="I13" s="1273"/>
    </row>
    <row r="14" spans="1:12" ht="12.75">
      <c r="A14" s="3380" t="s">
        <v>1278</v>
      </c>
      <c r="B14" s="3367">
        <v>30</v>
      </c>
      <c r="C14" s="3383">
        <v>45</v>
      </c>
      <c r="D14" s="3430">
        <v>55</v>
      </c>
      <c r="E14" s="117" t="s">
        <v>1279</v>
      </c>
      <c r="F14" s="1619"/>
      <c r="G14" s="1619"/>
      <c r="H14" s="1619"/>
      <c r="I14" s="1273"/>
    </row>
    <row r="15" spans="1:12" ht="12.75">
      <c r="A15" s="3380"/>
      <c r="B15" s="3367"/>
      <c r="C15" s="3384"/>
      <c r="D15" s="3430"/>
      <c r="E15" s="117" t="s">
        <v>1280</v>
      </c>
      <c r="F15" s="1619"/>
      <c r="G15" s="1619"/>
      <c r="H15" s="1619"/>
      <c r="I15" s="1273"/>
    </row>
    <row r="16" spans="1:12" ht="12.75">
      <c r="A16" s="3380"/>
      <c r="B16" s="3367"/>
      <c r="C16" s="3385"/>
      <c r="D16" s="3430"/>
      <c r="E16" s="117" t="s">
        <v>1281</v>
      </c>
      <c r="F16" s="1619"/>
      <c r="G16" s="1619"/>
      <c r="H16" s="1619"/>
      <c r="I16" s="1273"/>
    </row>
    <row r="17" spans="1:36" ht="15">
      <c r="A17" s="1620" t="s">
        <v>1282</v>
      </c>
      <c r="B17" s="54"/>
      <c r="C17" s="118">
        <f>SUM(C5:C16)</f>
        <v>45</v>
      </c>
      <c r="D17" s="118">
        <f>SUM(D5:D16)</f>
        <v>55</v>
      </c>
      <c r="E17" s="115"/>
      <c r="F17" s="115"/>
      <c r="G17" s="115"/>
      <c r="H17" s="115"/>
      <c r="I17" s="115"/>
      <c r="K17" s="288"/>
      <c r="L17" s="288" t="s">
        <v>1283</v>
      </c>
      <c r="M17" s="288" t="s">
        <v>1284</v>
      </c>
    </row>
    <row r="18" spans="1:36" ht="31.9" customHeight="1" thickBot="1">
      <c r="A18" s="1621" t="s">
        <v>1285</v>
      </c>
      <c r="B18" s="1534"/>
      <c r="C18" s="119">
        <f>ROUND(C17/SUM(C17:D17),2)</f>
        <v>0.45</v>
      </c>
      <c r="D18" s="119">
        <f>1-C18</f>
        <v>0.55000000000000004</v>
      </c>
      <c r="E18" s="3390" t="s">
        <v>2125</v>
      </c>
      <c r="F18" s="3391"/>
      <c r="G18" s="3391"/>
      <c r="H18" s="3391"/>
      <c r="I18" s="3391"/>
      <c r="J18" s="3144">
        <v>45192</v>
      </c>
      <c r="K18" s="288" t="s">
        <v>1286</v>
      </c>
      <c r="L18" s="288">
        <f>IF(C1="",'数据-汇总表'!E3,SUMIF(项目类型,C1,'数据-汇总表'!E17:E26)+SUMIF(项目类型,C1,'数据-汇总表'!I17:I26))</f>
        <v>2852.38</v>
      </c>
      <c r="M18" s="288">
        <f>IF(C1="",'数据-汇总表'!E3,SUMIF(项目类型,C1,'数据-汇总表'!E17:E26))</f>
        <v>2852.38</v>
      </c>
    </row>
    <row r="19" spans="1:36" ht="15">
      <c r="A19" s="1622" t="s">
        <v>1287</v>
      </c>
      <c r="B19" s="1623" t="s">
        <v>1288</v>
      </c>
      <c r="C19" s="120">
        <f ca="1">SUMIF(INDIRECT("'"&amp;C4&amp;"'"&amp;"!A:A"),结果表!B19,INDIRECT("'"&amp;C4&amp;"'"&amp;"!B:B"))</f>
        <v>3862</v>
      </c>
      <c r="D19" s="121">
        <f ca="1">SUMIF(INDIRECT("'"&amp;D4&amp;"'"&amp;"!A:A"),结果表!B19,INDIRECT("'"&amp;D4&amp;"'"&amp;"!B:B"))</f>
        <v>5833</v>
      </c>
      <c r="E19" s="1622" t="s">
        <v>1289</v>
      </c>
      <c r="F19" s="1623" t="s">
        <v>1288</v>
      </c>
      <c r="G19" s="122">
        <f ca="1">ROUND(C19*$C$18+D19*$D$18,0)</f>
        <v>4946</v>
      </c>
      <c r="H19" s="1624" t="s">
        <v>1290</v>
      </c>
      <c r="I19" s="115"/>
      <c r="J19" s="676">
        <v>4893</v>
      </c>
      <c r="K19" s="288" t="s">
        <v>1291</v>
      </c>
      <c r="L19" s="288">
        <f>IF(C1="",'数据-汇总表'!D3,SUMIF(项目类型,C1,'数据-汇总表'!D17:D26)+SUMIF(项目类型,C1,'数据-汇总表'!H17:H27))</f>
        <v>0</v>
      </c>
      <c r="M19" s="288">
        <f>IF(C1="",'数据-汇总表'!D3,SUMIF(项目类型,C1,'数据-汇总表'!D17:D26))</f>
        <v>0</v>
      </c>
    </row>
    <row r="20" spans="1:36" ht="15">
      <c r="A20" s="1625"/>
      <c r="B20" s="43" t="s">
        <v>1292</v>
      </c>
      <c r="C20" s="123">
        <f ca="1">SUMIF(INDIRECT("'"&amp;C4&amp;"'"&amp;"!A:A"),结果表!B20,INDIRECT("'"&amp;C4&amp;"'"&amp;"!B:B"))</f>
        <v>13540</v>
      </c>
      <c r="D20" s="124">
        <f ca="1">SUMIF(INDIRECT("'"&amp;D4&amp;"'"&amp;"!A:A"),结果表!B20,INDIRECT("'"&amp;D4&amp;"'"&amp;"!B:B"))</f>
        <v>20450</v>
      </c>
      <c r="E20" s="1625"/>
      <c r="F20" s="43" t="s">
        <v>1292</v>
      </c>
      <c r="G20" s="125">
        <f ca="1">ROUND(C20*$C$18+D20*$D$18,0)</f>
        <v>17341</v>
      </c>
      <c r="H20" s="753" t="s">
        <v>1293</v>
      </c>
      <c r="I20" s="115"/>
      <c r="J20" s="676">
        <v>17153</v>
      </c>
    </row>
    <row r="21" spans="1:36" ht="15" customHeight="1" thickBot="1">
      <c r="A21" s="443"/>
      <c r="B21" s="93" t="s">
        <v>1294</v>
      </c>
      <c r="C21" s="670" t="e">
        <f ca="1">ROUND(C19*10000/L19,0)</f>
        <v>#DIV/0!</v>
      </c>
      <c r="D21" s="671" t="e">
        <f ca="1">ROUND(D19*10000/L19,0)</f>
        <v>#DIV/0!</v>
      </c>
      <c r="E21" s="443"/>
      <c r="F21" s="93" t="s">
        <v>1294</v>
      </c>
      <c r="G21" s="126" t="e">
        <f ca="1">ROUND(G19*10000/L19,0)</f>
        <v>#DIV/0!</v>
      </c>
      <c r="H21" s="1626" t="s">
        <v>1293</v>
      </c>
      <c r="I21" s="115"/>
    </row>
    <row r="22" spans="1:36" ht="15" thickBot="1">
      <c r="A22" s="1556" t="s">
        <v>1295</v>
      </c>
      <c r="B22" s="1627"/>
      <c r="C22" s="1628"/>
      <c r="D22" s="672">
        <f ca="1">IF(C19&lt;D19,D19/C19-1,C19/D19-1)</f>
        <v>0.51035732780942511</v>
      </c>
      <c r="E22" s="115"/>
      <c r="F22" s="115"/>
      <c r="G22" s="115"/>
      <c r="H22" s="115"/>
      <c r="I22" s="115"/>
    </row>
    <row r="23" spans="1:36" ht="13.5" thickBot="1">
      <c r="A23" s="638"/>
      <c r="B23" s="638"/>
      <c r="C23" s="638"/>
      <c r="D23" s="638"/>
      <c r="E23" s="115"/>
      <c r="F23" s="115"/>
      <c r="G23" s="115"/>
      <c r="H23" s="115"/>
      <c r="I23" s="115"/>
    </row>
    <row r="24" spans="1:36" ht="14.25">
      <c r="A24" s="3374" t="s">
        <v>1296</v>
      </c>
      <c r="B24" s="1623" t="s">
        <v>1288</v>
      </c>
      <c r="C24" s="122">
        <f>IF(B30=0,0,D30)</f>
        <v>0</v>
      </c>
      <c r="D24" s="1629"/>
      <c r="E24" s="115"/>
      <c r="F24" s="115"/>
      <c r="G24" s="115"/>
      <c r="H24" s="115"/>
      <c r="I24" s="115"/>
    </row>
    <row r="25" spans="1:36" ht="14.25">
      <c r="A25" s="3375"/>
      <c r="B25" s="43" t="s">
        <v>1292</v>
      </c>
      <c r="C25" s="127">
        <f>IF(B30=0,0,C30)</f>
        <v>0</v>
      </c>
      <c r="D25" s="1630"/>
      <c r="E25" s="115"/>
      <c r="F25" s="115"/>
      <c r="G25" s="115"/>
      <c r="H25" s="115"/>
      <c r="I25" s="115"/>
    </row>
    <row r="26" spans="1:36" ht="13.5" customHeight="1">
      <c r="A26" s="1631" t="s">
        <v>1297</v>
      </c>
      <c r="B26" s="128" t="s">
        <v>1298</v>
      </c>
      <c r="C26" s="128" t="s">
        <v>1299</v>
      </c>
      <c r="D26" s="129" t="s">
        <v>1300</v>
      </c>
      <c r="E26" s="115"/>
      <c r="F26" s="115"/>
      <c r="G26" s="115"/>
      <c r="H26" s="115"/>
      <c r="I26" s="115"/>
    </row>
    <row r="27" spans="1:36" ht="14.25">
      <c r="A27" s="1631"/>
      <c r="B27" s="128">
        <v>0</v>
      </c>
      <c r="C27" s="128">
        <v>0</v>
      </c>
      <c r="D27" s="129">
        <f>ROUND(C27*B27/10000,0)</f>
        <v>0</v>
      </c>
      <c r="E27" s="115"/>
      <c r="F27" s="115"/>
      <c r="G27" s="115"/>
      <c r="H27" s="115"/>
      <c r="I27" s="115"/>
    </row>
    <row r="28" spans="1:36" ht="14.25">
      <c r="A28" s="1631"/>
      <c r="B28" s="128"/>
      <c r="C28" s="128"/>
      <c r="D28" s="129"/>
      <c r="E28" s="115"/>
      <c r="F28" s="115"/>
      <c r="G28" s="115"/>
      <c r="H28" s="115"/>
      <c r="I28" s="115"/>
    </row>
    <row r="29" spans="1:36" ht="14.25">
      <c r="A29" s="1631"/>
      <c r="B29" s="128"/>
      <c r="C29" s="128"/>
      <c r="D29" s="129"/>
      <c r="E29" s="115"/>
      <c r="F29" s="115"/>
      <c r="G29" s="115"/>
      <c r="H29" s="115"/>
      <c r="I29" s="115"/>
    </row>
    <row r="30" spans="1:36" ht="15" thickBot="1">
      <c r="A30" s="128" t="s">
        <v>1301</v>
      </c>
      <c r="B30" s="128"/>
      <c r="C30" s="128"/>
      <c r="D30" s="128"/>
      <c r="E30" s="2119" t="s">
        <v>2126</v>
      </c>
      <c r="F30" s="115"/>
      <c r="G30" s="115"/>
      <c r="H30" s="115"/>
      <c r="I30" s="115"/>
    </row>
    <row r="31" spans="1:36" s="2125" customFormat="1" ht="26.45" customHeight="1" thickTop="1" thickBot="1">
      <c r="A31" s="2120"/>
      <c r="B31" s="2121"/>
      <c r="C31" s="2121"/>
      <c r="D31" s="2121"/>
      <c r="E31" s="2121"/>
      <c r="F31" s="2121"/>
      <c r="G31" s="2121"/>
      <c r="H31" s="2121"/>
      <c r="I31" s="2122" t="s">
        <v>2127</v>
      </c>
      <c r="J31" s="244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2" t="s">
        <v>1302</v>
      </c>
      <c r="B32" s="1527"/>
      <c r="C32" s="130">
        <f ca="1">IF(D32="总价",G19-C24,G20-C25)</f>
        <v>4946</v>
      </c>
      <c r="D32" s="1633" t="s">
        <v>3731</v>
      </c>
      <c r="E32" s="115"/>
      <c r="F32" s="115"/>
      <c r="G32" s="115"/>
      <c r="H32" s="115"/>
      <c r="I32" s="115"/>
    </row>
    <row r="33" spans="1:15" ht="15">
      <c r="A33" s="733" t="s">
        <v>1303</v>
      </c>
      <c r="B33" s="117"/>
      <c r="C33" s="1634" t="s">
        <v>3732</v>
      </c>
      <c r="D33" s="1635" t="s">
        <v>3729</v>
      </c>
      <c r="E33" s="1636" t="s">
        <v>1304</v>
      </c>
      <c r="F33" s="1637" t="str">
        <f>IF(D32="楼面单价","取值（单价）","取值（总价）")</f>
        <v>取值（总价）</v>
      </c>
      <c r="G33" s="115"/>
      <c r="H33" s="115"/>
      <c r="I33" s="115"/>
    </row>
    <row r="34" spans="1:15" ht="15">
      <c r="A34" s="1638"/>
      <c r="B34" s="1639" t="s">
        <v>1305</v>
      </c>
      <c r="C34" s="134">
        <f ca="1">IF(C33="自定义",F34,C32-C35)</f>
        <v>2458</v>
      </c>
      <c r="D34" s="801">
        <f ca="1">IF(C33="自定义",ROUND(C34/C32,3),IF(C33="收益比率",SUMIF(INDIRECT("'"&amp;D33&amp;"'"&amp;"!b:b"),"土地收益比率",INDIRECT("'"&amp;D33&amp;"'"&amp;"!c:c")),SUMIF(INDIRECT("'"&amp;D33&amp;"'"&amp;"!b:b"),"土地成本比率",INDIRECT("'"&amp;D33&amp;"'"&amp;"!c:c"))))</f>
        <v>0.497</v>
      </c>
      <c r="E34" s="1640" t="s">
        <v>1306</v>
      </c>
      <c r="F34" s="1236"/>
      <c r="G34" s="115"/>
      <c r="H34" s="115"/>
      <c r="I34" s="115"/>
    </row>
    <row r="35" spans="1:15" ht="15.75" thickBot="1">
      <c r="A35" s="1641"/>
      <c r="B35" s="1642" t="s">
        <v>1307</v>
      </c>
      <c r="C35" s="1083">
        <f ca="1">IF(C33="自定义",F35,ROUND(C32*D35,0))</f>
        <v>2488</v>
      </c>
      <c r="D35" s="1084">
        <f ca="1">IF(C33="自定义",ROUND(C35/C32,3),IF(C33="收益比率",SUMIF(INDIRECT("'"&amp;D33&amp;"'"&amp;"!b:b"),"建筑物收益比率",INDIRECT("'"&amp;D33&amp;"'"&amp;"!c:c")),SUMIF(INDIRECT("'"&amp;D33&amp;"'"&amp;"!b:b"),"建筑物成本比率",INDIRECT("'"&amp;D33&amp;"'"&amp;"!c:c"))))</f>
        <v>0.503</v>
      </c>
      <c r="E35" s="1643" t="s">
        <v>1308</v>
      </c>
      <c r="F35" s="140"/>
      <c r="G35" s="115"/>
      <c r="H35" s="115"/>
      <c r="I35" s="115"/>
    </row>
    <row r="36" spans="1:15" ht="15.75" thickBot="1">
      <c r="A36" s="3394" t="s">
        <v>1309</v>
      </c>
      <c r="B36" s="1644" t="s">
        <v>1310</v>
      </c>
      <c r="C36" s="131"/>
      <c r="D36" s="1645"/>
      <c r="E36" s="1559"/>
      <c r="F36" s="1646"/>
      <c r="G36" s="115"/>
      <c r="H36" s="115"/>
      <c r="I36" s="115"/>
    </row>
    <row r="37" spans="1:15" ht="15.75" thickBot="1">
      <c r="A37" s="3395"/>
      <c r="B37" s="1547" t="s">
        <v>1311</v>
      </c>
      <c r="C37" s="133"/>
      <c r="D37" s="1064"/>
      <c r="E37" s="1064"/>
      <c r="F37" s="1646"/>
      <c r="G37" s="115"/>
      <c r="H37" s="115"/>
      <c r="I37" s="115"/>
    </row>
    <row r="38" spans="1:15" ht="15.75" thickBot="1">
      <c r="A38" s="3396"/>
      <c r="B38" s="1647" t="s">
        <v>1312</v>
      </c>
      <c r="C38" s="633"/>
      <c r="D38" s="1648" t="s">
        <v>1313</v>
      </c>
      <c r="E38" s="1064"/>
      <c r="F38" s="1646"/>
      <c r="G38" s="115"/>
      <c r="H38" s="115"/>
      <c r="I38" s="115"/>
    </row>
    <row r="39" spans="1:15" ht="15">
      <c r="A39" s="1625" t="s">
        <v>1314</v>
      </c>
      <c r="B39" s="1649" t="s">
        <v>1315</v>
      </c>
      <c r="C39" s="1650" t="s">
        <v>1316</v>
      </c>
      <c r="D39" s="1650" t="s">
        <v>1317</v>
      </c>
      <c r="E39" s="1651" t="s">
        <v>1318</v>
      </c>
      <c r="F39" s="1646"/>
      <c r="G39" s="115"/>
      <c r="H39" s="115"/>
      <c r="I39" s="115"/>
    </row>
    <row r="40" spans="1:15" ht="14.25">
      <c r="A40" s="1652" t="s">
        <v>1319</v>
      </c>
      <c r="B40" s="135"/>
      <c r="C40" s="136"/>
      <c r="D40" s="136"/>
      <c r="E40" s="137"/>
      <c r="F40" s="1646"/>
      <c r="G40" s="115"/>
      <c r="H40" s="115"/>
      <c r="I40" s="115"/>
    </row>
    <row r="41" spans="1:15" ht="14.25">
      <c r="A41" s="1652" t="s">
        <v>1320</v>
      </c>
      <c r="B41" s="135"/>
      <c r="C41" s="136"/>
      <c r="D41" s="136"/>
      <c r="E41" s="137"/>
      <c r="F41" s="1646"/>
      <c r="G41" s="115"/>
      <c r="H41" s="115"/>
      <c r="I41" s="115"/>
    </row>
    <row r="42" spans="1:15" ht="15" thickBot="1">
      <c r="A42" s="1653"/>
      <c r="B42" s="138"/>
      <c r="C42" s="139"/>
      <c r="D42" s="139"/>
      <c r="E42" s="140"/>
      <c r="F42" s="1646"/>
      <c r="G42" s="115"/>
      <c r="H42" s="115"/>
      <c r="I42" s="115"/>
    </row>
    <row r="43" spans="1:15" ht="12.75">
      <c r="A43" s="1459"/>
      <c r="B43" s="1459"/>
      <c r="C43" s="1459"/>
      <c r="D43" s="1459"/>
      <c r="E43" s="1459"/>
      <c r="F43" s="1654"/>
      <c r="G43" s="1654"/>
      <c r="H43" s="1654"/>
      <c r="I43" s="1655"/>
    </row>
    <row r="44" spans="1:15" ht="18.75">
      <c r="A44" s="1456" t="s">
        <v>1321</v>
      </c>
      <c r="B44" s="1656"/>
      <c r="C44" s="1656"/>
      <c r="D44" s="1657"/>
      <c r="E44" s="1657"/>
      <c r="F44" s="1658"/>
      <c r="G44" s="1658"/>
      <c r="H44" s="1658"/>
      <c r="I44" s="1658"/>
      <c r="J44" s="1659" t="s">
        <v>1322</v>
      </c>
      <c r="K44" s="4"/>
      <c r="L44" s="4"/>
      <c r="M44" s="4"/>
      <c r="N44" s="4"/>
      <c r="O44" s="4"/>
    </row>
    <row r="45" spans="1:15" ht="14.25" customHeight="1" thickBot="1">
      <c r="A45" s="3371" t="s">
        <v>1323</v>
      </c>
      <c r="B45" s="3372"/>
      <c r="C45" s="3373"/>
      <c r="D45" s="141">
        <f ca="1">ROUND(H101*F45,0)</f>
        <v>4946</v>
      </c>
      <c r="E45" s="142" t="s">
        <v>1324</v>
      </c>
      <c r="F45" s="143">
        <v>1</v>
      </c>
      <c r="G45" s="144" t="s">
        <v>1325</v>
      </c>
      <c r="H45" s="115"/>
      <c r="I45" s="115"/>
      <c r="J45" s="3453" t="s">
        <v>1326</v>
      </c>
      <c r="K45" s="3453"/>
      <c r="L45" s="3453"/>
      <c r="M45" s="3453"/>
      <c r="N45" s="3453"/>
      <c r="O45" s="3453"/>
    </row>
    <row r="46" spans="1:15" ht="14.25" customHeight="1">
      <c r="A46" s="3368" t="s">
        <v>1327</v>
      </c>
      <c r="B46" s="3369"/>
      <c r="C46" s="3369"/>
      <c r="D46" s="3369"/>
      <c r="E46" s="3369"/>
      <c r="F46" s="3369"/>
      <c r="G46" s="3370"/>
      <c r="H46" s="1660"/>
      <c r="I46" s="145"/>
      <c r="J46" s="2293">
        <v>1</v>
      </c>
      <c r="K46" s="3434" t="s">
        <v>1328</v>
      </c>
      <c r="L46" s="3434"/>
      <c r="M46" s="3454"/>
      <c r="N46" s="3454"/>
      <c r="O46" s="3454"/>
    </row>
    <row r="47" spans="1:15" ht="12" customHeight="1">
      <c r="A47" s="146" t="s">
        <v>1329</v>
      </c>
      <c r="B47" s="147"/>
      <c r="C47" s="148"/>
      <c r="D47" s="1017" t="s">
        <v>1330</v>
      </c>
      <c r="E47" s="288" t="s">
        <v>1331</v>
      </c>
      <c r="F47" s="149" t="s">
        <v>1332</v>
      </c>
      <c r="G47" s="2316" t="s">
        <v>1333</v>
      </c>
      <c r="H47" s="2317"/>
      <c r="I47" s="145"/>
      <c r="J47" s="2293">
        <v>2</v>
      </c>
      <c r="K47" s="3434" t="s">
        <v>1334</v>
      </c>
      <c r="L47" s="3434"/>
      <c r="M47" s="3455">
        <f>'数据-取费表'!B2</f>
        <v>45418</v>
      </c>
      <c r="N47" s="3455"/>
      <c r="O47" s="3455"/>
    </row>
    <row r="48" spans="1:15" ht="25.5">
      <c r="A48" s="3399" t="s">
        <v>1335</v>
      </c>
      <c r="B48" s="3382"/>
      <c r="C48" s="3382"/>
      <c r="D48" s="12" t="b">
        <f>IF(H48="情况1",0,IF(H48="情况2",D52,IF(H48="情况3",D53,IF(H48="情况4",D54))))</f>
        <v>0</v>
      </c>
      <c r="E48" s="1248" t="str">
        <f>IF(H48="情况4","(销售额-原购置价)×税（费）率","销售额×税（费）率")</f>
        <v>销售额×税（费）率</v>
      </c>
      <c r="F48" s="2318">
        <f>IF(H48="情况1","免征",'数据-取费表'!B41)</f>
        <v>5.6000000000000001E-2</v>
      </c>
      <c r="G48" s="2319" t="s">
        <v>1336</v>
      </c>
      <c r="H48" s="2320"/>
      <c r="I48" s="1660"/>
      <c r="J48" s="2293">
        <v>3</v>
      </c>
      <c r="K48" s="3434" t="s">
        <v>1337</v>
      </c>
      <c r="L48" s="3434"/>
      <c r="M48" s="3456">
        <f ca="1">H101</f>
        <v>4946</v>
      </c>
      <c r="N48" s="3456"/>
      <c r="O48" s="3456"/>
    </row>
    <row r="49" spans="1:35" ht="25.5" customHeight="1">
      <c r="A49" s="2144" t="s">
        <v>1338</v>
      </c>
      <c r="B49" s="3366" t="s">
        <v>1339</v>
      </c>
      <c r="C49" s="3366"/>
      <c r="D49" s="1470">
        <v>0</v>
      </c>
      <c r="E49" s="310" t="s">
        <v>1340</v>
      </c>
      <c r="F49" s="2224" t="s">
        <v>28</v>
      </c>
      <c r="G49" s="3440"/>
      <c r="H49" s="2126" t="s">
        <v>2128</v>
      </c>
      <c r="I49" s="2127"/>
      <c r="J49" s="2293">
        <v>4</v>
      </c>
      <c r="K49" s="3434" t="str">
        <f>IF(项目基本情况!E8="房地产抵押价值","房地产抵押价值","抵押担保权已注销时的房地产抵押价值")</f>
        <v>抵押担保权已注销时的房地产抵押价值</v>
      </c>
      <c r="L49" s="3434"/>
      <c r="M49" s="3456" t="str">
        <f>IF(项目基本情况!E8="房地产抵押价值",H107,H109)</f>
        <v>——</v>
      </c>
      <c r="N49" s="3456"/>
      <c r="O49" s="3456"/>
    </row>
    <row r="50" spans="1:35" ht="25.5" customHeight="1">
      <c r="A50" s="2321"/>
      <c r="B50" s="3366" t="s">
        <v>1341</v>
      </c>
      <c r="C50" s="3366"/>
      <c r="D50" s="2181"/>
      <c r="E50" s="317"/>
      <c r="F50" s="2224"/>
      <c r="G50" s="3441"/>
      <c r="H50" s="2128" t="s">
        <v>2129</v>
      </c>
      <c r="I50" s="2127"/>
      <c r="J50" s="3453" t="s">
        <v>1342</v>
      </c>
      <c r="K50" s="3453"/>
      <c r="L50" s="3453"/>
      <c r="M50" s="3453"/>
      <c r="N50" s="3453"/>
      <c r="O50" s="3453"/>
    </row>
    <row r="51" spans="1:35" ht="20.45" customHeight="1">
      <c r="A51" s="2322"/>
      <c r="B51" s="3366" t="s">
        <v>1343</v>
      </c>
      <c r="C51" s="3366"/>
      <c r="D51" s="1017"/>
      <c r="E51" s="313"/>
      <c r="F51" s="2224"/>
      <c r="G51" s="3442"/>
      <c r="H51" s="2128" t="s">
        <v>2130</v>
      </c>
      <c r="I51" s="2127"/>
      <c r="J51" s="2294" t="s">
        <v>1344</v>
      </c>
      <c r="K51" s="3434" t="s">
        <v>1345</v>
      </c>
      <c r="L51" s="3434"/>
      <c r="M51" s="2294" t="s">
        <v>1346</v>
      </c>
      <c r="N51" s="2294" t="s">
        <v>1347</v>
      </c>
      <c r="O51" s="2294" t="s">
        <v>1348</v>
      </c>
    </row>
    <row r="52" spans="1:35" ht="24" customHeight="1">
      <c r="A52" s="2145" t="s">
        <v>1349</v>
      </c>
      <c r="B52" s="3366" t="s">
        <v>1350</v>
      </c>
      <c r="C52" s="3366"/>
      <c r="D52" s="1017">
        <f ca="1">ROUND(D45*'数据-取费表'!B41/(1+'数据-取费表'!C42),0)</f>
        <v>264</v>
      </c>
      <c r="E52" s="1248" t="s">
        <v>1351</v>
      </c>
      <c r="F52" s="2323">
        <f>'数据-取费表'!B41</f>
        <v>5.6000000000000001E-2</v>
      </c>
      <c r="G52" s="2324"/>
      <c r="H52" s="2314"/>
      <c r="I52" s="1661"/>
      <c r="J52" s="2293">
        <v>1</v>
      </c>
      <c r="K52" s="3435" t="s">
        <v>1352</v>
      </c>
      <c r="L52" s="3435"/>
      <c r="M52" s="2295" t="b">
        <f>D48</f>
        <v>0</v>
      </c>
      <c r="N52" s="2293" t="str">
        <f>E48</f>
        <v>销售额×税（费）率</v>
      </c>
      <c r="O52" s="2296">
        <f>F48</f>
        <v>5.6000000000000001E-2</v>
      </c>
    </row>
    <row r="53" spans="1:35" ht="12" customHeight="1">
      <c r="A53" s="2145" t="s">
        <v>1353</v>
      </c>
      <c r="B53" s="3392" t="s">
        <v>2285</v>
      </c>
      <c r="C53" s="3393"/>
      <c r="D53" s="1017">
        <f ca="1">ROUND(D45*'数据-取费表'!B41/(1+'数据-取费表'!C42),0)</f>
        <v>264</v>
      </c>
      <c r="E53" s="1248" t="s">
        <v>1351</v>
      </c>
      <c r="F53" s="2323">
        <f>'数据-取费表'!B41</f>
        <v>5.6000000000000001E-2</v>
      </c>
      <c r="G53" s="2324"/>
      <c r="H53" s="2314"/>
      <c r="I53" s="1661"/>
      <c r="J53" s="2293">
        <v>2</v>
      </c>
      <c r="K53" s="3435" t="s">
        <v>1354</v>
      </c>
      <c r="L53" s="3435"/>
      <c r="M53" s="2295">
        <f t="shared" ref="M53:O54" ca="1" si="0">D55</f>
        <v>2</v>
      </c>
      <c r="N53" s="2293" t="str">
        <f t="shared" si="0"/>
        <v>销售额×税（费）率</v>
      </c>
      <c r="O53" s="2296" t="str">
        <f t="shared" si="0"/>
        <v>免征</v>
      </c>
    </row>
    <row r="54" spans="1:35" ht="12" customHeight="1">
      <c r="A54" s="2145" t="s">
        <v>1355</v>
      </c>
      <c r="B54" s="3392" t="s">
        <v>2286</v>
      </c>
      <c r="C54" s="3393"/>
      <c r="D54" s="1017">
        <f ca="1">C68</f>
        <v>264</v>
      </c>
      <c r="E54" s="313" t="s">
        <v>1356</v>
      </c>
      <c r="F54" s="2323">
        <f>'数据-取费表'!B41</f>
        <v>5.6000000000000001E-2</v>
      </c>
      <c r="G54" s="2324"/>
      <c r="H54" s="2325"/>
      <c r="I54" s="1661"/>
      <c r="J54" s="2293">
        <v>3</v>
      </c>
      <c r="K54" s="3435" t="s">
        <v>1357</v>
      </c>
      <c r="L54" s="3435"/>
      <c r="M54" s="2295">
        <f t="shared" ca="1" si="0"/>
        <v>2799</v>
      </c>
      <c r="N54" s="2293" t="str">
        <f t="shared" si="0"/>
        <v>增值额×税（费）率</v>
      </c>
      <c r="O54" s="2297" t="str">
        <f t="shared" si="0"/>
        <v>免征</v>
      </c>
    </row>
    <row r="55" spans="1:35" ht="24" customHeight="1">
      <c r="A55" s="3381" t="s">
        <v>1358</v>
      </c>
      <c r="B55" s="3382"/>
      <c r="C55" s="3382"/>
      <c r="D55" s="12">
        <f ca="1">IF(H55="个人住宅",0,ROUND(D45*I55,0))</f>
        <v>2</v>
      </c>
      <c r="E55" s="1248" t="s">
        <v>1359</v>
      </c>
      <c r="F55" s="2323" t="str">
        <f>IF(H55="正常",I55,"免征")</f>
        <v>免征</v>
      </c>
      <c r="G55" s="2324"/>
      <c r="H55" s="2320"/>
      <c r="I55" s="151">
        <f>'数据-取费表'!B49</f>
        <v>5.0000000000000001E-4</v>
      </c>
      <c r="J55" s="2293">
        <f>IF(H59="非个人房产","",4)</f>
        <v>4</v>
      </c>
      <c r="K55" s="3435" t="str">
        <f>IF(H59="非个人房产","——","个人所得税")</f>
        <v>个人所得税</v>
      </c>
      <c r="L55" s="3435"/>
      <c r="M55" s="2298">
        <f ca="1">D59</f>
        <v>47</v>
      </c>
      <c r="N55" s="1875" t="str">
        <f>E59</f>
        <v>差额计税</v>
      </c>
      <c r="O55" s="2299">
        <f>F59</f>
        <v>0.01</v>
      </c>
    </row>
    <row r="56" spans="1:35" ht="24.75">
      <c r="A56" s="3381" t="s">
        <v>1360</v>
      </c>
      <c r="B56" s="3382"/>
      <c r="C56" s="3382"/>
      <c r="D56" s="12">
        <f ca="1">IF(H56="个人住宅",D57,D58)</f>
        <v>2799</v>
      </c>
      <c r="E56" s="1248" t="s">
        <v>1361</v>
      </c>
      <c r="F56" s="2323" t="str">
        <f>IF(H56="正常",F58,"免征")</f>
        <v>免征</v>
      </c>
      <c r="G56" s="2326" t="s">
        <v>1362</v>
      </c>
      <c r="H56" s="2327"/>
      <c r="I56" s="1662"/>
      <c r="J56" s="2293" t="str">
        <f>IF(项目基本情况!K6="上海银行",IF(J55="",4,J55+1),"")</f>
        <v/>
      </c>
      <c r="K56" s="3458" t="str">
        <f>IF(项目基本情况!K6="上海银行","其他处置费用","")</f>
        <v/>
      </c>
      <c r="L56" s="3459"/>
      <c r="M56" s="2295" t="str">
        <f>IF(项目基本情况!K6="上海银行",M69,"")</f>
        <v/>
      </c>
      <c r="N56" s="3458" t="str">
        <f>IF(项目基本情况!K6="上海银行","包含处置中涉及的律师、诉讼、拍卖、评估等费用","")</f>
        <v/>
      </c>
      <c r="O56" s="3461"/>
    </row>
    <row r="57" spans="1:35" ht="12.75">
      <c r="A57" s="2145" t="s">
        <v>1338</v>
      </c>
      <c r="B57" s="3392" t="s">
        <v>1363</v>
      </c>
      <c r="C57" s="3393"/>
      <c r="D57" s="1470">
        <v>0</v>
      </c>
      <c r="E57" s="310" t="s">
        <v>1340</v>
      </c>
      <c r="F57" s="288"/>
      <c r="G57" s="2324"/>
      <c r="H57" s="2328"/>
      <c r="I57" s="1662"/>
      <c r="J57" s="3435">
        <f>IF(AND(J55="",J56=""),4,IF(项目基本情况!K6="上海银行",结果表!J56+1,结果表!J55+1))</f>
        <v>5</v>
      </c>
      <c r="K57" s="3435" t="s">
        <v>1364</v>
      </c>
      <c r="L57" s="2300" t="s">
        <v>1365</v>
      </c>
      <c r="M57" s="2301"/>
      <c r="N57" s="2302">
        <f ca="1">SUMIF(M52:M56,"&lt;9e307")</f>
        <v>2848</v>
      </c>
      <c r="O57" s="2303"/>
      <c r="P57" s="2445" t="e">
        <f ca="1">N57/M49</f>
        <v>#VALUE!</v>
      </c>
    </row>
    <row r="58" spans="1:35" ht="24.75">
      <c r="A58" s="2145" t="s">
        <v>1349</v>
      </c>
      <c r="B58" s="3392" t="s">
        <v>1366</v>
      </c>
      <c r="C58" s="3366"/>
      <c r="D58" s="12">
        <f ca="1">IF(H58="转让取得",C81,C97)</f>
        <v>2799</v>
      </c>
      <c r="E58" s="1248" t="s">
        <v>1361</v>
      </c>
      <c r="F58" s="288" t="s">
        <v>28</v>
      </c>
      <c r="G58" s="2324"/>
      <c r="H58" s="2327"/>
      <c r="I58" s="1662"/>
      <c r="J58" s="3435"/>
      <c r="K58" s="3435"/>
      <c r="L58" s="2300" t="s">
        <v>1367</v>
      </c>
      <c r="M58" s="2304"/>
      <c r="N58" s="2305" t="str">
        <f ca="1">NUMBERSTRING(INT(N57*10000),2)&amp;"元整"</f>
        <v>贰仟捌佰肆拾捌万元整</v>
      </c>
      <c r="O58" s="2306"/>
    </row>
    <row r="59" spans="1:35" ht="24.75" thickBot="1">
      <c r="A59" s="3438" t="s">
        <v>1368</v>
      </c>
      <c r="B59" s="3439"/>
      <c r="C59" s="3439"/>
      <c r="D59" s="2329">
        <f ca="1">IF(H59="非个人房产","——",IF(H59="个人住宅（满五唯一有凭证）",0,IF(H59="个人其他（无凭证）",ROUND(D45*F59,0),ROUND(C67*F59,0))))</f>
        <v>47</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1362</v>
      </c>
      <c r="H59" s="2130"/>
      <c r="I59" s="2129" t="s">
        <v>2131</v>
      </c>
      <c r="J59" s="3436">
        <f>J57+1</f>
        <v>6</v>
      </c>
      <c r="K59" s="3435" t="s">
        <v>1369</v>
      </c>
      <c r="L59" s="2293" t="s">
        <v>1365</v>
      </c>
      <c r="M59" s="2307"/>
      <c r="N59" s="2308" t="e">
        <f ca="1">M49-N57</f>
        <v>#VALUE!</v>
      </c>
      <c r="O59" s="2309"/>
    </row>
    <row r="60" spans="1:35" ht="12" customHeight="1">
      <c r="A60" s="1663"/>
      <c r="B60" s="638"/>
      <c r="C60" s="638"/>
      <c r="D60" s="638"/>
      <c r="E60" s="1458"/>
      <c r="F60" s="1662"/>
      <c r="G60" s="1662"/>
      <c r="H60" s="145"/>
      <c r="I60" s="115"/>
      <c r="J60" s="3437"/>
      <c r="K60" s="3435"/>
      <c r="L60" s="2300" t="s">
        <v>1367</v>
      </c>
      <c r="M60" s="2304"/>
      <c r="N60" s="2305" t="e">
        <f ca="1">NUMBERSTRING(INT(N59*10000),2)&amp;"元整"</f>
        <v>#VALUE!</v>
      </c>
      <c r="O60" s="2306"/>
    </row>
    <row r="61" spans="1:35" ht="13.5" thickBot="1">
      <c r="A61" s="3379" t="s">
        <v>1370</v>
      </c>
      <c r="B61" s="3379"/>
      <c r="C61" s="3379"/>
      <c r="D61" s="3379"/>
      <c r="E61" s="3379"/>
      <c r="F61" s="1662"/>
      <c r="G61" s="1662"/>
      <c r="H61" s="145"/>
      <c r="I61" s="115"/>
      <c r="J61" s="2293">
        <f>J59+1</f>
        <v>7</v>
      </c>
      <c r="K61" s="3435" t="s">
        <v>1371</v>
      </c>
      <c r="L61" s="3435"/>
      <c r="M61" s="2310"/>
      <c r="N61" s="2311" t="e">
        <f ca="1">ROUND(N59*10000/'数据-汇总表'!E3,0)</f>
        <v>#VALUE!</v>
      </c>
      <c r="O61" s="2312"/>
    </row>
    <row r="62" spans="1:35" ht="12.75">
      <c r="A62" s="3397" t="s">
        <v>1372</v>
      </c>
      <c r="B62" s="3398"/>
      <c r="C62" s="1857"/>
      <c r="D62" s="1857" t="s">
        <v>1373</v>
      </c>
      <c r="E62" s="152" t="s">
        <v>1374</v>
      </c>
      <c r="F62" s="1662"/>
      <c r="G62" s="1662"/>
      <c r="H62" s="145"/>
      <c r="I62" s="115"/>
    </row>
    <row r="63" spans="1:35" ht="12.75">
      <c r="A63" s="159" t="s">
        <v>330</v>
      </c>
      <c r="B63" s="153" t="s">
        <v>1375</v>
      </c>
      <c r="C63" s="2333">
        <f ca="1">ROUND((C64+C65)/(1+'数据-取费表'!C42),0)</f>
        <v>4710</v>
      </c>
      <c r="D63" s="153"/>
      <c r="E63" s="154"/>
      <c r="F63" s="1662"/>
      <c r="G63" s="1662"/>
      <c r="H63" s="145"/>
      <c r="I63" s="115"/>
      <c r="J63" s="3460" t="s">
        <v>1376</v>
      </c>
      <c r="K63" s="1237" t="s">
        <v>1377</v>
      </c>
      <c r="L63" s="1237" t="e">
        <f>IF(M49&gt;10000,M49*0.5%,IF(AND(M49&gt;1000,M49&lt;=10000),M49*1%,IF(AND(M49&gt;100,M49&lt;=1000),M49*3%,IF(AND(M49&gt;10,M49&lt;=100),M49*5%,M49*8%))))</f>
        <v>#VALUE!</v>
      </c>
      <c r="M63" s="288" t="e">
        <f>ROUND(L63,1)</f>
        <v>#VALUE!</v>
      </c>
      <c r="N63" s="2313"/>
      <c r="Z63" s="1615"/>
      <c r="AI63" s="1553"/>
    </row>
    <row r="64" spans="1:35" ht="14.25" customHeight="1">
      <c r="A64" s="155" t="s">
        <v>325</v>
      </c>
      <c r="B64" s="156" t="s">
        <v>1378</v>
      </c>
      <c r="C64" s="2334">
        <f ca="1">D45</f>
        <v>4946</v>
      </c>
      <c r="D64" s="156" t="s">
        <v>26</v>
      </c>
      <c r="E64" s="158"/>
      <c r="F64" s="1662"/>
      <c r="G64" s="1662"/>
      <c r="H64" s="145"/>
      <c r="I64" s="115"/>
      <c r="J64" s="3460"/>
      <c r="K64" s="1237" t="s">
        <v>1379</v>
      </c>
      <c r="L64" s="1237"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14" t="s">
        <v>1380</v>
      </c>
      <c r="Z64" s="1615"/>
      <c r="AI64" s="1553"/>
    </row>
    <row r="65" spans="1:35" ht="14.25" customHeight="1">
      <c r="A65" s="155" t="s">
        <v>326</v>
      </c>
      <c r="B65" s="156" t="s">
        <v>1381</v>
      </c>
      <c r="C65" s="2335"/>
      <c r="D65" s="156"/>
      <c r="E65" s="158"/>
      <c r="F65" s="1662"/>
      <c r="G65" s="1662"/>
      <c r="H65" s="145"/>
      <c r="I65" s="115"/>
      <c r="J65" s="3460"/>
      <c r="K65" s="1237" t="s">
        <v>1382</v>
      </c>
      <c r="L65" s="1237" t="e">
        <f>IF(M49&gt;1000,M49*0.1%,IF(AND(M49&gt;500,M49&lt;=1000),M49*0.5%,IF(AND(M49&gt;50,M49&lt;=500),M49*1%,IF(AND(M49&gt;1,M49&lt;=50),M49*1.5%))))</f>
        <v>#VALUE!</v>
      </c>
      <c r="M65" s="288" t="e">
        <f t="shared" si="1"/>
        <v>#VALUE!</v>
      </c>
      <c r="N65" s="2314" t="s">
        <v>1380</v>
      </c>
      <c r="Z65" s="1615"/>
      <c r="AI65" s="1553"/>
    </row>
    <row r="66" spans="1:35" ht="14.25" customHeight="1">
      <c r="A66" s="159" t="s">
        <v>327</v>
      </c>
      <c r="B66" s="160" t="s">
        <v>1383</v>
      </c>
      <c r="C66" s="2336"/>
      <c r="D66" s="160" t="s">
        <v>26</v>
      </c>
      <c r="E66" s="1243" t="s">
        <v>668</v>
      </c>
      <c r="F66" s="1662"/>
      <c r="G66" s="1662"/>
      <c r="H66" s="145"/>
      <c r="I66" s="115"/>
      <c r="J66" s="3460"/>
      <c r="K66" s="1237" t="s">
        <v>1384</v>
      </c>
      <c r="L66" s="1237" t="e">
        <f>M49*0.5%</f>
        <v>#VALUE!</v>
      </c>
      <c r="M66" s="288" t="e">
        <f>IF(L66&gt;0.5,0.5,ROUND(L66,0))</f>
        <v>#VALUE!</v>
      </c>
      <c r="N66" s="2314" t="s">
        <v>1385</v>
      </c>
      <c r="Z66" s="1615"/>
      <c r="AI66" s="1553"/>
    </row>
    <row r="67" spans="1:35" ht="14.25" customHeight="1">
      <c r="A67" s="159" t="s">
        <v>328</v>
      </c>
      <c r="B67" s="160" t="s">
        <v>1386</v>
      </c>
      <c r="C67" s="2337">
        <f ca="1">C63-C66</f>
        <v>4710</v>
      </c>
      <c r="D67" s="156" t="s">
        <v>26</v>
      </c>
      <c r="E67" s="158"/>
      <c r="F67" s="1662"/>
      <c r="G67" s="1662"/>
      <c r="H67" s="145"/>
      <c r="I67" s="115"/>
      <c r="J67" s="3460"/>
      <c r="K67" s="1237" t="s">
        <v>1387</v>
      </c>
      <c r="L67" s="1237"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13"/>
      <c r="Z67" s="1615"/>
      <c r="AI67" s="1553"/>
    </row>
    <row r="68" spans="1:35" ht="14.25" customHeight="1" thickBot="1">
      <c r="A68" s="162" t="s">
        <v>329</v>
      </c>
      <c r="B68" s="163" t="s">
        <v>1388</v>
      </c>
      <c r="C68" s="2338">
        <f ca="1">IF(C67&lt;=0,0,ROUND(C67*D68,0))</f>
        <v>264</v>
      </c>
      <c r="D68" s="2339">
        <f>'数据-取费表'!B41</f>
        <v>5.6000000000000001E-2</v>
      </c>
      <c r="E68" s="164"/>
      <c r="F68" s="1662"/>
      <c r="G68" s="1662"/>
      <c r="H68" s="145"/>
      <c r="I68" s="115"/>
      <c r="J68" s="3460"/>
      <c r="K68" s="1237" t="s">
        <v>1389</v>
      </c>
      <c r="L68" s="1237" t="e">
        <f>IF(M49&gt;10000,M49*0.5%,IF(AND(M49&gt;5000,M49&lt;=10000),M49*1%,IF(AND(M49&gt;1000,M49&lt;=5000),M49*2%,IF(AND(M49&gt;200,M49&lt;=1000),M49*3%,M49*5%))))</f>
        <v>#VALUE!</v>
      </c>
      <c r="M68" s="288" t="e">
        <f>ROUND(L68,1)</f>
        <v>#VALUE!</v>
      </c>
      <c r="N68" s="2313"/>
      <c r="Z68" s="1615"/>
      <c r="AI68" s="1553"/>
    </row>
    <row r="69" spans="1:35" ht="16.5" customHeight="1">
      <c r="A69" s="1664"/>
      <c r="B69" s="1665"/>
      <c r="C69" s="1666"/>
      <c r="D69" s="1667"/>
      <c r="E69" s="1668"/>
      <c r="F69" s="1458"/>
      <c r="G69" s="1458"/>
      <c r="H69" s="1459"/>
      <c r="I69" s="638"/>
      <c r="J69" s="3460"/>
      <c r="K69" s="1237" t="s">
        <v>1390</v>
      </c>
      <c r="L69" s="1237"/>
      <c r="M69" s="288" t="e">
        <f>ROUND(SUM(M63:M68),0)</f>
        <v>#VALUE!</v>
      </c>
      <c r="N69" s="2315" t="e">
        <f>M69/M49</f>
        <v>#VALUE!</v>
      </c>
      <c r="Z69" s="1615"/>
      <c r="AI69" s="1553"/>
    </row>
    <row r="70" spans="1:35" s="634" customFormat="1" ht="15" thickBot="1">
      <c r="A70" s="3421" t="s">
        <v>1391</v>
      </c>
      <c r="B70" s="3422"/>
      <c r="C70" s="3422"/>
      <c r="D70" s="3422"/>
      <c r="E70" s="3422"/>
      <c r="F70" s="3422"/>
      <c r="G70" s="3422"/>
      <c r="H70" s="3422"/>
      <c r="I70" s="1669"/>
      <c r="J70" s="453"/>
      <c r="K70" s="453"/>
      <c r="L70" s="453"/>
      <c r="M70" s="453"/>
      <c r="N70" s="1670"/>
      <c r="O70" s="1670"/>
      <c r="P70" s="1670"/>
      <c r="Q70" s="1670"/>
      <c r="R70" s="1670"/>
      <c r="S70" s="1670"/>
      <c r="T70" s="1670"/>
      <c r="U70" s="1670"/>
      <c r="V70" s="1670"/>
      <c r="W70" s="1670"/>
      <c r="X70" s="1670"/>
      <c r="Y70" s="1670"/>
      <c r="Z70" s="1670"/>
      <c r="AA70" s="1671"/>
      <c r="AB70" s="1671"/>
      <c r="AC70" s="1671"/>
      <c r="AD70" s="1671"/>
      <c r="AE70" s="1671"/>
      <c r="AF70" s="1671"/>
      <c r="AG70" s="1671"/>
      <c r="AH70" s="1671"/>
      <c r="AI70" s="1671"/>
    </row>
    <row r="71" spans="1:35" s="634" customFormat="1" ht="14.25">
      <c r="A71" s="3397" t="s">
        <v>1372</v>
      </c>
      <c r="B71" s="3398"/>
      <c r="C71" s="1857"/>
      <c r="D71" s="1857" t="s">
        <v>1373</v>
      </c>
      <c r="E71" s="165" t="s">
        <v>1374</v>
      </c>
      <c r="F71" s="166"/>
      <c r="G71" s="166"/>
      <c r="H71" s="167"/>
      <c r="I71" s="1672"/>
      <c r="J71" s="453"/>
      <c r="K71" s="453"/>
      <c r="L71" s="453"/>
      <c r="M71" s="453"/>
      <c r="N71" s="1670"/>
      <c r="O71" s="1670"/>
      <c r="P71" s="1670"/>
      <c r="Q71" s="1670"/>
      <c r="R71" s="1670"/>
      <c r="S71" s="1670"/>
      <c r="T71" s="1670"/>
      <c r="U71" s="1670"/>
      <c r="V71" s="1670"/>
      <c r="W71" s="1670"/>
      <c r="X71" s="1670"/>
      <c r="Y71" s="1670"/>
      <c r="Z71" s="1670"/>
      <c r="AA71" s="1671"/>
      <c r="AB71" s="1671"/>
      <c r="AC71" s="1671"/>
      <c r="AD71" s="1671"/>
      <c r="AE71" s="1671"/>
      <c r="AF71" s="1671"/>
      <c r="AG71" s="1671"/>
      <c r="AH71" s="1671"/>
      <c r="AI71" s="1671"/>
    </row>
    <row r="72" spans="1:35" s="634" customFormat="1" ht="14.25">
      <c r="A72" s="159" t="s">
        <v>330</v>
      </c>
      <c r="B72" s="160" t="s">
        <v>1392</v>
      </c>
      <c r="C72" s="2337">
        <f ca="1">ROUND(D45/(1+'数据-取费表'!C42),0)</f>
        <v>4710</v>
      </c>
      <c r="D72" s="156" t="s">
        <v>26</v>
      </c>
      <c r="E72" s="1249"/>
      <c r="F72" s="1247"/>
      <c r="G72" s="1247"/>
      <c r="H72" s="168"/>
      <c r="I72" s="1672"/>
      <c r="J72" s="453"/>
      <c r="K72" s="453"/>
      <c r="L72" s="453"/>
      <c r="M72" s="453"/>
      <c r="N72" s="1670"/>
      <c r="O72" s="1670"/>
      <c r="P72" s="1670"/>
      <c r="Q72" s="1670"/>
      <c r="R72" s="1670"/>
      <c r="S72" s="1670"/>
      <c r="T72" s="1670"/>
      <c r="U72" s="1670"/>
      <c r="V72" s="1670"/>
      <c r="W72" s="1670"/>
      <c r="X72" s="1670"/>
      <c r="Y72" s="1670"/>
      <c r="Z72" s="1670"/>
      <c r="AA72" s="1671"/>
      <c r="AB72" s="1671"/>
      <c r="AC72" s="1671"/>
      <c r="AD72" s="1671"/>
      <c r="AE72" s="1671"/>
      <c r="AF72" s="1671"/>
      <c r="AG72" s="1671"/>
      <c r="AH72" s="1671"/>
      <c r="AI72" s="1671"/>
    </row>
    <row r="73" spans="1:35" s="634" customFormat="1" ht="14.25">
      <c r="A73" s="159" t="s">
        <v>327</v>
      </c>
      <c r="B73" s="149" t="s">
        <v>1393</v>
      </c>
      <c r="C73" s="2337">
        <f ca="1">C74+C78</f>
        <v>28</v>
      </c>
      <c r="D73" s="156" t="s">
        <v>26</v>
      </c>
      <c r="E73" s="1249"/>
      <c r="F73" s="1247"/>
      <c r="G73" s="1247"/>
      <c r="H73" s="168"/>
      <c r="I73" s="1672"/>
      <c r="J73" s="1670"/>
      <c r="K73" s="1670"/>
      <c r="L73" s="1670"/>
      <c r="M73" s="1670"/>
      <c r="N73" s="1670"/>
      <c r="O73" s="1670"/>
      <c r="P73" s="1670"/>
      <c r="Q73" s="1670"/>
      <c r="R73" s="1670"/>
      <c r="S73" s="1670"/>
      <c r="T73" s="1670"/>
      <c r="U73" s="1670"/>
      <c r="V73" s="1670"/>
      <c r="W73" s="1670"/>
      <c r="X73" s="1670"/>
      <c r="Y73" s="1670"/>
      <c r="Z73" s="1670"/>
      <c r="AA73" s="1671"/>
      <c r="AB73" s="1671"/>
      <c r="AC73" s="1671"/>
      <c r="AD73" s="1671"/>
      <c r="AE73" s="1671"/>
      <c r="AF73" s="1671"/>
      <c r="AG73" s="1671"/>
      <c r="AH73" s="1671"/>
      <c r="AI73" s="1671"/>
    </row>
    <row r="74" spans="1:35" s="634" customFormat="1" ht="24">
      <c r="A74" s="155" t="s">
        <v>325</v>
      </c>
      <c r="B74" s="156" t="s">
        <v>1394</v>
      </c>
      <c r="C74" s="156">
        <f>ROUND(IF(G77="2016年5月1日后购买",C75/(1+'数据-取费表'!C42)+C76+C77,C75+C76+C77),0)</f>
        <v>0</v>
      </c>
      <c r="D74" s="156" t="s">
        <v>26</v>
      </c>
      <c r="E74" s="1249"/>
      <c r="F74" s="1247"/>
      <c r="G74" s="1247"/>
      <c r="H74" s="168"/>
      <c r="I74" s="1672"/>
      <c r="J74" s="1670"/>
      <c r="K74" s="1670"/>
      <c r="L74" s="1670"/>
      <c r="M74" s="1670"/>
      <c r="N74" s="1670"/>
      <c r="O74" s="1670"/>
      <c r="P74" s="1670"/>
      <c r="Q74" s="1670"/>
      <c r="R74" s="1670"/>
      <c r="S74" s="1670"/>
      <c r="T74" s="1670"/>
      <c r="U74" s="1670"/>
      <c r="V74" s="1670"/>
      <c r="W74" s="1670"/>
      <c r="X74" s="1670"/>
      <c r="Y74" s="1670"/>
      <c r="Z74" s="1670"/>
      <c r="AA74" s="1671"/>
      <c r="AB74" s="1671"/>
      <c r="AC74" s="1671"/>
      <c r="AD74" s="1671"/>
      <c r="AE74" s="1671"/>
      <c r="AF74" s="1671"/>
      <c r="AG74" s="1671"/>
      <c r="AH74" s="1671"/>
      <c r="AI74" s="1671"/>
    </row>
    <row r="75" spans="1:35" s="634" customFormat="1" ht="14.25">
      <c r="A75" s="155" t="s">
        <v>331</v>
      </c>
      <c r="B75" s="156" t="s">
        <v>1395</v>
      </c>
      <c r="C75" s="2340"/>
      <c r="D75" s="156" t="s">
        <v>26</v>
      </c>
      <c r="E75" s="170" t="s">
        <v>1396</v>
      </c>
      <c r="F75" s="2341"/>
      <c r="G75" s="170" t="s">
        <v>1397</v>
      </c>
      <c r="H75" s="2342"/>
      <c r="I75" s="1673"/>
      <c r="J75" s="1670"/>
      <c r="K75" s="1670"/>
      <c r="L75" s="1670"/>
      <c r="M75" s="1670"/>
      <c r="N75" s="1670"/>
      <c r="O75" s="1670"/>
      <c r="P75" s="1670"/>
      <c r="Q75" s="1670"/>
      <c r="R75" s="1670"/>
      <c r="S75" s="1670"/>
      <c r="T75" s="1670"/>
      <c r="U75" s="1670"/>
      <c r="V75" s="1670"/>
      <c r="W75" s="1670"/>
      <c r="X75" s="1670"/>
      <c r="Y75" s="1670"/>
      <c r="Z75" s="1670"/>
      <c r="AA75" s="1671"/>
      <c r="AB75" s="1671"/>
      <c r="AC75" s="1671"/>
      <c r="AD75" s="1671"/>
      <c r="AE75" s="1671"/>
      <c r="AF75" s="1671"/>
      <c r="AG75" s="1671"/>
      <c r="AH75" s="1671"/>
      <c r="AI75" s="1671"/>
    </row>
    <row r="76" spans="1:35" s="634" customFormat="1" ht="24.75" customHeight="1">
      <c r="A76" s="155" t="s">
        <v>332</v>
      </c>
      <c r="B76" s="171" t="s">
        <v>1398</v>
      </c>
      <c r="C76" s="156">
        <f>IF(F75="购房发票",ROUND(C75*H75*D76,0),0)</f>
        <v>0</v>
      </c>
      <c r="D76" s="2343">
        <v>0.05</v>
      </c>
      <c r="E76" s="3392" t="s">
        <v>1399</v>
      </c>
      <c r="F76" s="3366"/>
      <c r="G76" s="3366"/>
      <c r="H76" s="3420"/>
      <c r="I76" s="1672"/>
      <c r="J76" s="1670"/>
      <c r="K76" s="1670"/>
      <c r="L76" s="1670"/>
      <c r="M76" s="1670"/>
      <c r="N76" s="1670"/>
      <c r="O76" s="1670"/>
      <c r="P76" s="1670"/>
      <c r="Q76" s="1670"/>
      <c r="R76" s="1670"/>
      <c r="S76" s="1670"/>
      <c r="T76" s="1670"/>
      <c r="U76" s="1670"/>
      <c r="V76" s="1670"/>
      <c r="W76" s="1670"/>
      <c r="X76" s="1670"/>
      <c r="Y76" s="1670"/>
      <c r="Z76" s="1670"/>
      <c r="AA76" s="1671"/>
      <c r="AB76" s="1671"/>
      <c r="AC76" s="1671"/>
      <c r="AD76" s="1671"/>
      <c r="AE76" s="1671"/>
      <c r="AF76" s="1671"/>
      <c r="AG76" s="1671"/>
      <c r="AH76" s="1671"/>
      <c r="AI76" s="1671"/>
    </row>
    <row r="77" spans="1:35" s="634" customFormat="1" ht="24.75" customHeight="1">
      <c r="A77" s="155" t="s">
        <v>333</v>
      </c>
      <c r="B77" s="156" t="s">
        <v>1400</v>
      </c>
      <c r="C77" s="156">
        <f>ROUND(IF(G77="个人住宅",0,IF(G77="2016年5月1日前购买",C75*D77,C75*D77/(1+'数据-取费表'!C42))),0)</f>
        <v>0</v>
      </c>
      <c r="D77" s="2344">
        <f>'数据-取费表'!B48+'数据-取费表'!B49</f>
        <v>3.0499999999999999E-2</v>
      </c>
      <c r="E77" s="12" t="s">
        <v>1401</v>
      </c>
      <c r="F77" s="172"/>
      <c r="G77" s="1674"/>
      <c r="H77" s="2143" t="str">
        <f>IF(G77="个人买卖住房","免征印花税"," ")</f>
        <v xml:space="preserve"> </v>
      </c>
      <c r="I77" s="1672"/>
      <c r="J77" s="1670"/>
      <c r="K77" s="1670"/>
      <c r="L77" s="1670"/>
      <c r="M77" s="1670"/>
      <c r="N77" s="1670"/>
      <c r="O77" s="1670"/>
      <c r="P77" s="1670"/>
      <c r="Q77" s="1670"/>
      <c r="R77" s="1670"/>
      <c r="S77" s="1670"/>
      <c r="T77" s="1670"/>
      <c r="U77" s="1670"/>
      <c r="V77" s="1670"/>
      <c r="W77" s="1670"/>
      <c r="X77" s="1670"/>
      <c r="Y77" s="1670"/>
      <c r="Z77" s="1670"/>
      <c r="AA77" s="1671"/>
      <c r="AB77" s="1671"/>
      <c r="AC77" s="1671"/>
      <c r="AD77" s="1671"/>
      <c r="AE77" s="1671"/>
      <c r="AF77" s="1671"/>
      <c r="AG77" s="1671"/>
      <c r="AH77" s="1671"/>
      <c r="AI77" s="1671"/>
    </row>
    <row r="78" spans="1:35" s="634" customFormat="1" ht="24.75" customHeight="1">
      <c r="A78" s="155" t="s">
        <v>326</v>
      </c>
      <c r="B78" s="156" t="s">
        <v>1402</v>
      </c>
      <c r="C78" s="2345">
        <f ca="1">ROUND(D45*D78/(1+'数据-取费表'!C42),0)</f>
        <v>28</v>
      </c>
      <c r="D78" s="2346">
        <f>'数据-取费表'!B43</f>
        <v>6.000000000000001E-3</v>
      </c>
      <c r="E78" s="3376" t="s">
        <v>1403</v>
      </c>
      <c r="F78" s="3377"/>
      <c r="G78" s="3377"/>
      <c r="H78" s="3386"/>
      <c r="I78" s="1675"/>
      <c r="J78" s="1670"/>
      <c r="K78" s="1670"/>
      <c r="L78" s="1670"/>
      <c r="M78" s="1670"/>
      <c r="N78" s="1670"/>
      <c r="O78" s="1670"/>
      <c r="P78" s="1670"/>
      <c r="Q78" s="1670"/>
      <c r="R78" s="1670"/>
      <c r="S78" s="1670"/>
      <c r="T78" s="1670"/>
      <c r="U78" s="1670"/>
      <c r="V78" s="1670"/>
      <c r="W78" s="1670"/>
      <c r="X78" s="1670"/>
      <c r="Y78" s="1670"/>
      <c r="Z78" s="1670"/>
      <c r="AA78" s="1671"/>
      <c r="AB78" s="1671"/>
      <c r="AC78" s="1671"/>
      <c r="AD78" s="1671"/>
      <c r="AE78" s="1671"/>
      <c r="AF78" s="1671"/>
      <c r="AG78" s="1671"/>
      <c r="AH78" s="1671"/>
      <c r="AI78" s="1671"/>
    </row>
    <row r="79" spans="1:35" s="634" customFormat="1" ht="14.25">
      <c r="A79" s="159" t="s">
        <v>334</v>
      </c>
      <c r="B79" s="160" t="s">
        <v>1404</v>
      </c>
      <c r="C79" s="2337">
        <f ca="1">C72-C73</f>
        <v>4682</v>
      </c>
      <c r="D79" s="156" t="s">
        <v>26</v>
      </c>
      <c r="E79" s="1249"/>
      <c r="F79" s="1247"/>
      <c r="G79" s="1247"/>
      <c r="H79" s="168"/>
      <c r="I79" s="1672"/>
      <c r="J79" s="1670"/>
      <c r="K79" s="1670"/>
      <c r="L79" s="1670"/>
      <c r="M79" s="1670"/>
      <c r="N79" s="1670"/>
      <c r="O79" s="1670"/>
      <c r="P79" s="1670"/>
      <c r="Q79" s="1670"/>
      <c r="R79" s="1670"/>
      <c r="S79" s="1670"/>
      <c r="T79" s="1670"/>
      <c r="U79" s="1670"/>
      <c r="V79" s="1670"/>
      <c r="W79" s="1670"/>
      <c r="X79" s="1670"/>
      <c r="Y79" s="1670"/>
      <c r="Z79" s="1670"/>
      <c r="AA79" s="1671"/>
      <c r="AB79" s="1671"/>
      <c r="AC79" s="1671"/>
      <c r="AD79" s="1671"/>
      <c r="AE79" s="1671"/>
      <c r="AF79" s="1671"/>
      <c r="AG79" s="1671"/>
      <c r="AH79" s="1671"/>
      <c r="AI79" s="1671"/>
    </row>
    <row r="80" spans="1:35" s="634" customFormat="1" ht="24">
      <c r="A80" s="159" t="s">
        <v>335</v>
      </c>
      <c r="B80" s="160" t="s">
        <v>1405</v>
      </c>
      <c r="C80" s="2347">
        <f ca="1">IF(C79&lt;=0,0,C79/C73)</f>
        <v>167.21428571428572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2"/>
      <c r="J80" s="1670"/>
      <c r="K80" s="1670"/>
      <c r="L80" s="1670"/>
      <c r="M80" s="1670"/>
      <c r="N80" s="1670"/>
      <c r="O80" s="1670"/>
      <c r="P80" s="1670"/>
      <c r="Q80" s="1670"/>
      <c r="R80" s="1670"/>
      <c r="S80" s="1670"/>
      <c r="T80" s="1670"/>
      <c r="U80" s="1670"/>
      <c r="V80" s="1670"/>
      <c r="W80" s="1670"/>
      <c r="X80" s="1670"/>
      <c r="Y80" s="1670"/>
      <c r="Z80" s="1670"/>
      <c r="AA80" s="1671"/>
      <c r="AB80" s="1671"/>
      <c r="AC80" s="1671"/>
      <c r="AD80" s="1671"/>
      <c r="AE80" s="1671"/>
      <c r="AF80" s="1671"/>
      <c r="AG80" s="1671"/>
      <c r="AH80" s="1671"/>
      <c r="AI80" s="1671"/>
    </row>
    <row r="81" spans="1:35" s="634" customFormat="1" ht="24.75" thickBot="1">
      <c r="A81" s="162" t="s">
        <v>336</v>
      </c>
      <c r="B81" s="163" t="s">
        <v>1406</v>
      </c>
      <c r="C81" s="2348">
        <f ca="1">ROUND(IF(C79&lt;=0,0,IF(C80&gt;=200%,C79*60%-C73*35%,IF(C80&gt;=100%,C79*50%-C73*15%,IF(C80&gt;=50%,C79*40%-C73*5%,IF(C80&lt;50%,C79*30%,0))))),0)</f>
        <v>2799</v>
      </c>
      <c r="D81" s="234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2"/>
      <c r="J81" s="1670"/>
      <c r="K81" s="1670"/>
      <c r="L81" s="1670"/>
      <c r="M81" s="1670"/>
      <c r="N81" s="1670"/>
      <c r="O81" s="1670"/>
      <c r="P81" s="1670"/>
      <c r="Q81" s="1670"/>
      <c r="R81" s="1670"/>
      <c r="S81" s="1670"/>
      <c r="T81" s="1670"/>
      <c r="U81" s="1670"/>
      <c r="V81" s="1670"/>
      <c r="W81" s="1670"/>
      <c r="X81" s="1670"/>
      <c r="Y81" s="1670"/>
      <c r="Z81" s="1670"/>
      <c r="AA81" s="1671"/>
      <c r="AB81" s="1671"/>
      <c r="AC81" s="1671"/>
      <c r="AD81" s="1671"/>
      <c r="AE81" s="1671"/>
      <c r="AF81" s="1671"/>
      <c r="AG81" s="1671"/>
      <c r="AH81" s="1671"/>
      <c r="AI81" s="1671"/>
    </row>
    <row r="82" spans="1:35" s="634" customFormat="1" ht="7.5" customHeight="1">
      <c r="A82" s="4"/>
      <c r="B82" s="639"/>
      <c r="C82" s="4"/>
      <c r="D82" s="4"/>
      <c r="E82" s="639"/>
      <c r="F82" s="639"/>
      <c r="G82" s="639"/>
      <c r="H82" s="640"/>
      <c r="I82" s="1675"/>
      <c r="J82" s="1670"/>
      <c r="K82" s="1670"/>
      <c r="L82" s="1670"/>
      <c r="M82" s="1670"/>
      <c r="N82" s="1670"/>
      <c r="O82" s="1670"/>
      <c r="P82" s="1670"/>
      <c r="Q82" s="1670"/>
      <c r="R82" s="1670"/>
      <c r="S82" s="1670"/>
      <c r="T82" s="1670"/>
      <c r="U82" s="1670"/>
      <c r="V82" s="1670"/>
      <c r="W82" s="1670"/>
      <c r="X82" s="1670"/>
      <c r="Y82" s="1670"/>
      <c r="Z82" s="1670"/>
      <c r="AA82" s="1671"/>
      <c r="AB82" s="1671"/>
      <c r="AC82" s="1671"/>
      <c r="AD82" s="1671"/>
      <c r="AE82" s="1671"/>
      <c r="AF82" s="1671"/>
      <c r="AG82" s="1671"/>
      <c r="AH82" s="1671"/>
      <c r="AI82" s="1671"/>
    </row>
    <row r="83" spans="1:35" s="634" customFormat="1" ht="15" thickBot="1">
      <c r="A83" s="3421" t="s">
        <v>1407</v>
      </c>
      <c r="B83" s="3422"/>
      <c r="C83" s="3422"/>
      <c r="D83" s="3422"/>
      <c r="E83" s="3422"/>
      <c r="F83" s="3422"/>
      <c r="G83" s="3422"/>
      <c r="H83" s="3422"/>
      <c r="I83" s="1673"/>
      <c r="J83" s="1670"/>
      <c r="K83" s="1670"/>
      <c r="L83" s="1670"/>
      <c r="M83" s="1670"/>
      <c r="N83" s="1670"/>
      <c r="O83" s="1670"/>
      <c r="P83" s="1670"/>
      <c r="Q83" s="1670"/>
      <c r="R83" s="1670"/>
      <c r="S83" s="1670"/>
      <c r="T83" s="1670"/>
      <c r="U83" s="1670"/>
      <c r="V83" s="1670"/>
      <c r="W83" s="1670"/>
      <c r="X83" s="1670"/>
      <c r="Y83" s="1670"/>
      <c r="Z83" s="1670"/>
      <c r="AA83" s="1671"/>
      <c r="AB83" s="1671"/>
      <c r="AC83" s="1671"/>
      <c r="AD83" s="1671"/>
      <c r="AE83" s="1671"/>
      <c r="AF83" s="1671"/>
      <c r="AG83" s="1671"/>
      <c r="AH83" s="1671"/>
      <c r="AI83" s="1671"/>
    </row>
    <row r="84" spans="1:35" s="634" customFormat="1" ht="14.25">
      <c r="A84" s="3397" t="s">
        <v>1372</v>
      </c>
      <c r="B84" s="3398"/>
      <c r="C84" s="1857"/>
      <c r="D84" s="1857" t="s">
        <v>1373</v>
      </c>
      <c r="E84" s="165" t="s">
        <v>1374</v>
      </c>
      <c r="F84" s="166"/>
      <c r="G84" s="166"/>
      <c r="H84" s="177"/>
      <c r="I84" s="1673"/>
      <c r="J84" s="1670"/>
      <c r="K84" s="1670"/>
      <c r="L84" s="1670"/>
      <c r="M84" s="1670"/>
      <c r="N84" s="1670"/>
      <c r="O84" s="1670"/>
      <c r="P84" s="1670"/>
      <c r="Q84" s="1670"/>
      <c r="R84" s="1670"/>
      <c r="S84" s="1670"/>
      <c r="T84" s="1670"/>
      <c r="U84" s="1670"/>
      <c r="V84" s="1670"/>
      <c r="W84" s="1670"/>
      <c r="X84" s="1670"/>
      <c r="Y84" s="1670"/>
      <c r="Z84" s="1670"/>
      <c r="AA84" s="1671"/>
      <c r="AB84" s="1671"/>
      <c r="AC84" s="1671"/>
      <c r="AD84" s="1671"/>
      <c r="AE84" s="1671"/>
      <c r="AF84" s="1671"/>
      <c r="AG84" s="1671"/>
      <c r="AH84" s="1671"/>
      <c r="AI84" s="1671"/>
    </row>
    <row r="85" spans="1:35" s="634" customFormat="1" ht="14.25">
      <c r="A85" s="159" t="s">
        <v>330</v>
      </c>
      <c r="B85" s="160" t="s">
        <v>1392</v>
      </c>
      <c r="C85" s="2337">
        <f ca="1">ROUND(D45/(1+'数据-取费表'!C42),0)</f>
        <v>4710</v>
      </c>
      <c r="D85" s="156" t="s">
        <v>26</v>
      </c>
      <c r="E85" s="1249"/>
      <c r="F85" s="1247"/>
      <c r="G85" s="1247"/>
      <c r="H85" s="178"/>
      <c r="I85" s="1673"/>
      <c r="J85" s="1670"/>
      <c r="K85" s="1670"/>
      <c r="L85" s="1670"/>
      <c r="M85" s="1670"/>
      <c r="N85" s="1670"/>
      <c r="O85" s="1670"/>
      <c r="P85" s="1670"/>
      <c r="Q85" s="1670"/>
      <c r="R85" s="1670"/>
      <c r="S85" s="1670"/>
      <c r="T85" s="1670"/>
      <c r="U85" s="1670"/>
      <c r="V85" s="1670"/>
      <c r="W85" s="1670"/>
      <c r="X85" s="1670"/>
      <c r="Y85" s="1670"/>
      <c r="Z85" s="1670"/>
      <c r="AA85" s="1671"/>
      <c r="AB85" s="1671"/>
      <c r="AC85" s="1671"/>
      <c r="AD85" s="1671"/>
      <c r="AE85" s="1671"/>
      <c r="AF85" s="1671"/>
      <c r="AG85" s="1671"/>
      <c r="AH85" s="1671"/>
      <c r="AI85" s="1671"/>
    </row>
    <row r="86" spans="1:35" s="634" customFormat="1" ht="14.25">
      <c r="A86" s="159" t="s">
        <v>327</v>
      </c>
      <c r="B86" s="149" t="s">
        <v>1393</v>
      </c>
      <c r="C86" s="2337">
        <f ca="1">IF(H88="仅含出让金",C87+C90+C91+C92+C93+C94,C87+C91+C92+C93+C94)</f>
        <v>28</v>
      </c>
      <c r="D86" s="2350"/>
      <c r="E86" s="1249"/>
      <c r="F86" s="1247"/>
      <c r="G86" s="1247"/>
      <c r="H86" s="178"/>
      <c r="I86" s="1673"/>
      <c r="J86" s="1670"/>
      <c r="K86" s="1670"/>
      <c r="L86" s="1670"/>
      <c r="M86" s="1670"/>
      <c r="N86" s="1670"/>
      <c r="O86" s="1670"/>
      <c r="P86" s="1670"/>
      <c r="Q86" s="1670"/>
      <c r="R86" s="1670"/>
      <c r="S86" s="1670"/>
      <c r="T86" s="1670"/>
      <c r="U86" s="1670"/>
      <c r="V86" s="1670"/>
      <c r="W86" s="1670"/>
      <c r="X86" s="1670"/>
      <c r="Y86" s="1670"/>
      <c r="Z86" s="1670"/>
      <c r="AA86" s="1671"/>
      <c r="AB86" s="1671"/>
      <c r="AC86" s="1671"/>
      <c r="AD86" s="1671"/>
      <c r="AE86" s="1671"/>
      <c r="AF86" s="1671"/>
      <c r="AG86" s="1671"/>
      <c r="AH86" s="1671"/>
      <c r="AI86" s="1671"/>
    </row>
    <row r="87" spans="1:35" s="634" customFormat="1" ht="14.25">
      <c r="A87" s="155" t="s">
        <v>325</v>
      </c>
      <c r="B87" s="156" t="s">
        <v>1408</v>
      </c>
      <c r="C87" s="2345">
        <f>C88+C89</f>
        <v>0</v>
      </c>
      <c r="D87" s="2346"/>
      <c r="E87" s="2139"/>
      <c r="F87" s="2140"/>
      <c r="G87" s="2140"/>
      <c r="H87" s="2141"/>
      <c r="I87" s="1673"/>
      <c r="J87" s="1670"/>
      <c r="K87" s="1670"/>
      <c r="L87" s="1670"/>
      <c r="M87" s="1670"/>
      <c r="N87" s="1670"/>
      <c r="O87" s="1670"/>
      <c r="P87" s="1670"/>
      <c r="Q87" s="1670"/>
      <c r="R87" s="1670"/>
      <c r="S87" s="1670"/>
      <c r="T87" s="1670"/>
      <c r="U87" s="1670"/>
      <c r="V87" s="1670"/>
      <c r="W87" s="1670"/>
      <c r="X87" s="1670"/>
      <c r="Y87" s="1670"/>
      <c r="Z87" s="1670"/>
      <c r="AA87" s="1671"/>
      <c r="AB87" s="1671"/>
      <c r="AC87" s="1671"/>
      <c r="AD87" s="1671"/>
      <c r="AE87" s="1671"/>
      <c r="AF87" s="1671"/>
      <c r="AG87" s="1671"/>
      <c r="AH87" s="1671"/>
      <c r="AI87" s="1671"/>
    </row>
    <row r="88" spans="1:35" s="634" customFormat="1" ht="14.25">
      <c r="A88" s="155" t="s">
        <v>331</v>
      </c>
      <c r="B88" s="156" t="s">
        <v>1409</v>
      </c>
      <c r="C88" s="2351"/>
      <c r="D88" s="2346"/>
      <c r="E88" s="179" t="s">
        <v>1410</v>
      </c>
      <c r="F88" s="2140"/>
      <c r="G88" s="180" t="s">
        <v>1411</v>
      </c>
      <c r="H88" s="1676"/>
      <c r="I88" s="1673"/>
      <c r="J88" s="2291" t="s">
        <v>2282</v>
      </c>
      <c r="K88" s="1670"/>
      <c r="L88" s="1670"/>
      <c r="M88" s="1670"/>
      <c r="N88" s="1670"/>
      <c r="O88" s="1670"/>
      <c r="P88" s="1670"/>
      <c r="Q88" s="1670"/>
      <c r="R88" s="1670"/>
      <c r="S88" s="1670"/>
      <c r="T88" s="1670"/>
      <c r="U88" s="1670"/>
      <c r="V88" s="1670"/>
      <c r="W88" s="1670"/>
      <c r="X88" s="1670"/>
      <c r="Y88" s="1670"/>
      <c r="Z88" s="1670"/>
      <c r="AA88" s="1671"/>
      <c r="AB88" s="1671"/>
      <c r="AC88" s="1671"/>
      <c r="AD88" s="1671"/>
      <c r="AE88" s="1671"/>
      <c r="AF88" s="1671"/>
      <c r="AG88" s="1671"/>
      <c r="AH88" s="1671"/>
      <c r="AI88" s="1671"/>
    </row>
    <row r="89" spans="1:35" s="634" customFormat="1" ht="14.25">
      <c r="A89" s="155" t="s">
        <v>332</v>
      </c>
      <c r="B89" s="156" t="s">
        <v>1400</v>
      </c>
      <c r="C89" s="2345">
        <f>ROUND(C88*D89,0)</f>
        <v>0</v>
      </c>
      <c r="D89" s="2346">
        <f>'数据-取费表'!B48+'数据-取费表'!B49</f>
        <v>3.0499999999999999E-2</v>
      </c>
      <c r="E89" s="179" t="s">
        <v>1412</v>
      </c>
      <c r="F89" s="2140"/>
      <c r="G89" s="2140"/>
      <c r="H89" s="2141"/>
      <c r="I89" s="1673"/>
      <c r="J89" s="1670"/>
      <c r="K89" s="1670"/>
      <c r="L89" s="1670"/>
      <c r="M89" s="1670"/>
      <c r="N89" s="1670"/>
      <c r="O89" s="1670"/>
      <c r="P89" s="1670"/>
      <c r="Q89" s="1670"/>
      <c r="R89" s="1670"/>
      <c r="S89" s="1670"/>
      <c r="T89" s="1670"/>
      <c r="U89" s="1670"/>
      <c r="V89" s="1670"/>
      <c r="W89" s="1670"/>
      <c r="X89" s="1670"/>
      <c r="Y89" s="1670"/>
      <c r="Z89" s="1670"/>
      <c r="AA89" s="1671"/>
      <c r="AB89" s="1671"/>
      <c r="AC89" s="1671"/>
      <c r="AD89" s="1671"/>
      <c r="AE89" s="1671"/>
      <c r="AF89" s="1671"/>
      <c r="AG89" s="1671"/>
      <c r="AH89" s="1671"/>
      <c r="AI89" s="1671"/>
    </row>
    <row r="90" spans="1:35" s="634" customFormat="1" ht="14.25">
      <c r="A90" s="155" t="s">
        <v>326</v>
      </c>
      <c r="B90" s="156" t="s">
        <v>1413</v>
      </c>
      <c r="C90" s="2351"/>
      <c r="D90" s="2346"/>
      <c r="E90" s="179" t="str">
        <f>IF(H88="-","土地取得成本中已包含该笔费用"," ")</f>
        <v xml:space="preserve"> </v>
      </c>
      <c r="F90" s="2140"/>
      <c r="G90" s="3462" t="s">
        <v>2123</v>
      </c>
      <c r="H90" s="3463"/>
      <c r="I90" s="1673"/>
      <c r="J90" s="2291" t="s">
        <v>2283</v>
      </c>
      <c r="K90" s="1670"/>
      <c r="L90" s="1670"/>
      <c r="M90" s="1670"/>
      <c r="N90" s="1670"/>
      <c r="O90" s="1670"/>
      <c r="P90" s="1670"/>
      <c r="Q90" s="1670"/>
      <c r="R90" s="1670"/>
      <c r="S90" s="1670"/>
      <c r="T90" s="1670"/>
      <c r="U90" s="1670"/>
      <c r="V90" s="1670"/>
      <c r="W90" s="1670"/>
      <c r="X90" s="1670"/>
      <c r="Y90" s="1670"/>
      <c r="Z90" s="1670"/>
      <c r="AA90" s="1671"/>
      <c r="AB90" s="1671"/>
      <c r="AC90" s="1671"/>
      <c r="AD90" s="1671"/>
      <c r="AE90" s="1671"/>
      <c r="AF90" s="1671"/>
      <c r="AG90" s="1671"/>
      <c r="AH90" s="1671"/>
      <c r="AI90" s="1671"/>
    </row>
    <row r="91" spans="1:35" s="634" customFormat="1" ht="27.75" customHeight="1">
      <c r="A91" s="155" t="s">
        <v>1414</v>
      </c>
      <c r="B91" s="156" t="s">
        <v>1415</v>
      </c>
      <c r="C91" s="2345">
        <f>IF(H91="——",'成本法-地下2层'!C33,I91)</f>
        <v>0</v>
      </c>
      <c r="D91" s="2346"/>
      <c r="E91" s="3376" t="s">
        <v>1416</v>
      </c>
      <c r="F91" s="3377"/>
      <c r="G91" s="3377"/>
      <c r="H91" s="1677"/>
      <c r="I91" s="1678"/>
      <c r="J91" s="1670"/>
      <c r="K91" s="1670"/>
      <c r="L91" s="1670"/>
      <c r="M91" s="1670"/>
      <c r="N91" s="1670"/>
      <c r="O91" s="1670"/>
      <c r="P91" s="1670"/>
      <c r="Q91" s="1670"/>
      <c r="R91" s="1670"/>
      <c r="S91" s="1670"/>
      <c r="T91" s="1670"/>
      <c r="U91" s="1670"/>
      <c r="V91" s="1670"/>
      <c r="W91" s="1670"/>
      <c r="X91" s="1670"/>
      <c r="Y91" s="1670"/>
      <c r="Z91" s="1670"/>
      <c r="AA91" s="1671"/>
      <c r="AB91" s="1671"/>
      <c r="AC91" s="1671"/>
      <c r="AD91" s="1671"/>
      <c r="AE91" s="1671"/>
      <c r="AF91" s="1671"/>
      <c r="AG91" s="1671"/>
      <c r="AH91" s="1671"/>
      <c r="AI91" s="1671"/>
    </row>
    <row r="92" spans="1:35" s="634" customFormat="1" ht="25.5" customHeight="1">
      <c r="A92" s="155" t="s">
        <v>1417</v>
      </c>
      <c r="B92" s="156" t="s">
        <v>1418</v>
      </c>
      <c r="C92" s="2345">
        <f>ROUND((C87+C90+C91)*D92,0)</f>
        <v>0</v>
      </c>
      <c r="D92" s="2352"/>
      <c r="E92" s="3376" t="s">
        <v>1419</v>
      </c>
      <c r="F92" s="3377"/>
      <c r="G92" s="3377"/>
      <c r="H92" s="3386"/>
      <c r="I92" s="1673"/>
      <c r="J92" s="2292" t="s">
        <v>2284</v>
      </c>
      <c r="K92" s="1670"/>
      <c r="L92" s="1670"/>
      <c r="M92" s="1670"/>
      <c r="N92" s="1670"/>
      <c r="O92" s="1670"/>
      <c r="P92" s="1670"/>
      <c r="Q92" s="1670"/>
      <c r="R92" s="1670"/>
      <c r="S92" s="1670"/>
      <c r="T92" s="1670"/>
      <c r="U92" s="1670"/>
      <c r="V92" s="1670"/>
      <c r="W92" s="1670"/>
      <c r="X92" s="1670"/>
      <c r="Y92" s="1670"/>
      <c r="Z92" s="1670"/>
      <c r="AA92" s="1671"/>
      <c r="AB92" s="1671"/>
      <c r="AC92" s="1671"/>
      <c r="AD92" s="1671"/>
      <c r="AE92" s="1671"/>
      <c r="AF92" s="1671"/>
      <c r="AG92" s="1671"/>
      <c r="AH92" s="1671"/>
      <c r="AI92" s="1671"/>
    </row>
    <row r="93" spans="1:35" s="634" customFormat="1" ht="25.5" customHeight="1">
      <c r="A93" s="155" t="s">
        <v>1420</v>
      </c>
      <c r="B93" s="156" t="s">
        <v>1402</v>
      </c>
      <c r="C93" s="2345">
        <f ca="1">ROUND(D45*D93/(1+'数据-取费表'!C42),0)</f>
        <v>28</v>
      </c>
      <c r="D93" s="2346">
        <f>'数据-取费表'!B43</f>
        <v>6.000000000000001E-3</v>
      </c>
      <c r="E93" s="3376" t="s">
        <v>1403</v>
      </c>
      <c r="F93" s="3377"/>
      <c r="G93" s="3377"/>
      <c r="H93" s="3386"/>
      <c r="I93" s="1673"/>
      <c r="J93" s="1670"/>
      <c r="K93" s="1670"/>
      <c r="L93" s="1670"/>
      <c r="M93" s="1670"/>
      <c r="N93" s="1670"/>
      <c r="O93" s="1670"/>
      <c r="P93" s="1670"/>
      <c r="Q93" s="1670"/>
      <c r="R93" s="1670"/>
      <c r="S93" s="1670"/>
      <c r="T93" s="1670"/>
      <c r="U93" s="1670"/>
      <c r="V93" s="1670"/>
      <c r="W93" s="1670"/>
      <c r="X93" s="1670"/>
      <c r="Y93" s="1670"/>
      <c r="Z93" s="1670"/>
      <c r="AA93" s="1671"/>
      <c r="AB93" s="1671"/>
      <c r="AC93" s="1671"/>
      <c r="AD93" s="1671"/>
      <c r="AE93" s="1671"/>
      <c r="AF93" s="1671"/>
      <c r="AG93" s="1671"/>
      <c r="AH93" s="1671"/>
      <c r="AI93" s="1671"/>
    </row>
    <row r="94" spans="1:35" s="634" customFormat="1" ht="36.75" customHeight="1">
      <c r="A94" s="155" t="s">
        <v>1421</v>
      </c>
      <c r="B94" s="156" t="s">
        <v>1422</v>
      </c>
      <c r="C94" s="2351">
        <f>ROUND((C87+C90+C91)*D94,0)</f>
        <v>0</v>
      </c>
      <c r="D94" s="2346">
        <v>0.2</v>
      </c>
      <c r="E94" s="3387" t="s">
        <v>1423</v>
      </c>
      <c r="F94" s="3388"/>
      <c r="G94" s="3388"/>
      <c r="H94" s="3389"/>
      <c r="I94" s="1673"/>
      <c r="J94" s="1670"/>
      <c r="K94" s="1670"/>
      <c r="L94" s="1670"/>
      <c r="M94" s="1670"/>
      <c r="N94" s="1670"/>
      <c r="O94" s="1670"/>
      <c r="P94" s="1670"/>
      <c r="Q94" s="1670"/>
      <c r="R94" s="1670"/>
      <c r="S94" s="1670"/>
      <c r="T94" s="1670"/>
      <c r="U94" s="1670"/>
      <c r="V94" s="1670"/>
      <c r="W94" s="1670"/>
      <c r="X94" s="1670"/>
      <c r="Y94" s="1670"/>
      <c r="Z94" s="1670"/>
      <c r="AA94" s="1671"/>
      <c r="AB94" s="1671"/>
      <c r="AC94" s="1671"/>
      <c r="AD94" s="1671"/>
      <c r="AE94" s="1671"/>
      <c r="AF94" s="1671"/>
      <c r="AG94" s="1671"/>
      <c r="AH94" s="1671"/>
      <c r="AI94" s="1671"/>
    </row>
    <row r="95" spans="1:35" s="634" customFormat="1" ht="14.25">
      <c r="A95" s="159" t="s">
        <v>334</v>
      </c>
      <c r="B95" s="160" t="s">
        <v>1404</v>
      </c>
      <c r="C95" s="2337">
        <f ca="1">ROUND(C85-C86,0)</f>
        <v>4682</v>
      </c>
      <c r="D95" s="156" t="s">
        <v>26</v>
      </c>
      <c r="E95" s="1249"/>
      <c r="F95" s="1247"/>
      <c r="G95" s="1247"/>
      <c r="H95" s="178"/>
      <c r="I95" s="1673"/>
      <c r="J95" s="1670"/>
      <c r="K95" s="1670"/>
      <c r="L95" s="1670"/>
      <c r="M95" s="1670"/>
      <c r="N95" s="1670"/>
      <c r="O95" s="1670"/>
      <c r="P95" s="1670"/>
      <c r="Q95" s="1670"/>
      <c r="R95" s="1670"/>
      <c r="S95" s="1670"/>
      <c r="T95" s="1670"/>
      <c r="U95" s="1670"/>
      <c r="V95" s="1670"/>
      <c r="W95" s="1670"/>
      <c r="X95" s="1670"/>
      <c r="Y95" s="1670"/>
      <c r="Z95" s="1670"/>
      <c r="AA95" s="1671"/>
      <c r="AB95" s="1671"/>
      <c r="AC95" s="1671"/>
      <c r="AD95" s="1671"/>
      <c r="AE95" s="1671"/>
      <c r="AF95" s="1671"/>
      <c r="AG95" s="1671"/>
      <c r="AH95" s="1671"/>
      <c r="AI95" s="1671"/>
    </row>
    <row r="96" spans="1:35" s="634" customFormat="1" ht="24">
      <c r="A96" s="159" t="s">
        <v>335</v>
      </c>
      <c r="B96" s="160" t="s">
        <v>1405</v>
      </c>
      <c r="C96" s="2347">
        <f ca="1">IF(C95&lt;=0,0,C95/C86)</f>
        <v>167.21428571428572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3"/>
      <c r="J96" s="1670"/>
      <c r="K96" s="1670"/>
      <c r="L96" s="1670"/>
      <c r="M96" s="1670"/>
      <c r="N96" s="1670"/>
      <c r="O96" s="1670"/>
      <c r="P96" s="1670"/>
      <c r="Q96" s="1670"/>
      <c r="R96" s="1670"/>
      <c r="S96" s="1670"/>
      <c r="T96" s="1670"/>
      <c r="U96" s="1670"/>
      <c r="V96" s="1670"/>
      <c r="W96" s="1670"/>
      <c r="X96" s="1670"/>
      <c r="Y96" s="1670"/>
      <c r="Z96" s="1670"/>
      <c r="AA96" s="1671"/>
      <c r="AB96" s="1671"/>
      <c r="AC96" s="1671"/>
      <c r="AD96" s="1671"/>
      <c r="AE96" s="1671"/>
      <c r="AF96" s="1671"/>
      <c r="AG96" s="1671"/>
      <c r="AH96" s="1671"/>
      <c r="AI96" s="1671"/>
    </row>
    <row r="97" spans="1:35" s="634" customFormat="1" ht="24.75" thickBot="1">
      <c r="A97" s="162" t="s">
        <v>336</v>
      </c>
      <c r="B97" s="163" t="s">
        <v>1406</v>
      </c>
      <c r="C97" s="2348">
        <f ca="1">ROUND(IF(C95&lt;=0,0,IF(C96&gt;=200%,C95*60%-C86*35%,IF(C96&gt;=100%,C95*50%-C86*15%,IF(C96&gt;=50%,C95*40%-C86*5%,IF(C96&lt;50%,C95*30%,0))))),0)</f>
        <v>2799</v>
      </c>
      <c r="D97" s="234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3"/>
      <c r="J97" s="1670"/>
      <c r="K97" s="1670"/>
      <c r="L97" s="1670"/>
      <c r="M97" s="1670"/>
      <c r="N97" s="1670"/>
      <c r="O97" s="1670"/>
      <c r="P97" s="1670"/>
      <c r="Q97" s="1670"/>
      <c r="R97" s="1670"/>
      <c r="S97" s="1670"/>
      <c r="T97" s="1670"/>
      <c r="U97" s="1670"/>
      <c r="V97" s="1670"/>
      <c r="W97" s="1670"/>
      <c r="X97" s="1670"/>
      <c r="Y97" s="1670"/>
      <c r="Z97" s="1670"/>
      <c r="AA97" s="1671"/>
      <c r="AB97" s="1671"/>
      <c r="AC97" s="1671"/>
      <c r="AD97" s="1671"/>
      <c r="AE97" s="1671"/>
      <c r="AF97" s="1671"/>
      <c r="AG97" s="1671"/>
      <c r="AH97" s="1671"/>
      <c r="AI97" s="1671"/>
    </row>
    <row r="98" spans="1:35" ht="21.75" customHeight="1">
      <c r="A98" s="1663"/>
      <c r="B98" s="638"/>
      <c r="C98" s="638"/>
      <c r="D98" s="638"/>
      <c r="E98" s="1458"/>
      <c r="F98" s="1458"/>
      <c r="G98" s="1458"/>
      <c r="H98" s="1459"/>
      <c r="I98" s="115"/>
    </row>
    <row r="99" spans="1:35" ht="21.75" customHeight="1" thickBot="1">
      <c r="A99" s="1456" t="s">
        <v>1424</v>
      </c>
      <c r="B99" s="638"/>
      <c r="C99" s="638"/>
      <c r="D99" s="638"/>
      <c r="E99" s="1458"/>
      <c r="F99" s="1458"/>
      <c r="G99" s="1458"/>
      <c r="H99" s="1459"/>
      <c r="I99" s="115"/>
    </row>
    <row r="100" spans="1:35" ht="18.75" customHeight="1">
      <c r="A100" s="3358" t="s">
        <v>1425</v>
      </c>
      <c r="B100" s="3359"/>
      <c r="C100" s="3359"/>
      <c r="D100" s="3378"/>
      <c r="E100" s="3359" t="s">
        <v>1426</v>
      </c>
      <c r="F100" s="3359"/>
      <c r="G100" s="3359"/>
      <c r="H100" s="3378"/>
      <c r="I100" s="115"/>
    </row>
    <row r="101" spans="1:35" ht="18.75" customHeight="1">
      <c r="A101" s="3443" t="s">
        <v>1427</v>
      </c>
      <c r="B101" s="3444"/>
      <c r="C101" s="2354" t="str">
        <f>C4</f>
        <v>成本法-地下2层</v>
      </c>
      <c r="D101" s="2355" t="str">
        <f>D4</f>
        <v>收益法-地下2层</v>
      </c>
      <c r="E101" s="3457" t="s">
        <v>1428</v>
      </c>
      <c r="F101" s="3413"/>
      <c r="G101" s="1679" t="s">
        <v>1429</v>
      </c>
      <c r="H101" s="2364">
        <f ca="1">H118</f>
        <v>4946</v>
      </c>
      <c r="I101" s="115"/>
    </row>
    <row r="102" spans="1:35" ht="18.75" customHeight="1">
      <c r="A102" s="3415" t="s">
        <v>1430</v>
      </c>
      <c r="B102" s="2353" t="s">
        <v>1429</v>
      </c>
      <c r="C102" s="2354">
        <f ca="1">IF(D32="楼面单价",ROUND(C19,0),C19)</f>
        <v>3862</v>
      </c>
      <c r="D102" s="2355">
        <f ca="1">IF(D32="楼面单价",ROUND(D19,0),D19)</f>
        <v>5833</v>
      </c>
      <c r="E102" s="3457"/>
      <c r="F102" s="3413"/>
      <c r="G102" s="1679" t="s">
        <v>1431</v>
      </c>
      <c r="H102" s="2324">
        <f ca="1">I118</f>
        <v>17340</v>
      </c>
      <c r="I102" s="115"/>
    </row>
    <row r="103" spans="1:35" ht="42.75" customHeight="1">
      <c r="A103" s="3415"/>
      <c r="B103" s="2353" t="s">
        <v>1431</v>
      </c>
      <c r="C103" s="2356">
        <f ca="1">C20</f>
        <v>13540</v>
      </c>
      <c r="D103" s="2357">
        <f ca="1">D20</f>
        <v>20450</v>
      </c>
      <c r="E103" s="3451" t="s">
        <v>1432</v>
      </c>
      <c r="F103" s="3452"/>
      <c r="G103" s="1680" t="s">
        <v>1433</v>
      </c>
      <c r="H103" s="2364">
        <f>IF(D36="正常操作",H104+H105+H106,H105+H106)</f>
        <v>0</v>
      </c>
      <c r="I103" s="115"/>
    </row>
    <row r="104" spans="1:35" ht="18.75" customHeight="1">
      <c r="A104" s="3415" t="s">
        <v>1434</v>
      </c>
      <c r="B104" s="2358" t="s">
        <v>1429</v>
      </c>
      <c r="C104" s="2359">
        <f ca="1">H118</f>
        <v>4946</v>
      </c>
      <c r="D104" s="2360"/>
      <c r="E104" s="1547" t="s">
        <v>1435</v>
      </c>
      <c r="F104" s="1540"/>
      <c r="G104" s="1680" t="s">
        <v>1433</v>
      </c>
      <c r="H104" s="2365">
        <f>IF(D36="同一抵押权人同一抵押物续贷",C36&amp;"（续贷，未扣减，详见特别提示）",C36)</f>
        <v>0</v>
      </c>
      <c r="I104" s="115"/>
    </row>
    <row r="105" spans="1:35" ht="18.75" customHeight="1" thickBot="1">
      <c r="A105" s="3416"/>
      <c r="B105" s="2361" t="s">
        <v>1431</v>
      </c>
      <c r="C105" s="2362">
        <f ca="1">I118</f>
        <v>17340</v>
      </c>
      <c r="D105" s="2363"/>
      <c r="E105" s="1547" t="s">
        <v>1436</v>
      </c>
      <c r="F105" s="1540"/>
      <c r="G105" s="1680" t="s">
        <v>1433</v>
      </c>
      <c r="H105" s="2366">
        <f>C37</f>
        <v>0</v>
      </c>
      <c r="I105" s="115"/>
    </row>
    <row r="106" spans="1:35" ht="18.75" customHeight="1">
      <c r="A106" s="638" t="s">
        <v>1437</v>
      </c>
      <c r="B106" s="638"/>
      <c r="C106" s="638"/>
      <c r="D106" s="638"/>
      <c r="E106" s="1681" t="s">
        <v>1438</v>
      </c>
      <c r="F106" s="1540"/>
      <c r="G106" s="1680" t="s">
        <v>1433</v>
      </c>
      <c r="H106" s="2366">
        <f>C38</f>
        <v>0</v>
      </c>
      <c r="I106" s="115"/>
    </row>
    <row r="107" spans="1:35" ht="18.75" customHeight="1">
      <c r="A107" s="115"/>
      <c r="B107" s="115"/>
      <c r="C107" s="115"/>
      <c r="D107" s="115"/>
      <c r="E107" s="3412" t="str">
        <f>IF(项目基本情况!E8="已注销","——","3.房地产抵押价值")</f>
        <v>3.房地产抵押价值</v>
      </c>
      <c r="F107" s="3413"/>
      <c r="G107" s="1679" t="s">
        <v>1429</v>
      </c>
      <c r="H107" s="2364">
        <f ca="1">IF(E107="——","——",H101-H103)</f>
        <v>4946</v>
      </c>
      <c r="I107" s="115"/>
    </row>
    <row r="108" spans="1:35" ht="18.75" customHeight="1">
      <c r="A108" s="115"/>
      <c r="B108" s="115"/>
      <c r="C108" s="115"/>
      <c r="D108" s="115"/>
      <c r="E108" s="3412"/>
      <c r="F108" s="3413"/>
      <c r="G108" s="1679" t="s">
        <v>1431</v>
      </c>
      <c r="H108" s="2324">
        <f ca="1">IF(H107=H101,H102,ROUND(H107*10000/'数据-汇总表'!E3,0))</f>
        <v>17340</v>
      </c>
      <c r="I108" s="115"/>
    </row>
    <row r="109" spans="1:35" ht="18.75" customHeight="1">
      <c r="A109" s="115"/>
      <c r="B109" s="115"/>
      <c r="C109" s="115"/>
      <c r="D109" s="115"/>
      <c r="E109" s="3412" t="str">
        <f>IF(项目基本情况!E8="已注销及未注销","4.抵押担保权已注销时的房地产抵押价值",IF(项目基本情况!E8="已注销","3.抵押担保权已注销时的房地产抵押价值","——"))</f>
        <v>——</v>
      </c>
      <c r="F109" s="3413"/>
      <c r="G109" s="1679" t="s">
        <v>1429</v>
      </c>
      <c r="H109" s="2367" t="str">
        <f>IF(E109="——","——",H101-H105-H106)</f>
        <v>——</v>
      </c>
      <c r="I109" s="115"/>
    </row>
    <row r="110" spans="1:35" ht="18.75" customHeight="1">
      <c r="A110" s="115"/>
      <c r="B110" s="115"/>
      <c r="C110" s="115"/>
      <c r="D110" s="115"/>
      <c r="E110" s="3412"/>
      <c r="F110" s="3413"/>
      <c r="G110" s="1679" t="s">
        <v>1431</v>
      </c>
      <c r="H110" s="2324" t="str">
        <f>IF(H109="——","——",ROUND(H109*10000/'数据-汇总表'!E3,0))</f>
        <v>——</v>
      </c>
      <c r="I110" s="115"/>
    </row>
    <row r="111" spans="1:35" ht="18.75" customHeight="1">
      <c r="A111" s="115"/>
      <c r="B111" s="115"/>
      <c r="C111" s="115"/>
      <c r="D111" s="115"/>
      <c r="E111" s="3445" t="str">
        <f>IF(项目基本情况!E9="抵押净值",IF(OR(项目基本情况!E8="已注销",项目基本情况!E8="房地产抵押价值"),"4.抵押净值","5.抵押净值"),"——")</f>
        <v>——</v>
      </c>
      <c r="F111" s="3414"/>
      <c r="G111" s="1679" t="s">
        <v>1429</v>
      </c>
      <c r="H111" s="2364" t="str">
        <f>IF(E111="——","——",N59)</f>
        <v>——</v>
      </c>
      <c r="I111" s="115"/>
    </row>
    <row r="112" spans="1:35" ht="18.75" customHeight="1" thickBot="1">
      <c r="A112" s="115"/>
      <c r="B112" s="115"/>
      <c r="C112" s="115"/>
      <c r="D112" s="115"/>
      <c r="E112" s="3446"/>
      <c r="F112" s="3447"/>
      <c r="G112" s="1682" t="s">
        <v>1431</v>
      </c>
      <c r="H112" s="2368" t="str">
        <f>IF(E111="——","——",N61)</f>
        <v>——</v>
      </c>
      <c r="I112" s="115"/>
    </row>
    <row r="113" spans="1:27" ht="18.75" customHeight="1">
      <c r="A113" s="115"/>
      <c r="B113" s="115"/>
      <c r="C113" s="115"/>
      <c r="D113" s="115"/>
      <c r="E113" s="3417" t="s">
        <v>1437</v>
      </c>
      <c r="F113" s="3417"/>
      <c r="G113" s="3417"/>
      <c r="H113" s="3417"/>
      <c r="I113" s="115"/>
    </row>
    <row r="114" spans="1:27" ht="3.75" customHeight="1">
      <c r="A114" s="638"/>
      <c r="B114" s="638"/>
      <c r="C114" s="638"/>
      <c r="D114" s="638"/>
      <c r="E114" s="1663"/>
      <c r="F114" s="1663"/>
      <c r="G114" s="1663"/>
      <c r="H114" s="1663"/>
      <c r="I114" s="638"/>
    </row>
    <row r="115" spans="1:27" ht="18.75" customHeight="1">
      <c r="A115" s="3427" t="s">
        <v>1439</v>
      </c>
      <c r="B115" s="3428"/>
      <c r="C115" s="3428"/>
      <c r="D115" s="3428"/>
      <c r="E115" s="3428"/>
      <c r="F115" s="3428"/>
      <c r="G115" s="3428"/>
      <c r="H115" s="3428"/>
      <c r="I115" s="3429"/>
    </row>
    <row r="116" spans="1:27" ht="27" customHeight="1">
      <c r="A116" s="3380" t="s">
        <v>1440</v>
      </c>
      <c r="B116" s="3418" t="s">
        <v>3733</v>
      </c>
      <c r="C116" s="3418" t="s">
        <v>3734</v>
      </c>
      <c r="D116" s="3432" t="s">
        <v>1441</v>
      </c>
      <c r="E116" s="3433"/>
      <c r="F116" s="3426" t="s">
        <v>3735</v>
      </c>
      <c r="G116" s="3426"/>
      <c r="H116" s="3380" t="s">
        <v>1442</v>
      </c>
      <c r="I116" s="3380"/>
    </row>
    <row r="117" spans="1:27" ht="18.75" customHeight="1">
      <c r="A117" s="3380"/>
      <c r="B117" s="3419"/>
      <c r="C117" s="3419"/>
      <c r="D117" s="2142" t="s">
        <v>1443</v>
      </c>
      <c r="E117" s="2142" t="s">
        <v>1444</v>
      </c>
      <c r="F117" s="2142" t="s">
        <v>1443</v>
      </c>
      <c r="G117" s="2142" t="s">
        <v>1445</v>
      </c>
      <c r="H117" s="2142" t="s">
        <v>1443</v>
      </c>
      <c r="I117" s="2142" t="s">
        <v>1445</v>
      </c>
    </row>
    <row r="118" spans="1:27" ht="24.75" customHeight="1">
      <c r="A118" s="2369" t="str">
        <f>项目基本情况!S2</f>
        <v>北京市朝阳区清林东路4号6号楼负2层B202、负3层B302商业用房房地产</v>
      </c>
      <c r="B118" s="2142">
        <f>M18</f>
        <v>2852.38</v>
      </c>
      <c r="C118" s="2142">
        <f>M19</f>
        <v>0</v>
      </c>
      <c r="D118" s="2142">
        <f ca="1">ROUND(IF(D32="总价",C34,E118*B118/10000),0)</f>
        <v>2458</v>
      </c>
      <c r="E118" s="2142">
        <f ca="1">ROUND(IF(C33="自定义",IF(D32="楼面单价",C34,D118*10000/B118),I118-G118),0)</f>
        <v>8617</v>
      </c>
      <c r="F118" s="2142">
        <f ca="1">ROUND(IF(D32="总价",C35,G118*B118/10000),0)</f>
        <v>2488</v>
      </c>
      <c r="G118" s="2142">
        <f ca="1">ROUND(IF(D32="楼面单价",C35,F118*10000/B118),0)</f>
        <v>8723</v>
      </c>
      <c r="H118" s="2142">
        <f ca="1">ROUND(IF(D32="总价",C32,I118*B118/10000),0)</f>
        <v>4946</v>
      </c>
      <c r="I118" s="2142">
        <f ca="1">ROUND(IF(D32="楼面单价",C32,H118*10000/B118),0)</f>
        <v>17340</v>
      </c>
    </row>
    <row r="119" spans="1:27" ht="18.75" customHeight="1">
      <c r="A119" s="3380" t="s">
        <v>1446</v>
      </c>
      <c r="B119" s="3380"/>
      <c r="C119" s="3380"/>
      <c r="D119" s="3423" t="str">
        <f ca="1">NUMBERSTRING(INT(D118*10000),2)&amp;"元整"</f>
        <v>贰仟肆佰伍拾捌万元整</v>
      </c>
      <c r="E119" s="3425"/>
      <c r="F119" s="3423" t="str">
        <f ca="1">NUMBERSTRING(INT(F118*10000),2)&amp;"元整"</f>
        <v>贰仟肆佰捌拾捌万元整</v>
      </c>
      <c r="G119" s="3425"/>
      <c r="H119" s="3423" t="str">
        <f ca="1">NUMBERSTRING(INT(H118*10000),2)&amp;"元整"</f>
        <v>肆仟玖佰肆拾陆万元整</v>
      </c>
      <c r="I119" s="3425"/>
    </row>
    <row r="120" spans="1:27" ht="18.75" customHeight="1">
      <c r="A120" s="3448" t="str">
        <f>IF(项目基本情况!B9="房地产市场价值","",MID(E103,3,LEN(E103)-2))</f>
        <v>估价师知悉的法定优先受偿款</v>
      </c>
      <c r="B120" s="3449"/>
      <c r="C120" s="3450"/>
      <c r="D120" s="3448">
        <f>H103</f>
        <v>0</v>
      </c>
      <c r="E120" s="3449"/>
      <c r="F120" s="3449"/>
      <c r="G120" s="3449"/>
      <c r="H120" s="3449"/>
      <c r="I120" s="3450"/>
      <c r="J120" s="1615"/>
      <c r="K120" s="1615" t="str">
        <f>IF(D120=0,"故，本次评估不存在"&amp;A120,"故，本次评估"&amp;A120&amp;"为人民币"&amp;D120&amp;"万元整。")</f>
        <v>故，本次评估不存在估价师知悉的法定优先受偿款</v>
      </c>
      <c r="L120" s="1615"/>
      <c r="M120" s="1615"/>
      <c r="N120" s="1615"/>
      <c r="O120" s="1615"/>
      <c r="P120" s="1615"/>
      <c r="Q120" s="1615"/>
      <c r="R120" s="1615"/>
      <c r="S120" s="1615"/>
    </row>
    <row r="121" spans="1:27" ht="18.75" customHeight="1">
      <c r="A121" s="3423" t="s">
        <v>1446</v>
      </c>
      <c r="B121" s="3424"/>
      <c r="C121" s="3425"/>
      <c r="D121" s="3423" t="str">
        <f>IF(D120=0,"零元整",NUMBERSTRING(INT(D120*10000),2)&amp;"元整")</f>
        <v>零元整</v>
      </c>
      <c r="E121" s="3424"/>
      <c r="F121" s="3424"/>
      <c r="G121" s="3424"/>
      <c r="H121" s="3424"/>
      <c r="I121" s="3425"/>
      <c r="AA121" s="676"/>
    </row>
    <row r="122" spans="1:27" ht="18.75" customHeight="1">
      <c r="A122" s="3414" t="str">
        <f>IF(项目基本情况!B9="房地产市场价值","",MID(E107,3,LEN(E107)-2))</f>
        <v>房地产抵押价值</v>
      </c>
      <c r="B122" s="3414"/>
      <c r="C122" s="3414"/>
      <c r="D122" s="3448">
        <f ca="1">H107</f>
        <v>4946</v>
      </c>
      <c r="E122" s="3449"/>
      <c r="F122" s="3449"/>
      <c r="G122" s="3449"/>
      <c r="H122" s="3449"/>
      <c r="I122" s="3450"/>
      <c r="AA122" s="676"/>
    </row>
    <row r="123" spans="1:27" ht="18.75" customHeight="1">
      <c r="A123" s="3380" t="s">
        <v>1446</v>
      </c>
      <c r="B123" s="3380"/>
      <c r="C123" s="3380"/>
      <c r="D123" s="3423" t="str">
        <f ca="1">NUMBERSTRING(INT(D122*10000),2)&amp;"元整"</f>
        <v>肆仟玖佰肆拾陆万元整</v>
      </c>
      <c r="E123" s="3424"/>
      <c r="F123" s="3424"/>
      <c r="G123" s="3424"/>
      <c r="H123" s="3424"/>
      <c r="I123" s="3425"/>
      <c r="AA123" s="676"/>
    </row>
    <row r="124" spans="1:27" ht="18.75" customHeight="1">
      <c r="A124" s="3414" t="str">
        <f>IF(项目基本情况!B9="房地产市场价值","",MID(E109,3,LEN(E109)-2))</f>
        <v/>
      </c>
      <c r="B124" s="3414"/>
      <c r="C124" s="3414"/>
      <c r="D124" s="3448" t="str">
        <f>H109</f>
        <v>——</v>
      </c>
      <c r="E124" s="3449"/>
      <c r="F124" s="3449"/>
      <c r="G124" s="3449"/>
      <c r="H124" s="3449"/>
      <c r="I124" s="3450"/>
      <c r="AA124" s="676"/>
    </row>
    <row r="125" spans="1:27" ht="18.75" customHeight="1">
      <c r="A125" s="3380" t="s">
        <v>1446</v>
      </c>
      <c r="B125" s="3380"/>
      <c r="C125" s="3380"/>
      <c r="D125" s="3423" t="e">
        <f>NUMBERSTRING(INT(D124*10000),2)&amp;"元整"</f>
        <v>#VALUE!</v>
      </c>
      <c r="E125" s="3424"/>
      <c r="F125" s="3424"/>
      <c r="G125" s="3424"/>
      <c r="H125" s="3424"/>
      <c r="I125" s="3425"/>
      <c r="AA125" s="676"/>
    </row>
    <row r="126" spans="1:27" ht="18.75" customHeight="1">
      <c r="A126" s="3414" t="str">
        <f>IF(项目基本情况!B9="房地产市场价值","",MID(E111,3,LEN(E111)-2))</f>
        <v/>
      </c>
      <c r="B126" s="3414"/>
      <c r="C126" s="3414"/>
      <c r="D126" s="3448" t="str">
        <f>H111</f>
        <v>——</v>
      </c>
      <c r="E126" s="3449"/>
      <c r="F126" s="3449"/>
      <c r="G126" s="3449"/>
      <c r="H126" s="3449"/>
      <c r="I126" s="3450"/>
      <c r="AA126" s="676"/>
    </row>
    <row r="127" spans="1:27" ht="18.75" customHeight="1">
      <c r="A127" s="3380" t="s">
        <v>1446</v>
      </c>
      <c r="B127" s="3380"/>
      <c r="C127" s="3380"/>
      <c r="D127" s="3423" t="e">
        <f>NUMBERSTRING(INT(D126*10000),2)&amp;"元整"</f>
        <v>#VALUE!</v>
      </c>
      <c r="E127" s="3424"/>
      <c r="F127" s="3424"/>
      <c r="G127" s="3424"/>
      <c r="H127" s="3424"/>
      <c r="I127" s="3425"/>
      <c r="AA127" s="676"/>
    </row>
    <row r="128" spans="1:27" ht="21.75" customHeight="1">
      <c r="A128" s="3431" t="s">
        <v>1447</v>
      </c>
      <c r="B128" s="3431"/>
      <c r="C128" s="3431"/>
      <c r="D128" s="3431"/>
      <c r="E128" s="3431"/>
      <c r="F128" s="3431"/>
      <c r="G128" s="3431"/>
      <c r="H128" s="3431"/>
      <c r="I128" s="3431"/>
      <c r="AA128" s="676"/>
    </row>
    <row r="129" spans="1:35" ht="21.75" customHeight="1">
      <c r="A129" s="1683" t="s">
        <v>1448</v>
      </c>
      <c r="B129" s="1684"/>
      <c r="C129" s="1685" t="s">
        <v>1449</v>
      </c>
      <c r="D129" s="1686"/>
      <c r="E129" s="1686"/>
      <c r="F129" s="1686"/>
      <c r="G129" s="1686"/>
      <c r="H129" s="1687"/>
      <c r="I129" s="1688"/>
      <c r="AA129" s="676"/>
    </row>
    <row r="130" spans="1:35" ht="21.75" customHeight="1">
      <c r="A130" s="1689">
        <v>1</v>
      </c>
      <c r="B130" s="1690"/>
      <c r="C130" s="1690"/>
      <c r="D130" s="680"/>
      <c r="E130" s="680"/>
      <c r="F130" s="680"/>
      <c r="G130" s="680"/>
      <c r="H130" s="679"/>
      <c r="I130" s="1691"/>
      <c r="AA130" s="676"/>
    </row>
    <row r="131" spans="1:35" ht="21.75" customHeight="1">
      <c r="A131" s="1689">
        <v>2</v>
      </c>
      <c r="B131" s="1690"/>
      <c r="C131" s="1690"/>
      <c r="D131" s="680"/>
      <c r="E131" s="680"/>
      <c r="F131" s="680"/>
      <c r="G131" s="680"/>
      <c r="H131" s="679"/>
      <c r="I131" s="1691"/>
      <c r="AA131" s="676"/>
    </row>
    <row r="132" spans="1:35" ht="21.75" customHeight="1">
      <c r="A132" s="1689">
        <v>3</v>
      </c>
      <c r="B132" s="1690"/>
      <c r="C132" s="1690"/>
      <c r="D132" s="680"/>
      <c r="E132" s="680"/>
      <c r="F132" s="680"/>
      <c r="G132" s="680"/>
      <c r="H132" s="679"/>
      <c r="I132" s="1691"/>
      <c r="AA132" s="676"/>
    </row>
    <row r="133" spans="1:35" ht="21.75" customHeight="1">
      <c r="A133" s="1692"/>
      <c r="B133" s="1693"/>
      <c r="C133" s="1693"/>
      <c r="D133" s="1694"/>
      <c r="E133" s="1694"/>
      <c r="F133" s="1694"/>
      <c r="G133" s="1694"/>
      <c r="H133" s="1695"/>
      <c r="I133" s="1696"/>
    </row>
    <row r="134" spans="1:35" ht="21.75" customHeight="1">
      <c r="A134" s="1690"/>
      <c r="B134" s="1690"/>
      <c r="C134" s="1690"/>
      <c r="D134" s="680"/>
      <c r="E134" s="680"/>
      <c r="F134" s="680"/>
      <c r="G134" s="680"/>
      <c r="H134" s="679"/>
      <c r="I134" s="676"/>
    </row>
    <row r="135" spans="1:35" ht="21.75" customHeight="1">
      <c r="A135" s="676"/>
      <c r="B135" s="676"/>
      <c r="C135" s="676"/>
      <c r="D135" s="676"/>
      <c r="E135" s="676"/>
      <c r="F135" s="1697" t="s">
        <v>1450</v>
      </c>
      <c r="G135" s="1698"/>
      <c r="H135" s="1698"/>
      <c r="I135" s="1699" t="s">
        <v>1451</v>
      </c>
    </row>
    <row r="136" spans="1:35" ht="21.75" customHeight="1">
      <c r="A136" s="676"/>
      <c r="B136" s="1700" t="s">
        <v>1452</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8"/>
      <c r="C138" s="1698"/>
      <c r="D138" s="1698"/>
      <c r="E138" s="1698"/>
      <c r="F138" s="1698"/>
      <c r="G138" s="1698"/>
      <c r="H138" s="1698"/>
      <c r="I138" s="1699" t="s">
        <v>1453</v>
      </c>
    </row>
    <row r="139" spans="1:35" ht="21.75" customHeight="1">
      <c r="A139" s="676"/>
      <c r="B139" s="1700" t="s">
        <v>1454</v>
      </c>
      <c r="C139" s="676"/>
      <c r="D139" s="676"/>
      <c r="E139" s="676"/>
      <c r="F139" s="676"/>
      <c r="G139" s="676"/>
      <c r="H139" s="676"/>
      <c r="I139" s="676"/>
    </row>
    <row r="140" spans="1:35" ht="21.75" customHeight="1">
      <c r="A140" s="676"/>
      <c r="B140" s="1700"/>
      <c r="C140" s="676"/>
      <c r="D140" s="676"/>
      <c r="E140" s="676"/>
      <c r="F140" s="676"/>
      <c r="G140" s="676"/>
      <c r="H140" s="676"/>
      <c r="I140" s="676"/>
    </row>
    <row r="141" spans="1:35" ht="21.75" customHeight="1">
      <c r="A141" s="676"/>
      <c r="B141" s="1698"/>
      <c r="C141" s="1698"/>
      <c r="D141" s="1698"/>
      <c r="E141" s="1698"/>
      <c r="F141" s="1698"/>
      <c r="G141" s="1698"/>
      <c r="H141" s="1698"/>
      <c r="I141" s="1699" t="s">
        <v>1453</v>
      </c>
    </row>
    <row r="142" spans="1:35" ht="21.75" customHeight="1">
      <c r="A142" s="676"/>
      <c r="B142" s="1700"/>
      <c r="C142" s="1701"/>
      <c r="D142" s="1702"/>
      <c r="E142" s="1702"/>
      <c r="F142" s="1606"/>
      <c r="G142" s="676"/>
      <c r="H142" s="676"/>
      <c r="I142" s="676"/>
    </row>
    <row r="143" spans="1:35" s="116" customFormat="1" ht="21.75" customHeight="1">
      <c r="A143" s="676"/>
      <c r="B143" s="1700"/>
      <c r="C143" s="1701"/>
      <c r="D143" s="1702"/>
      <c r="E143" s="1702"/>
      <c r="F143" s="160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5"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5"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5"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5"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5"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5"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5"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5"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5"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5"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5"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5"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5"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5"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5"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5"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5"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5"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5"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5"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5"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5"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5"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5"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5"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5"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5"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5"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5"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5"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5"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5"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5"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5"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5"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5"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5"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5"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5"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5"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5"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5"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5"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5"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5"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5"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5"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5"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5"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5"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5"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5"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5"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5"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5"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5"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5"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5"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5"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5"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5"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5"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5"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5"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5"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5"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5"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5"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5"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5"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5"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5"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5"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5"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5"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5"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5"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5"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5"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5"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5"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5"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5"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5"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5"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5"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5"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5"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5"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5"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5"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5"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5"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5"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5"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5"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5"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5"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5"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5"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5"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5"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5"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5"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J33" sqref="J33"/>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1" customWidth="1"/>
    <col min="33" max="36" width="9.375" style="1887" customWidth="1"/>
    <col min="37" max="38" width="9.375" style="1837" customWidth="1"/>
    <col min="39" max="16384" width="12" style="1837"/>
  </cols>
  <sheetData>
    <row r="1" spans="1:36" ht="28.5">
      <c r="A1" s="182" t="s">
        <v>1920</v>
      </c>
      <c r="B1" s="183"/>
      <c r="C1" s="187" t="s">
        <v>1921</v>
      </c>
      <c r="D1" s="327">
        <f>SUM(D33:D34,D37:D42)</f>
        <v>5979.5300000000007</v>
      </c>
      <c r="E1" s="1834"/>
      <c r="F1" s="1834"/>
      <c r="G1" s="1834"/>
      <c r="H1" s="1834"/>
      <c r="I1" s="1834"/>
      <c r="J1" s="1834"/>
      <c r="K1" s="1049"/>
      <c r="L1" s="1835" t="s">
        <v>1922</v>
      </c>
      <c r="M1" s="803">
        <f>SUMPRODUCT((区片价!B5:B9=I2)*(区片价!C3:G3=E2)*(区片价!C5:G9))</f>
        <v>0</v>
      </c>
      <c r="N1" s="806">
        <f>SUMPRODUCT((因素修正幅度!B5:B9=I2)*(因素修正幅度!C3:G3=E2)*(因素修正幅度!C5:G9))</f>
        <v>0</v>
      </c>
      <c r="O1" s="1836"/>
      <c r="P1" s="1836"/>
      <c r="Q1" s="1049"/>
      <c r="R1" s="1122" t="s">
        <v>1923</v>
      </c>
      <c r="S1" s="1122" t="s">
        <v>1924</v>
      </c>
      <c r="T1" s="1122" t="s">
        <v>1925</v>
      </c>
      <c r="U1" s="1122" t="s">
        <v>1926</v>
      </c>
      <c r="V1" s="1122" t="s">
        <v>1927</v>
      </c>
      <c r="W1" s="1126"/>
      <c r="X1" s="1126"/>
      <c r="Y1" s="1126"/>
      <c r="Z1" s="1126"/>
      <c r="AA1" s="1126"/>
      <c r="AB1" s="1126"/>
      <c r="AC1" s="1127"/>
      <c r="AD1" s="1128"/>
      <c r="AE1" s="1128"/>
      <c r="AF1" s="1128"/>
      <c r="AG1" s="1128"/>
      <c r="AH1" s="1128"/>
      <c r="AI1" s="1128"/>
      <c r="AJ1" s="1129"/>
    </row>
    <row r="2" spans="1:36" ht="15.75">
      <c r="A2" s="187" t="s">
        <v>1928</v>
      </c>
      <c r="B2" s="190">
        <f>C30</f>
        <v>2304</v>
      </c>
      <c r="C2" s="1838" t="s">
        <v>1929</v>
      </c>
      <c r="D2" s="156" t="s">
        <v>1930</v>
      </c>
      <c r="E2" s="3101" t="s">
        <v>670</v>
      </c>
      <c r="F2" s="156" t="s">
        <v>1931</v>
      </c>
      <c r="G2" s="157" t="str">
        <f>IF(E2="商业",项目基本情况!B37,IF(E2="办公",项目基本情况!C37,IF(E2="住宅",项目基本情况!D37,IF(E2="工业",项目基本情况!E37,项目基本情况!F37))))</f>
        <v>五级</v>
      </c>
      <c r="H2" s="156" t="s">
        <v>1932</v>
      </c>
      <c r="I2" s="157" t="str">
        <f>IF(E2="商业",项目基本情况!B38,IF(E2="办公",项目基本情况!C38,IF(E2="住宅",项目基本情况!D38,IF(E2="工业",项目基本情况!E38,项目基本情况!F38))))</f>
        <v>Ⅴ-32</v>
      </c>
      <c r="J2" s="1834"/>
      <c r="K2" s="1049"/>
      <c r="L2" s="1839" t="s">
        <v>1933</v>
      </c>
      <c r="M2" s="804">
        <f>SUMPRODUCT((区片价!B10:B29=I2)*(区片价!C3:G3=E2)*(区片价!C10:G29))</f>
        <v>0</v>
      </c>
      <c r="N2" s="806">
        <f>SUMPRODUCT((因素修正幅度!B10:B29=I2)*(因素修正幅度!C3:G3=E2)*(因素修正幅度!C10:G29))</f>
        <v>0</v>
      </c>
      <c r="O2" s="1049"/>
      <c r="P2" s="1049"/>
      <c r="Q2" s="1049"/>
      <c r="R2" s="1122">
        <v>1</v>
      </c>
      <c r="S2" s="3044">
        <f>ROUND(SUMPRODUCT((B106:B110=R2)*(C105:N105=G2)*(C106:N110)),4)</f>
        <v>1.5019</v>
      </c>
      <c r="T2" s="3044">
        <f t="shared" ref="T2:T16" si="0">ROUND($C$5*$C$22*$C$23*$C$24*S2*$C$28,0)</f>
        <v>21139</v>
      </c>
      <c r="U2" s="1123"/>
      <c r="V2" s="3044">
        <f>ROUND(T2*U2/10000,0)</f>
        <v>0</v>
      </c>
      <c r="W2" s="1126"/>
      <c r="X2" s="1126"/>
      <c r="Y2" s="1126"/>
      <c r="Z2" s="1126"/>
      <c r="AA2" s="1126"/>
      <c r="AB2" s="1126"/>
      <c r="AC2" s="1127"/>
      <c r="AD2" s="1128"/>
      <c r="AE2" s="1128"/>
      <c r="AF2" s="1128"/>
      <c r="AG2" s="1128"/>
      <c r="AH2" s="1128"/>
      <c r="AI2" s="1128"/>
      <c r="AJ2" s="1129"/>
    </row>
    <row r="3" spans="1:36" ht="15.75">
      <c r="A3" s="189" t="s">
        <v>1934</v>
      </c>
      <c r="B3" s="190">
        <f>ROUND(B2*10000/D1,0)</f>
        <v>3853</v>
      </c>
      <c r="C3" s="1838" t="s">
        <v>1935</v>
      </c>
      <c r="D3" s="156" t="s">
        <v>1936</v>
      </c>
      <c r="E3" s="3099" t="s">
        <v>2437</v>
      </c>
      <c r="F3" s="1840" t="s">
        <v>3711</v>
      </c>
      <c r="G3" s="701">
        <f>IF(F3="宗地容积率",'数据-汇总表'!I4,IF(F3="估价对象容积率",'数据-汇总表'!I6,'数据-汇总表'!I7))</f>
        <v>2.5</v>
      </c>
      <c r="H3" s="156" t="s">
        <v>1937</v>
      </c>
      <c r="I3" s="722"/>
      <c r="J3" s="1834" t="s">
        <v>1938</v>
      </c>
      <c r="K3" s="1049"/>
      <c r="L3" s="1839" t="s">
        <v>1939</v>
      </c>
      <c r="M3" s="804">
        <f>SUMPRODUCT((区片价!B30:B54=I2)*(区片价!C3:G3=E2)*(区片价!C30:G54))</f>
        <v>0</v>
      </c>
      <c r="N3" s="806">
        <f>SUMPRODUCT((因素修正幅度!B30:B54=I2)*(因素修正幅度!C3:G3=E2)*(因素修正幅度!C30:G54))</f>
        <v>0</v>
      </c>
      <c r="O3" s="1049"/>
      <c r="P3" s="1049"/>
      <c r="Q3" s="1049"/>
      <c r="R3" s="1122">
        <v>2</v>
      </c>
      <c r="S3" s="3044">
        <f>ROUND(SUMPRODUCT((B106:B110=R3)*(C105:N105=G2)*(C106:N110)),4)</f>
        <v>1.1838</v>
      </c>
      <c r="T3" s="3044">
        <f t="shared" si="0"/>
        <v>16662</v>
      </c>
      <c r="U3" s="1123"/>
      <c r="V3" s="3044">
        <f t="shared" ref="V3:V16" si="1">ROUND(T3*U3/10000,0)</f>
        <v>0</v>
      </c>
      <c r="W3" s="1126"/>
      <c r="X3" s="1126"/>
      <c r="Y3" s="1126"/>
      <c r="Z3" s="1126"/>
      <c r="AA3" s="1126"/>
      <c r="AB3" s="1126"/>
      <c r="AC3" s="1127"/>
      <c r="AD3" s="1128"/>
      <c r="AE3" s="1128"/>
      <c r="AF3" s="1128"/>
      <c r="AG3" s="1128"/>
      <c r="AH3" s="1128"/>
      <c r="AI3" s="1128"/>
      <c r="AJ3" s="1129"/>
    </row>
    <row r="4" spans="1:36" ht="15.75">
      <c r="A4" s="3471"/>
      <c r="B4" s="3472"/>
      <c r="C4" s="3472"/>
      <c r="D4" s="3473"/>
      <c r="E4" s="3473"/>
      <c r="F4" s="3473"/>
      <c r="G4" s="3473"/>
      <c r="H4" s="3473"/>
      <c r="I4" s="3473"/>
      <c r="J4" s="3474"/>
      <c r="K4" s="1049"/>
      <c r="L4" s="1839" t="s">
        <v>1940</v>
      </c>
      <c r="M4" s="804">
        <f>SUMPRODUCT((区片价!B55:B86=I2)*(区片价!C3:G3=E2)*(区片价!C55:G86))</f>
        <v>0</v>
      </c>
      <c r="N4" s="806">
        <f>SUMPRODUCT((因素修正幅度!B55:B86=I2)*(因素修正幅度!C3:G3=E2)*(因素修正幅度!C55:G86))</f>
        <v>0</v>
      </c>
      <c r="O4" s="1049"/>
      <c r="P4" s="1049"/>
      <c r="Q4" s="1049"/>
      <c r="R4" s="1122">
        <v>3</v>
      </c>
      <c r="S4" s="3044">
        <f>ROUND(SUMPRODUCT((B106:B110=R4)*(C105:N105=G2)*(C106:N110)),4)</f>
        <v>1.0004999999999999</v>
      </c>
      <c r="T4" s="3044">
        <f t="shared" si="0"/>
        <v>14082</v>
      </c>
      <c r="U4" s="1123"/>
      <c r="V4" s="3044">
        <f t="shared" si="1"/>
        <v>0</v>
      </c>
      <c r="W4" s="1126"/>
      <c r="X4" s="1126"/>
      <c r="Y4" s="1126"/>
      <c r="Z4" s="1126"/>
      <c r="AA4" s="1126"/>
      <c r="AB4" s="1126"/>
      <c r="AC4" s="1127"/>
      <c r="AD4" s="1128"/>
      <c r="AE4" s="1128"/>
      <c r="AF4" s="1128"/>
      <c r="AG4" s="1128"/>
      <c r="AH4" s="1128"/>
      <c r="AI4" s="1128"/>
      <c r="AJ4" s="1129"/>
    </row>
    <row r="5" spans="1:36" s="1850" customFormat="1" ht="15.75" thickBot="1">
      <c r="A5" s="1841" t="s">
        <v>362</v>
      </c>
      <c r="B5" s="1842" t="s">
        <v>1941</v>
      </c>
      <c r="C5" s="702">
        <f>ROUND(IF(E2="商业",C6*C7*C17+C20,(IF(E2="住宅",C6*C13*C17+C20,IF(E2="办公",C6*C12*C17+C20,C6+C20)))),0)</f>
        <v>14860</v>
      </c>
      <c r="D5" s="1244">
        <f>ROUND(C6*C17+C20,0)</f>
        <v>14860</v>
      </c>
      <c r="E5" s="1244"/>
      <c r="F5" s="1843"/>
      <c r="G5" s="1844"/>
      <c r="H5" s="1844"/>
      <c r="I5" s="1844"/>
      <c r="J5" s="1845"/>
      <c r="K5" s="1846"/>
      <c r="L5" s="1839" t="s">
        <v>1942</v>
      </c>
      <c r="M5" s="804">
        <f>SUMPRODUCT((区片价!B87:B126=I2)*(区片价!C3:G3=E2)*(区片价!C87:G126))</f>
        <v>14860</v>
      </c>
      <c r="N5" s="806">
        <f>SUMPRODUCT((因素修正幅度!B87:B126=I2)*(因素修正幅度!C3:G3=E2)*(因素修正幅度!C87:G126))</f>
        <v>0.1</v>
      </c>
      <c r="O5" s="1049"/>
      <c r="P5" s="1049"/>
      <c r="Q5" s="1049"/>
      <c r="R5" s="1122">
        <v>4</v>
      </c>
      <c r="S5" s="3044">
        <f>ROUND(SUMPRODUCT((B106:B110=R5)*(C105:N105=G2)*(C106:N110)),4)</f>
        <v>0.88239999999999996</v>
      </c>
      <c r="T5" s="3044">
        <f t="shared" si="0"/>
        <v>12420</v>
      </c>
      <c r="U5" s="1123"/>
      <c r="V5" s="3044">
        <f t="shared" si="1"/>
        <v>0</v>
      </c>
      <c r="W5" s="1126"/>
      <c r="X5" s="1126"/>
      <c r="Y5" s="1126"/>
      <c r="Z5" s="1126"/>
      <c r="AA5" s="1126"/>
      <c r="AB5" s="1126"/>
      <c r="AC5" s="1847"/>
      <c r="AD5" s="1848"/>
      <c r="AE5" s="1848"/>
      <c r="AF5" s="1848"/>
      <c r="AG5" s="1848"/>
      <c r="AH5" s="1848"/>
      <c r="AI5" s="1848"/>
      <c r="AJ5" s="1849"/>
    </row>
    <row r="6" spans="1:36" ht="15.75" thickBot="1">
      <c r="A6" s="1851" t="s">
        <v>1943</v>
      </c>
      <c r="B6" s="1852" t="s">
        <v>1944</v>
      </c>
      <c r="C6" s="703">
        <f>SUMIF(L1:L12,G2,M1:M12)</f>
        <v>14860</v>
      </c>
      <c r="D6" s="1853"/>
      <c r="E6" s="1854"/>
      <c r="F6" s="1854"/>
      <c r="G6" s="1855"/>
      <c r="H6" s="1855"/>
      <c r="I6" s="1855"/>
      <c r="J6" s="1856"/>
      <c r="K6" s="1284"/>
      <c r="L6" s="1839" t="s">
        <v>1945</v>
      </c>
      <c r="M6" s="804">
        <f>SUMPRODUCT((区片价!B127:B189=I2)*(区片价!C3:G3=E2)*(区片价!C127:G189))</f>
        <v>0</v>
      </c>
      <c r="N6" s="806">
        <f>SUMPRODUCT((因素修正幅度!B127:B189=I2)*(因素修正幅度!C3:G3=E2)*(因素修正幅度!C127:G189))</f>
        <v>0</v>
      </c>
      <c r="O6" s="1049"/>
      <c r="P6" s="1049"/>
      <c r="Q6" s="1049"/>
      <c r="R6" s="1122">
        <v>5</v>
      </c>
      <c r="S6" s="3044">
        <f>ROUND(SUMPRODUCT((B106:B110=R6)*(C105:N105=G2)*(C106:N110)),4)</f>
        <v>0.84799999999999998</v>
      </c>
      <c r="T6" s="3044">
        <f t="shared" si="0"/>
        <v>11935</v>
      </c>
      <c r="U6" s="1123"/>
      <c r="V6" s="3044">
        <f t="shared" si="1"/>
        <v>0</v>
      </c>
      <c r="W6" s="1126"/>
      <c r="X6" s="1126"/>
      <c r="Y6" s="1126"/>
      <c r="Z6" s="1126"/>
      <c r="AA6" s="1126"/>
      <c r="AB6" s="1126"/>
      <c r="AC6" s="1847"/>
      <c r="AD6" s="1848"/>
      <c r="AE6" s="1848"/>
      <c r="AF6" s="1848"/>
      <c r="AG6" s="1848"/>
      <c r="AH6" s="1848"/>
      <c r="AI6" s="1848"/>
      <c r="AJ6" s="1849"/>
    </row>
    <row r="7" spans="1:36" ht="24.75" thickBot="1">
      <c r="A7" s="2993" t="s">
        <v>3235</v>
      </c>
      <c r="B7" s="1857" t="s">
        <v>1946</v>
      </c>
      <c r="C7" s="704">
        <f>IF(C8="不临65条商业街",1,ROUND(1+(1.6*E8+1.2*E9+0.8*E10+0.4*E11)*C9,4))</f>
        <v>1</v>
      </c>
      <c r="D7" s="1858" t="s">
        <v>1947</v>
      </c>
      <c r="E7" s="723"/>
      <c r="F7" s="1859"/>
      <c r="G7" s="1860"/>
      <c r="H7" s="1860"/>
      <c r="I7" s="1860"/>
      <c r="J7" s="1861"/>
      <c r="K7" s="1284"/>
      <c r="L7" s="1839" t="s">
        <v>1948</v>
      </c>
      <c r="M7" s="804">
        <f>SUMPRODUCT((区片价!B190:B233=I2)*(区片价!C3:G3=E2)*(区片价!C190:G233))</f>
        <v>0</v>
      </c>
      <c r="N7" s="806">
        <f>SUMPRODUCT((因素修正幅度!B190:B233=I2)*(因素修正幅度!C3:G3=E2)*(因素修正幅度!C190:G233))</f>
        <v>0</v>
      </c>
      <c r="O7" s="1049"/>
      <c r="P7" s="1049"/>
      <c r="Q7" s="1049"/>
      <c r="R7" s="1122">
        <v>6</v>
      </c>
      <c r="S7" s="3098"/>
      <c r="T7" s="3044">
        <f t="shared" si="0"/>
        <v>0</v>
      </c>
      <c r="U7" s="1123"/>
      <c r="V7" s="3044">
        <f t="shared" si="1"/>
        <v>0</v>
      </c>
      <c r="W7" s="1259" t="s">
        <v>1949</v>
      </c>
      <c r="X7" s="1124" t="str">
        <f>G2</f>
        <v>五级</v>
      </c>
      <c r="Y7" s="1124" t="s">
        <v>1950</v>
      </c>
      <c r="Z7" s="1125">
        <f>G3</f>
        <v>2.5</v>
      </c>
      <c r="AA7" s="1126"/>
      <c r="AB7" s="1126"/>
      <c r="AC7" s="1127"/>
      <c r="AD7" s="1128"/>
      <c r="AE7" s="1128"/>
      <c r="AF7" s="1128"/>
      <c r="AG7" s="1128"/>
      <c r="AH7" s="1128"/>
      <c r="AI7" s="1128"/>
      <c r="AJ7" s="1129"/>
    </row>
    <row r="8" spans="1:36" ht="25.5">
      <c r="A8" s="2990"/>
      <c r="B8" s="156" t="s">
        <v>1951</v>
      </c>
      <c r="C8" s="1862" t="s">
        <v>3712</v>
      </c>
      <c r="D8" s="705" t="s">
        <v>112</v>
      </c>
      <c r="E8" s="706" t="e">
        <f>ROUND(C11/E7,4)</f>
        <v>#DIV/0!</v>
      </c>
      <c r="F8" s="1863" t="s">
        <v>1952</v>
      </c>
      <c r="G8" s="1864"/>
      <c r="H8" s="1864"/>
      <c r="I8" s="1864"/>
      <c r="J8" s="1865"/>
      <c r="K8" s="1049"/>
      <c r="L8" s="1839" t="s">
        <v>1953</v>
      </c>
      <c r="M8" s="804">
        <f>SUMPRODUCT((区片价!B234:B276=I2)*(区片价!C3:G3=E2)*(区片价!C234:G276))</f>
        <v>0</v>
      </c>
      <c r="N8" s="806">
        <f>SUMPRODUCT((因素修正幅度!B234:B276=I2)*(因素修正幅度!C3:G3=E2)*(因素修正幅度!C234:G276))</f>
        <v>0</v>
      </c>
      <c r="O8" s="1049"/>
      <c r="P8" s="1049"/>
      <c r="Q8" s="1049"/>
      <c r="R8" s="1122">
        <v>7</v>
      </c>
      <c r="S8" s="1123"/>
      <c r="T8" s="3044">
        <f t="shared" si="0"/>
        <v>0</v>
      </c>
      <c r="U8" s="1123"/>
      <c r="V8" s="3044">
        <f t="shared" si="1"/>
        <v>0</v>
      </c>
      <c r="W8" s="3468" t="s">
        <v>1954</v>
      </c>
      <c r="X8" s="3469"/>
      <c r="Y8" s="1130" t="s">
        <v>1955</v>
      </c>
      <c r="Z8" s="1130" t="s">
        <v>1956</v>
      </c>
      <c r="AA8" s="1130" t="s">
        <v>1957</v>
      </c>
      <c r="AB8" s="1130" t="s">
        <v>1958</v>
      </c>
      <c r="AC8" s="1130" t="s">
        <v>1959</v>
      </c>
      <c r="AD8" s="1130" t="s">
        <v>1960</v>
      </c>
      <c r="AE8" s="1130" t="s">
        <v>1961</v>
      </c>
      <c r="AF8" s="1130" t="s">
        <v>1962</v>
      </c>
      <c r="AG8" s="1130" t="s">
        <v>1963</v>
      </c>
      <c r="AH8" s="1130" t="s">
        <v>1964</v>
      </c>
      <c r="AI8" s="1130" t="s">
        <v>1965</v>
      </c>
      <c r="AJ8" s="1130" t="s">
        <v>1966</v>
      </c>
    </row>
    <row r="9" spans="1:36" ht="15">
      <c r="A9" s="2990"/>
      <c r="B9" s="156" t="s">
        <v>1967</v>
      </c>
      <c r="C9" s="707">
        <f>SUMIF(修正!C71:C138,C8,修正!E71:E138)</f>
        <v>0</v>
      </c>
      <c r="D9" s="157" t="s">
        <v>113</v>
      </c>
      <c r="E9" s="157" t="e">
        <f>ROUND(C11/E7,4)</f>
        <v>#DIV/0!</v>
      </c>
      <c r="F9" s="1863" t="s">
        <v>1968</v>
      </c>
      <c r="G9" s="1864"/>
      <c r="H9" s="1864"/>
      <c r="I9" s="1864"/>
      <c r="J9" s="1865"/>
      <c r="K9" s="1049"/>
      <c r="L9" s="1839" t="s">
        <v>1969</v>
      </c>
      <c r="M9" s="804">
        <f>SUMPRODUCT((区片价!B277:B326=I2)*(区片价!C3:G3=E2)*(区片价!C277:G326))</f>
        <v>0</v>
      </c>
      <c r="N9" s="806">
        <f>SUMPRODUCT((因素修正幅度!B277:B326=I2)*(因素修正幅度!C3:G3=E2)*(因素修正幅度!C277:G326))</f>
        <v>0</v>
      </c>
      <c r="O9" s="1049"/>
      <c r="P9" s="1049"/>
      <c r="Q9" s="1049"/>
      <c r="R9" s="1122">
        <v>8</v>
      </c>
      <c r="S9" s="1123"/>
      <c r="T9" s="3044">
        <f t="shared" si="0"/>
        <v>0</v>
      </c>
      <c r="U9" s="1123"/>
      <c r="V9" s="3044">
        <f t="shared" si="1"/>
        <v>0</v>
      </c>
      <c r="W9" s="3470"/>
      <c r="X9" s="3045" t="s">
        <v>3266</v>
      </c>
      <c r="Y9" s="3046">
        <v>6</v>
      </c>
      <c r="Z9" s="3047">
        <f>$Y$9</f>
        <v>6</v>
      </c>
      <c r="AA9" s="3047">
        <f t="shared" ref="AA9:AJ9" si="2">$Y$9</f>
        <v>6</v>
      </c>
      <c r="AB9" s="3047">
        <f t="shared" si="2"/>
        <v>6</v>
      </c>
      <c r="AC9" s="3047">
        <f t="shared" si="2"/>
        <v>6</v>
      </c>
      <c r="AD9" s="3047">
        <f t="shared" si="2"/>
        <v>6</v>
      </c>
      <c r="AE9" s="3047">
        <f t="shared" si="2"/>
        <v>6</v>
      </c>
      <c r="AF9" s="3047">
        <f t="shared" si="2"/>
        <v>6</v>
      </c>
      <c r="AG9" s="3047">
        <f t="shared" si="2"/>
        <v>6</v>
      </c>
      <c r="AH9" s="3047">
        <f t="shared" si="2"/>
        <v>6</v>
      </c>
      <c r="AI9" s="3047">
        <f t="shared" si="2"/>
        <v>6</v>
      </c>
      <c r="AJ9" s="3047">
        <f t="shared" si="2"/>
        <v>6</v>
      </c>
    </row>
    <row r="10" spans="1:36" ht="15">
      <c r="A10" s="2990"/>
      <c r="B10" s="156" t="s">
        <v>1970</v>
      </c>
      <c r="C10" s="157">
        <f>SUMIF(修正!C71:C138,C8,修正!F71:F138)</f>
        <v>0</v>
      </c>
      <c r="D10" s="157" t="s">
        <v>114</v>
      </c>
      <c r="E10" s="157" t="e">
        <f>ROUND(C11/E7,4)</f>
        <v>#DIV/0!</v>
      </c>
      <c r="F10" s="1863" t="s">
        <v>1971</v>
      </c>
      <c r="G10" s="1864"/>
      <c r="H10" s="1864"/>
      <c r="I10" s="1864"/>
      <c r="J10" s="1865"/>
      <c r="K10" s="1049"/>
      <c r="L10" s="1839" t="s">
        <v>1972</v>
      </c>
      <c r="M10" s="804">
        <f>SUMPRODUCT((区片价!B327:B357=I2)*(区片价!C3:G3=E2)*(区片价!C327:G357))</f>
        <v>0</v>
      </c>
      <c r="N10" s="806">
        <f>SUMPRODUCT((因素修正幅度!B327:B357=I2)*(因素修正幅度!C3:G3=E2)*(因素修正幅度!C327:G357))</f>
        <v>0</v>
      </c>
      <c r="O10" s="1049"/>
      <c r="P10" s="1049"/>
      <c r="Q10" s="1049"/>
      <c r="R10" s="1122">
        <v>9</v>
      </c>
      <c r="S10" s="1123"/>
      <c r="T10" s="3044">
        <f t="shared" si="0"/>
        <v>0</v>
      </c>
      <c r="U10" s="1123"/>
      <c r="V10" s="3044">
        <f t="shared" si="1"/>
        <v>0</v>
      </c>
      <c r="W10" s="3470"/>
      <c r="X10" s="3045">
        <v>6</v>
      </c>
      <c r="Y10" s="3048">
        <f>ROUND((-0.5556*(Y9^2)-0.2719*Y9+8944)*(10^(-4)),4)</f>
        <v>0.89219999999999999</v>
      </c>
      <c r="Z10" s="3048">
        <f>ROUND((-0.5556*(Z9^2)-0.2719*Z9+8944)*(10^(-4)),4)</f>
        <v>0.89219999999999999</v>
      </c>
      <c r="AA10" s="3048">
        <f>ROUND((-0.7912*(AA9^2)-11.3794*AA9+8482)*(10^(-4)),4)</f>
        <v>0.83850000000000002</v>
      </c>
      <c r="AB10" s="3048">
        <f>ROUND((-0.7912*(AB9^2)-11.3794*AB9+8482)*(10^(-4)),4)</f>
        <v>0.83850000000000002</v>
      </c>
      <c r="AC10" s="3048">
        <f>ROUND((-0.7912*(AC9^2)-11.3794*AC9+8482)*(10^(-4)),4)</f>
        <v>0.83850000000000002</v>
      </c>
      <c r="AD10" s="3048">
        <f>ROUND((-0.7912*(AD9^2)-11.3794*AD9+8482)*(10^(-4)),4)</f>
        <v>0.83850000000000002</v>
      </c>
      <c r="AE10" s="3048">
        <f>ROUND((-0.7912*(AE9^2)-11.3794*AE9+8482)*(10^(-4)),4)</f>
        <v>0.83850000000000002</v>
      </c>
      <c r="AF10" s="3048">
        <f>ROUND((-0.989*(AF9^2)-63.78*AF9+7771)*(10^(-4)),4)</f>
        <v>0.73529999999999995</v>
      </c>
      <c r="AG10" s="3048">
        <f>ROUND((-0.989*(AG9^2)-63.78*AG9+7771)*(10^(-4)),4)</f>
        <v>0.73529999999999995</v>
      </c>
      <c r="AH10" s="3048">
        <f>ROUND((-0.989*(AH9^2)-63.78*AH9+7771)*(10^(-4)),4)</f>
        <v>0.73529999999999995</v>
      </c>
      <c r="AI10" s="3048">
        <f>ROUND((-0.989*(AI9^2)-63.78*AI9+7771)*(10^(-4)),4)</f>
        <v>0.73529999999999995</v>
      </c>
      <c r="AJ10" s="3048">
        <f>ROUND((-0.989*(AJ9^2)-63.78*AJ9+7771)*(10^(-4)),4)</f>
        <v>0.73529999999999995</v>
      </c>
    </row>
    <row r="11" spans="1:36" ht="15.75" thickBot="1">
      <c r="A11" s="2992"/>
      <c r="B11" s="1866" t="s">
        <v>1973</v>
      </c>
      <c r="C11" s="708">
        <f>C10/4</f>
        <v>0</v>
      </c>
      <c r="D11" s="708" t="s">
        <v>115</v>
      </c>
      <c r="E11" s="708" t="e">
        <f>ROUND(C11/E7,4)</f>
        <v>#DIV/0!</v>
      </c>
      <c r="F11" s="1867" t="s">
        <v>1974</v>
      </c>
      <c r="G11" s="1868"/>
      <c r="H11" s="1868"/>
      <c r="I11" s="1868"/>
      <c r="J11" s="1869"/>
      <c r="K11" s="1049"/>
      <c r="L11" s="1839" t="s">
        <v>1975</v>
      </c>
      <c r="M11" s="804">
        <f>SUMPRODUCT((区片价!B358:B377=I2)*(区片价!C3:G3=E2)*(区片价!C358:G377))</f>
        <v>0</v>
      </c>
      <c r="N11" s="806">
        <f>SUMPRODUCT((因素修正幅度!B358:B377=I2)*(因素修正幅度!C3:G3=E2)*(因素修正幅度!C358:G377))</f>
        <v>0</v>
      </c>
      <c r="O11" s="1049"/>
      <c r="P11" s="1049"/>
      <c r="Q11" s="1049"/>
      <c r="R11" s="1122">
        <v>10</v>
      </c>
      <c r="S11" s="1123"/>
      <c r="T11" s="3044">
        <f t="shared" si="0"/>
        <v>0</v>
      </c>
      <c r="U11" s="1123"/>
      <c r="V11" s="3044">
        <f t="shared" si="1"/>
        <v>0</v>
      </c>
      <c r="W11" s="1126"/>
      <c r="X11" s="1126"/>
      <c r="Y11" s="1126"/>
      <c r="Z11" s="1126"/>
      <c r="AA11" s="1126"/>
      <c r="AB11" s="1126"/>
      <c r="AC11" s="1127"/>
      <c r="AD11" s="2534"/>
      <c r="AE11" s="2534"/>
      <c r="AF11" s="2534"/>
      <c r="AG11" s="2534"/>
      <c r="AH11" s="2534"/>
      <c r="AI11" s="2534"/>
      <c r="AJ11" s="2535"/>
    </row>
    <row r="12" spans="1:36" ht="25.5" thickBot="1">
      <c r="A12" s="2993" t="s">
        <v>3236</v>
      </c>
      <c r="B12" s="2994" t="s">
        <v>3237</v>
      </c>
      <c r="C12" s="2995">
        <v>1</v>
      </c>
      <c r="D12" s="2996" t="s">
        <v>3238</v>
      </c>
      <c r="E12" s="2997" t="s">
        <v>3239</v>
      </c>
      <c r="F12" s="2998"/>
      <c r="G12" s="2999"/>
      <c r="H12" s="2999"/>
      <c r="I12" s="2999"/>
      <c r="J12" s="3000"/>
      <c r="K12" s="1049"/>
      <c r="L12" s="1788" t="s">
        <v>1978</v>
      </c>
      <c r="M12" s="805">
        <f>SUMPRODUCT((区片价!B378:B384=I2)*(区片价!C3:G3=E2)*(区片价!C378:G384))</f>
        <v>0</v>
      </c>
      <c r="N12" s="806">
        <f>SUMPRODUCT((因素修正幅度!B378:B384=I2)*(因素修正幅度!C3:G3=E2)*(因素修正幅度!C378:G384))</f>
        <v>0</v>
      </c>
      <c r="O12" s="1049"/>
      <c r="P12" s="1049"/>
      <c r="Q12" s="1049"/>
      <c r="R12" s="1122">
        <v>11</v>
      </c>
      <c r="S12" s="1123"/>
      <c r="T12" s="3044">
        <f t="shared" si="0"/>
        <v>0</v>
      </c>
      <c r="U12" s="1123"/>
      <c r="V12" s="3044">
        <f t="shared" si="1"/>
        <v>0</v>
      </c>
      <c r="W12" s="1126"/>
      <c r="X12" s="1126"/>
      <c r="Y12" s="1126"/>
      <c r="Z12" s="1126"/>
      <c r="AA12" s="1126"/>
      <c r="AB12" s="1126"/>
      <c r="AC12" s="1127"/>
      <c r="AD12" s="2534"/>
      <c r="AE12" s="2534"/>
      <c r="AF12" s="2534"/>
      <c r="AG12" s="2534"/>
      <c r="AH12" s="2534"/>
      <c r="AI12" s="2534"/>
      <c r="AJ12" s="2535"/>
    </row>
    <row r="13" spans="1:36" ht="15.75" thickBot="1">
      <c r="A13" s="2993" t="s">
        <v>3240</v>
      </c>
      <c r="B13" s="1870" t="s">
        <v>1976</v>
      </c>
      <c r="C13" s="704">
        <f>ROUND(C16*D16*E16*F16*G16*H16*I16*J16,4)</f>
        <v>0</v>
      </c>
      <c r="D13" s="1871" t="s">
        <v>1977</v>
      </c>
      <c r="E13" s="1872"/>
      <c r="F13" s="1872"/>
      <c r="G13" s="1873"/>
      <c r="H13" s="1873"/>
      <c r="I13" s="1873"/>
      <c r="J13" s="1874"/>
      <c r="K13" s="1049"/>
      <c r="L13" s="3"/>
      <c r="M13" s="4"/>
      <c r="N13" s="2991"/>
      <c r="O13" s="1049"/>
      <c r="P13" s="1049"/>
      <c r="Q13" s="1049"/>
      <c r="R13" s="1122">
        <v>12</v>
      </c>
      <c r="S13" s="1123"/>
      <c r="T13" s="3044">
        <f t="shared" si="0"/>
        <v>0</v>
      </c>
      <c r="U13" s="1123"/>
      <c r="V13" s="3044">
        <f t="shared" si="1"/>
        <v>0</v>
      </c>
      <c r="W13" s="1126"/>
      <c r="X13" s="1126"/>
      <c r="Y13" s="1126"/>
      <c r="Z13" s="1126"/>
      <c r="AA13" s="1126"/>
      <c r="AB13" s="1126"/>
      <c r="AC13" s="1127"/>
      <c r="AD13" s="2534"/>
      <c r="AE13" s="2534"/>
      <c r="AF13" s="2534"/>
      <c r="AG13" s="2534"/>
      <c r="AH13" s="2534"/>
      <c r="AI13" s="2534"/>
      <c r="AJ13" s="2535"/>
    </row>
    <row r="14" spans="1:36" ht="15">
      <c r="A14" s="2989"/>
      <c r="B14" s="1875" t="s">
        <v>1979</v>
      </c>
      <c r="C14" s="1876" t="s">
        <v>1980</v>
      </c>
      <c r="D14" s="1253" t="s">
        <v>1981</v>
      </c>
      <c r="E14" s="27" t="s">
        <v>1982</v>
      </c>
      <c r="F14" s="3001" t="s">
        <v>3241</v>
      </c>
      <c r="G14" s="3001" t="s">
        <v>3241</v>
      </c>
      <c r="H14" s="3001" t="s">
        <v>3241</v>
      </c>
      <c r="I14" s="3001" t="s">
        <v>3241</v>
      </c>
      <c r="J14" s="3001" t="s">
        <v>3241</v>
      </c>
      <c r="K14" s="1049"/>
      <c r="L14" s="1049"/>
      <c r="M14" s="1049"/>
      <c r="N14" s="1049"/>
      <c r="O14" s="1049"/>
      <c r="P14" s="1049"/>
      <c r="Q14" s="1049"/>
      <c r="R14" s="1122">
        <v>13</v>
      </c>
      <c r="S14" s="1123"/>
      <c r="T14" s="3044">
        <f t="shared" si="0"/>
        <v>0</v>
      </c>
      <c r="U14" s="1123"/>
      <c r="V14" s="3044">
        <f t="shared" si="1"/>
        <v>0</v>
      </c>
      <c r="W14" s="1126"/>
      <c r="X14" s="1126"/>
      <c r="Y14" s="1126"/>
      <c r="Z14" s="1126"/>
      <c r="AA14" s="1126"/>
      <c r="AB14" s="1126"/>
      <c r="AC14" s="1127"/>
      <c r="AD14" s="2534"/>
      <c r="AE14" s="2534"/>
      <c r="AF14" s="2534"/>
      <c r="AG14" s="2534"/>
      <c r="AH14" s="2534"/>
      <c r="AI14" s="2534"/>
      <c r="AJ14" s="2535"/>
    </row>
    <row r="15" spans="1:36" ht="15">
      <c r="A15" s="2989"/>
      <c r="B15" s="1877"/>
      <c r="C15" s="1878"/>
      <c r="D15" s="1879"/>
      <c r="E15" s="1880"/>
      <c r="F15" s="1462" t="s">
        <v>3242</v>
      </c>
      <c r="G15" s="1920"/>
      <c r="H15" s="3002"/>
      <c r="I15" s="3003"/>
      <c r="J15" s="3004"/>
      <c r="K15" s="1049"/>
      <c r="L15" s="1049"/>
      <c r="M15" s="1049"/>
      <c r="N15" s="1049"/>
      <c r="O15" s="1049"/>
      <c r="P15" s="1049"/>
      <c r="Q15" s="1049"/>
      <c r="R15" s="1122">
        <v>14</v>
      </c>
      <c r="S15" s="1123"/>
      <c r="T15" s="3044">
        <f t="shared" si="0"/>
        <v>0</v>
      </c>
      <c r="U15" s="1123"/>
      <c r="V15" s="3044">
        <f t="shared" si="1"/>
        <v>0</v>
      </c>
      <c r="W15" s="1126"/>
      <c r="X15" s="1126"/>
      <c r="Y15" s="1126"/>
      <c r="Z15" s="1126"/>
      <c r="AA15" s="1126"/>
      <c r="AB15" s="1126"/>
      <c r="AC15" s="1127"/>
      <c r="AD15" s="2534"/>
      <c r="AE15" s="2534"/>
      <c r="AF15" s="2534"/>
      <c r="AG15" s="2534"/>
      <c r="AH15" s="2534"/>
      <c r="AI15" s="2534"/>
      <c r="AJ15" s="2535"/>
    </row>
    <row r="16" spans="1:36" ht="15.75" thickBot="1">
      <c r="A16" s="2989"/>
      <c r="B16" s="3007" t="s">
        <v>1983</v>
      </c>
      <c r="C16" s="3005"/>
      <c r="D16" s="3005"/>
      <c r="E16" s="3005"/>
      <c r="F16" s="3005">
        <v>1</v>
      </c>
      <c r="G16" s="3005">
        <v>1</v>
      </c>
      <c r="H16" s="3005">
        <v>1</v>
      </c>
      <c r="I16" s="3005">
        <v>1</v>
      </c>
      <c r="J16" s="3006">
        <v>1</v>
      </c>
      <c r="K16" s="1049"/>
      <c r="L16" s="1836"/>
      <c r="M16" s="1836"/>
      <c r="N16" s="1836"/>
      <c r="O16" s="1836"/>
      <c r="P16" s="1836"/>
      <c r="Q16" s="1049"/>
      <c r="R16" s="1122">
        <v>15</v>
      </c>
      <c r="S16" s="1123"/>
      <c r="T16" s="3044">
        <f t="shared" si="0"/>
        <v>0</v>
      </c>
      <c r="U16" s="1123"/>
      <c r="V16" s="3044">
        <f t="shared" si="1"/>
        <v>0</v>
      </c>
      <c r="W16" s="1126"/>
      <c r="X16" s="1126"/>
      <c r="Y16" s="1126"/>
      <c r="Z16" s="1126"/>
      <c r="AA16" s="1126"/>
      <c r="AB16" s="1126"/>
      <c r="AC16" s="1127"/>
      <c r="AD16" s="2534"/>
      <c r="AE16" s="2534"/>
      <c r="AF16" s="2534"/>
      <c r="AG16" s="2534"/>
      <c r="AH16" s="2534"/>
      <c r="AI16" s="2534"/>
      <c r="AJ16" s="2535"/>
    </row>
    <row r="17" spans="1:37">
      <c r="A17" s="3016" t="s">
        <v>3243</v>
      </c>
      <c r="B17" s="3008" t="s">
        <v>3244</v>
      </c>
      <c r="C17" s="3017">
        <f>ROUND(IF(OR(E2="工业",E2="公共服务"),1,IF(AND(E18=0,E19=0),1,IF(AND(E18=J24,E19=G19),0.8,IF(E19=0,1+E17*(-0.2),1+E17*G17*(-0.2))))),4)</f>
        <v>1</v>
      </c>
      <c r="D17" s="3009" t="s">
        <v>3245</v>
      </c>
      <c r="E17" s="3017">
        <f>ROUND(G18/I18,2)</f>
        <v>0</v>
      </c>
      <c r="F17" s="3009" t="s">
        <v>3248</v>
      </c>
      <c r="G17" s="3017" t="e">
        <f>ROUND(E19/G19,2)</f>
        <v>#DIV/0!</v>
      </c>
      <c r="H17" s="3017"/>
      <c r="I17" s="3017"/>
      <c r="J17" s="3018"/>
      <c r="K17" s="1049"/>
      <c r="L17" s="1836"/>
      <c r="M17" s="1836"/>
      <c r="N17" s="1836"/>
      <c r="O17" s="1836"/>
      <c r="P17" s="1836"/>
      <c r="Q17" s="1049"/>
      <c r="R17" s="1049"/>
      <c r="S17" s="1049"/>
      <c r="T17" s="1049"/>
      <c r="U17" s="1049"/>
      <c r="V17" s="1049"/>
      <c r="W17" s="1049"/>
      <c r="X17" s="1049"/>
      <c r="Y17" s="1049"/>
      <c r="Z17" s="1050"/>
      <c r="AA17" s="1050"/>
      <c r="AB17" s="1050"/>
      <c r="AC17" s="1050"/>
      <c r="AD17" s="1050"/>
      <c r="AE17" s="1049"/>
      <c r="AF17" s="1049"/>
      <c r="AG17" s="1836"/>
      <c r="AH17" s="1836"/>
      <c r="AI17" s="1836"/>
      <c r="AJ17" s="1836"/>
    </row>
    <row r="18" spans="1:37" s="1850" customFormat="1" ht="14.25">
      <c r="A18" s="3019"/>
      <c r="B18" s="2293"/>
      <c r="C18" s="3015"/>
      <c r="D18" s="3010" t="s">
        <v>3246</v>
      </c>
      <c r="E18" s="2340"/>
      <c r="F18" s="3011" t="s">
        <v>3249</v>
      </c>
      <c r="G18" s="3015">
        <f>ROUND(1-(1/(POWER(1+G24,E18))),4)</f>
        <v>0</v>
      </c>
      <c r="H18" s="3011" t="s">
        <v>3251</v>
      </c>
      <c r="I18" s="3015">
        <f>ROUND(1-(1/(POWER(1+G24,J24))),4)</f>
        <v>0.88249999999999995</v>
      </c>
      <c r="J18" s="3020"/>
      <c r="K18" s="1049"/>
      <c r="L18" s="1836"/>
      <c r="M18" s="1836"/>
      <c r="N18" s="1836"/>
      <c r="O18" s="1836"/>
      <c r="P18" s="1836"/>
      <c r="Q18" s="1049"/>
      <c r="R18" s="1053"/>
      <c r="S18" s="1053"/>
      <c r="T18" s="1050"/>
      <c r="U18" s="1050"/>
      <c r="V18" s="1050"/>
      <c r="W18" s="1049"/>
      <c r="X18" s="1049"/>
      <c r="Y18" s="1049"/>
      <c r="Z18" s="1054"/>
      <c r="AA18" s="1054"/>
      <c r="AB18" s="1054"/>
      <c r="AC18" s="1054"/>
      <c r="AD18" s="1054"/>
      <c r="AE18" s="1050"/>
      <c r="AF18" s="1050"/>
      <c r="AG18" s="1972"/>
      <c r="AH18" s="1972"/>
      <c r="AI18" s="1972"/>
      <c r="AJ18" s="2533"/>
    </row>
    <row r="19" spans="1:37" s="1850" customFormat="1" ht="15" thickBot="1">
      <c r="A19" s="3021"/>
      <c r="B19" s="3022"/>
      <c r="C19" s="3023"/>
      <c r="D19" s="3023" t="s">
        <v>3247</v>
      </c>
      <c r="E19" s="3024"/>
      <c r="F19" s="3025" t="s">
        <v>3250</v>
      </c>
      <c r="G19" s="3024"/>
      <c r="H19" s="3023"/>
      <c r="I19" s="3023"/>
      <c r="J19" s="3026"/>
      <c r="K19" s="1049"/>
      <c r="L19" s="1836"/>
      <c r="M19" s="1836"/>
      <c r="N19" s="1836"/>
      <c r="O19" s="1836"/>
      <c r="P19" s="1836"/>
      <c r="Q19" s="1053"/>
      <c r="R19" s="1053"/>
      <c r="S19" s="1053"/>
      <c r="T19" s="1050"/>
      <c r="U19" s="1050"/>
      <c r="V19" s="1050"/>
      <c r="W19" s="1049"/>
      <c r="X19" s="1049"/>
      <c r="Y19" s="1049"/>
      <c r="Z19" s="1054"/>
      <c r="AA19" s="1054"/>
      <c r="AB19" s="1054"/>
      <c r="AC19" s="1054"/>
      <c r="AD19" s="1054"/>
      <c r="AE19" s="1054"/>
      <c r="AF19" s="1053"/>
      <c r="AG19" s="2536"/>
      <c r="AH19" s="1972"/>
      <c r="AI19" s="555"/>
      <c r="AJ19" s="555"/>
      <c r="AK19" s="1891"/>
    </row>
    <row r="20" spans="1:37" s="1850" customFormat="1" ht="14.25">
      <c r="A20" s="3475" t="s">
        <v>3252</v>
      </c>
      <c r="B20" s="153" t="s">
        <v>1988</v>
      </c>
      <c r="C20" s="3012">
        <f>ROUND(IF(F21="与级别开发程度一致",0,(G21-E21)/C21),0)</f>
        <v>0</v>
      </c>
      <c r="D20" s="3027" t="s">
        <v>1992</v>
      </c>
      <c r="E20" s="3028"/>
      <c r="F20" s="3481" t="s">
        <v>1989</v>
      </c>
      <c r="G20" s="3482"/>
      <c r="H20" s="3013" t="s">
        <v>3714</v>
      </c>
      <c r="I20" s="3013" t="s">
        <v>3715</v>
      </c>
      <c r="J20" s="3014" t="s">
        <v>3716</v>
      </c>
      <c r="K20" s="1881" t="s">
        <v>3717</v>
      </c>
      <c r="L20" s="1881" t="s">
        <v>3718</v>
      </c>
      <c r="M20" s="1881" t="s">
        <v>3719</v>
      </c>
      <c r="N20" s="1881" t="s">
        <v>3720</v>
      </c>
      <c r="O20" s="1882" t="s">
        <v>3721</v>
      </c>
      <c r="P20" s="1836"/>
      <c r="Q20" s="1053"/>
      <c r="R20" s="1053"/>
      <c r="S20" s="1053"/>
      <c r="T20" s="1050"/>
      <c r="U20" s="1050"/>
      <c r="V20" s="1050"/>
      <c r="W20" s="1049"/>
      <c r="X20" s="1049"/>
      <c r="Y20" s="1049"/>
      <c r="Z20" s="1054"/>
      <c r="AA20" s="1054"/>
      <c r="AB20" s="1054"/>
      <c r="AC20" s="1054"/>
      <c r="AD20" s="1054"/>
      <c r="AE20" s="1054"/>
      <c r="AF20" s="1054"/>
      <c r="AG20" s="2533"/>
      <c r="AH20" s="2533"/>
      <c r="AI20" s="2533"/>
      <c r="AJ20" s="2533"/>
    </row>
    <row r="21" spans="1:37" s="1850" customFormat="1" ht="26.25" thickBot="1">
      <c r="A21" s="3476"/>
      <c r="B21" s="1994" t="s">
        <v>1991</v>
      </c>
      <c r="C21" s="1995">
        <f>IF(E3="M4科研用地",SUMPRODUCT((修正!A2:A7=E3)*(修正!B1:M1=G2)*(修正!B2:M7)),SUMPRODUCT((修正!A2:A7=E2)*(修正!B1:M1=G2)*(修正!B2:M7)))</f>
        <v>2.5</v>
      </c>
      <c r="D21" s="173" t="str">
        <f>IF(OR(G2="八级",G2="九级",G2="十级",G2="十一级",G2="十二级"),"五通一平","七通一平")</f>
        <v>七通一平</v>
      </c>
      <c r="E21" s="1985">
        <f>SUMPRODUCT((修正!B1:M1=G2)*(修正!B17:M17))</f>
        <v>315</v>
      </c>
      <c r="F21" s="1986" t="s">
        <v>3713</v>
      </c>
      <c r="G21" s="1987">
        <f>SUM(H21:O21)</f>
        <v>315</v>
      </c>
      <c r="H21" s="1995">
        <f>SUMPRODUCT((七通一平=H20)*(修正!B1:M1=G2)*(修正!B8:M16))</f>
        <v>70</v>
      </c>
      <c r="I21" s="1995">
        <f>SUMPRODUCT((七通一平=I20)*(修正!B1:M1=G2)*(修正!B8:M16))</f>
        <v>60</v>
      </c>
      <c r="J21" s="1996">
        <f>SUMPRODUCT((七通一平=J20)*(修正!B1:M1=G2)*(修正!B8:M16))</f>
        <v>15</v>
      </c>
      <c r="K21" s="1995">
        <f>SUMPRODUCT((七通一平=K20)*(修正!B1:M1=G2)*(修正!B8:M16))</f>
        <v>25</v>
      </c>
      <c r="L21" s="1995">
        <f>SUMPRODUCT((七通一平=L20)*(修正!B1:M1=G2)*(修正!B8:M16))</f>
        <v>40</v>
      </c>
      <c r="M21" s="1995">
        <f>SUMPRODUCT((七通一平=M20)*(修正!B1:M1=G2)*(修正!B8:M16))</f>
        <v>50</v>
      </c>
      <c r="N21" s="1995">
        <f>SUMPRODUCT((七通一平=N20)*(修正!B1:M1=G2)*(修正!B8:M16))</f>
        <v>40</v>
      </c>
      <c r="O21" s="1997">
        <f>SUMPRODUCT((七通一平=O20)*(修正!B1:M1=G2)*(修正!B8:M16))</f>
        <v>15</v>
      </c>
      <c r="P21" s="1836"/>
      <c r="Q21" s="2533"/>
      <c r="R21" s="1053"/>
      <c r="S21" s="1053"/>
      <c r="T21" s="1050"/>
      <c r="U21" s="1050"/>
      <c r="V21" s="1050"/>
      <c r="W21" s="1049"/>
      <c r="X21" s="1049"/>
      <c r="Y21" s="1049"/>
      <c r="Z21" s="1054"/>
      <c r="AA21" s="1054"/>
      <c r="AB21" s="1054"/>
      <c r="AC21" s="1054"/>
      <c r="AD21" s="1054"/>
      <c r="AE21" s="1054"/>
      <c r="AF21" s="1054"/>
      <c r="AG21" s="2533"/>
      <c r="AH21" s="2533"/>
      <c r="AI21" s="2533"/>
      <c r="AJ21" s="2533"/>
    </row>
    <row r="22" spans="1:37" s="1850" customFormat="1" ht="15.75" thickBot="1">
      <c r="A22" s="1988" t="s">
        <v>363</v>
      </c>
      <c r="B22" s="1989" t="s">
        <v>1994</v>
      </c>
      <c r="C22" s="1990">
        <f>SUMIF(修正!C20:C51,E3,修正!E20:E51)</f>
        <v>1</v>
      </c>
      <c r="D22" s="1991"/>
      <c r="E22" s="1992"/>
      <c r="F22" s="1992"/>
      <c r="G22" s="1992"/>
      <c r="H22" s="1992"/>
      <c r="I22" s="1992"/>
      <c r="J22" s="1993"/>
      <c r="K22" s="1054"/>
      <c r="L22" s="2533"/>
      <c r="M22" s="2533"/>
      <c r="N22" s="2533"/>
      <c r="O22" s="1052"/>
      <c r="P22" s="1052"/>
      <c r="Q22" s="2533"/>
      <c r="R22" s="1053"/>
      <c r="S22" s="1053"/>
      <c r="T22" s="1050"/>
      <c r="U22" s="1050"/>
      <c r="V22" s="1050"/>
      <c r="W22" s="1049"/>
      <c r="X22" s="1049"/>
      <c r="Y22" s="1049"/>
      <c r="Z22" s="1054"/>
      <c r="AA22" s="1054"/>
      <c r="AB22" s="1054"/>
      <c r="AC22" s="1054"/>
      <c r="AD22" s="1054"/>
      <c r="AE22" s="1054"/>
      <c r="AF22" s="1054"/>
      <c r="AG22" s="2533"/>
      <c r="AH22" s="2533"/>
      <c r="AI22" s="2533"/>
      <c r="AJ22" s="2533"/>
    </row>
    <row r="23" spans="1:37" ht="26.25" thickBot="1">
      <c r="A23" s="1884" t="s">
        <v>364</v>
      </c>
      <c r="B23" s="1885" t="s">
        <v>1995</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88" t="s">
        <v>1996</v>
      </c>
      <c r="E23" s="710">
        <v>44197</v>
      </c>
      <c r="F23" s="1888" t="s">
        <v>1997</v>
      </c>
      <c r="G23" s="711">
        <f>'数据-取费表'!B2</f>
        <v>45418</v>
      </c>
      <c r="H23" s="3029" t="s">
        <v>3254</v>
      </c>
      <c r="I23" s="3030" t="str">
        <f>IF(H23="季度增幅（自定义）",SUMIF(N25:N28,E2,O25:O28),"")</f>
        <v/>
      </c>
      <c r="J23" s="3119" t="s">
        <v>3253</v>
      </c>
      <c r="K23" s="1054"/>
      <c r="L23" s="1889" t="s">
        <v>1998</v>
      </c>
      <c r="M23" s="1234">
        <f>ROUND(SUMIF(地价!B2:G2,E2,地价!B16:G16),0)</f>
        <v>350</v>
      </c>
      <c r="N23" s="1890" t="s">
        <v>1999</v>
      </c>
      <c r="O23" s="712">
        <f>ROUNDDOWN(DATEDIF(E23,G23,"M")/3,0)</f>
        <v>13</v>
      </c>
      <c r="P23" s="1050"/>
      <c r="Q23" s="2533"/>
      <c r="R23" s="1053"/>
      <c r="S23" s="1053"/>
      <c r="T23" s="1050"/>
      <c r="U23" s="1050"/>
      <c r="V23" s="1050"/>
      <c r="W23" s="1049"/>
      <c r="X23" s="1049"/>
      <c r="Y23" s="1049"/>
      <c r="Z23" s="1054"/>
      <c r="AA23" s="1054"/>
      <c r="AB23" s="1054"/>
      <c r="AC23" s="1054"/>
      <c r="AD23" s="1054"/>
      <c r="AE23" s="1050"/>
      <c r="AF23" s="1050"/>
      <c r="AG23" s="1972"/>
      <c r="AH23" s="1972"/>
      <c r="AI23" s="1972"/>
      <c r="AJ23" s="1972"/>
      <c r="AK23" s="1887"/>
    </row>
    <row r="24" spans="1:37" s="1850" customFormat="1" ht="24.75" thickBot="1">
      <c r="A24" s="1892" t="s">
        <v>365</v>
      </c>
      <c r="B24" s="1893" t="s">
        <v>2000</v>
      </c>
      <c r="C24" s="713">
        <f>ROUND(POWER(1+G24,J24-I24)*(POWER(1+G24,I24)-1)/(POWER(1+G24,J24)-1),4)</f>
        <v>0.86140000000000005</v>
      </c>
      <c r="D24" s="1894" t="s">
        <v>2001</v>
      </c>
      <c r="E24" s="1240">
        <f>存贷款利率!E24/100</f>
        <v>4.3499999999999997E-2</v>
      </c>
      <c r="F24" s="1894" t="s">
        <v>1993</v>
      </c>
      <c r="G24" s="717">
        <f>SUMIF(M30:Q30,E2,M33:Q33)</f>
        <v>5.5E-2</v>
      </c>
      <c r="H24" s="1894" t="s">
        <v>2002</v>
      </c>
      <c r="I24" s="718">
        <f>SUMIF('数据-取费表'!C6:C15,E2,'数据-取费表'!F6:F15)/COUNTIF('数据-取费表'!C6:C15,E2)</f>
        <v>26.67</v>
      </c>
      <c r="J24" s="719">
        <f>IF(E2="住宅",70,IF(E2="商业",40,50))</f>
        <v>40</v>
      </c>
      <c r="K24" s="1054"/>
      <c r="L24" s="1895" t="s">
        <v>2003</v>
      </c>
      <c r="M24" s="1235">
        <f>ROUND(SUMPRODUCT((地价!A4:A16=YEAR(G23)&amp;"-"&amp;ROUNDUP(MONTH(G23)/3,0))*(地价!B2:G2=E2)*(地价!B4:G16)),0)</f>
        <v>0</v>
      </c>
      <c r="N24" s="1896" t="s">
        <v>2004</v>
      </c>
      <c r="O24" s="1897" t="s">
        <v>2005</v>
      </c>
      <c r="P24" s="1898" t="s">
        <v>2006</v>
      </c>
      <c r="Q24" s="1836"/>
      <c r="R24" s="1053"/>
      <c r="S24" s="1053"/>
      <c r="T24" s="1050"/>
      <c r="U24" s="1050"/>
      <c r="V24" s="1050"/>
      <c r="W24" s="1049"/>
      <c r="X24" s="1049"/>
      <c r="Y24" s="1049"/>
      <c r="Z24" s="1054"/>
      <c r="AA24" s="1054"/>
      <c r="AB24" s="1054"/>
      <c r="AC24" s="1054"/>
      <c r="AD24" s="1054"/>
      <c r="AE24" s="1054"/>
      <c r="AF24" s="1054"/>
      <c r="AG24" s="2533"/>
      <c r="AH24" s="2533"/>
      <c r="AI24" s="2533"/>
      <c r="AJ24" s="2533"/>
    </row>
    <row r="25" spans="1:37" ht="15">
      <c r="A25" s="1899" t="s">
        <v>366</v>
      </c>
      <c r="B25" s="1900" t="s">
        <v>3722</v>
      </c>
      <c r="C25" s="455">
        <f>IF(B25="容积率修正",IF(G3&lt;10,D26,J26),C27)</f>
        <v>0</v>
      </c>
      <c r="D25" s="1901"/>
      <c r="E25" s="1901"/>
      <c r="F25" s="1901"/>
      <c r="G25" s="1901"/>
      <c r="H25" s="1901"/>
      <c r="I25" s="1901"/>
      <c r="J25" s="1902"/>
      <c r="K25" s="1054"/>
      <c r="L25" s="2533"/>
      <c r="M25" s="2533"/>
      <c r="N25" s="1903" t="s">
        <v>2007</v>
      </c>
      <c r="O25" s="1086"/>
      <c r="P25" s="1087">
        <f>SUMPRODUCT((地价!A3:A40=YEAR(G23)&amp;"-"&amp;ROUNDUP(MONTH(G23)/3,0))*(地价!AD2:AH2=N25)*(地价!AD3:AH40))</f>
        <v>0</v>
      </c>
      <c r="Q25" s="2533"/>
      <c r="R25" s="1053"/>
      <c r="S25" s="1053"/>
      <c r="T25" s="1050"/>
      <c r="U25" s="1050"/>
      <c r="V25" s="1050"/>
      <c r="W25" s="1049"/>
      <c r="X25" s="1049"/>
      <c r="Y25" s="1049"/>
      <c r="Z25" s="1054"/>
      <c r="AA25" s="1054"/>
      <c r="AB25" s="1054"/>
      <c r="AC25" s="1054"/>
      <c r="AD25" s="1054"/>
      <c r="AE25" s="1050"/>
      <c r="AF25" s="1050"/>
      <c r="AG25" s="1972"/>
      <c r="AH25" s="1972"/>
      <c r="AI25" s="1972"/>
      <c r="AJ25" s="1972"/>
    </row>
    <row r="26" spans="1:37" ht="14.25">
      <c r="A26" s="1798" t="s">
        <v>2008</v>
      </c>
      <c r="B26" s="1904" t="s">
        <v>2009</v>
      </c>
      <c r="C26" s="1904" t="s">
        <v>3255</v>
      </c>
      <c r="D26" s="1255">
        <f>IF(E26=G26,F26,IF(G3&lt;10,ROUND(F26+(H26-F26)*(G3-E26)/(G26-E26),4),"——"))</f>
        <v>1</v>
      </c>
      <c r="E26" s="701">
        <f>ROUNDDOWN(G3,1)</f>
        <v>2.5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1">
        <f>ROUNDUP(G3,1)</f>
        <v>2.5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4" t="s">
        <v>3256</v>
      </c>
      <c r="J26" s="368" t="str">
        <f>IF(G3&gt;=10,D115,"——")</f>
        <v>——</v>
      </c>
      <c r="K26" s="1054"/>
      <c r="L26" s="2533"/>
      <c r="M26" s="2533"/>
      <c r="N26" s="1903" t="s">
        <v>2010</v>
      </c>
      <c r="O26" s="1086"/>
      <c r="P26" s="1087">
        <f>SUMPRODUCT((地价!A3:A40=YEAR(G23)&amp;"-"&amp;ROUNDUP(MONTH(G23)/3,0))*(地价!AD2:AH2=N26)*(地价!AD3:AH40))</f>
        <v>0</v>
      </c>
      <c r="Q26" s="1836"/>
      <c r="R26" s="1053"/>
      <c r="S26" s="1053"/>
      <c r="T26" s="1050"/>
      <c r="U26" s="1050"/>
      <c r="V26" s="1050"/>
      <c r="W26" s="1049"/>
      <c r="X26" s="1049"/>
      <c r="Y26" s="1049"/>
      <c r="Z26" s="1054"/>
      <c r="AA26" s="1054"/>
      <c r="AB26" s="1054"/>
      <c r="AC26" s="1054"/>
      <c r="AD26" s="1054"/>
      <c r="AE26" s="1050"/>
      <c r="AF26" s="1050"/>
      <c r="AG26" s="1972"/>
      <c r="AH26" s="1972"/>
      <c r="AI26" s="1972"/>
      <c r="AJ26" s="1972"/>
    </row>
    <row r="27" spans="1:37" ht="15.75" thickBot="1">
      <c r="A27" s="1798" t="s">
        <v>2011</v>
      </c>
      <c r="B27" s="1905" t="s">
        <v>2012</v>
      </c>
      <c r="C27" s="784">
        <f>ROUND(IF(I3&lt;6,SUMPRODUCT((B106:B110=I3)*(C105:N105=G2)*(C106:N110)),SUMIF(C105:N105,G2,C112:N112)),4)</f>
        <v>0</v>
      </c>
      <c r="D27" s="1834"/>
      <c r="E27" s="1834"/>
      <c r="F27" s="1906"/>
      <c r="G27" s="1907"/>
      <c r="H27" s="1908"/>
      <c r="I27" s="1909"/>
      <c r="J27" s="1910"/>
      <c r="K27" s="1049"/>
      <c r="L27" s="1836"/>
      <c r="M27" s="1836"/>
      <c r="N27" s="1903" t="s">
        <v>2013</v>
      </c>
      <c r="O27" s="1086"/>
      <c r="P27" s="1087">
        <f>SUMPRODUCT((地价!A3:A40=YEAR(G23)&amp;"-"&amp;ROUNDUP(MONTH(G23)/3,0))*(地价!AD2:AH2=N27)*(地价!AD3:AH40))</f>
        <v>0</v>
      </c>
      <c r="Q27" s="1836"/>
      <c r="R27" s="1053"/>
      <c r="S27" s="1053"/>
      <c r="T27" s="1050"/>
      <c r="U27" s="1050"/>
      <c r="V27" s="1050"/>
      <c r="W27" s="1049"/>
      <c r="X27" s="1049"/>
      <c r="Y27" s="1049"/>
      <c r="Z27" s="1054"/>
      <c r="AA27" s="1054"/>
      <c r="AB27" s="1054"/>
      <c r="AC27" s="1054"/>
      <c r="AD27" s="1054"/>
      <c r="AE27" s="1050"/>
      <c r="AF27" s="1050"/>
      <c r="AG27" s="1972"/>
      <c r="AH27" s="1972"/>
      <c r="AI27" s="1972"/>
      <c r="AJ27" s="1972"/>
    </row>
    <row r="28" spans="1:37" ht="15.75" thickBot="1">
      <c r="A28" s="1892" t="s">
        <v>367</v>
      </c>
      <c r="B28" s="1885" t="s">
        <v>2014</v>
      </c>
      <c r="C28" s="709">
        <f>SUMIF(A47:A101,E2,B47:B101)</f>
        <v>1.05</v>
      </c>
      <c r="D28" s="1886"/>
      <c r="E28" s="1911"/>
      <c r="F28" s="1911"/>
      <c r="G28" s="1911"/>
      <c r="H28" s="1911"/>
      <c r="I28" s="1911"/>
      <c r="J28" s="1912"/>
      <c r="K28" s="1054"/>
      <c r="L28" s="2533"/>
      <c r="M28" s="2533"/>
      <c r="N28" s="1913" t="s">
        <v>2015</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2"/>
      <c r="AH28" s="1972"/>
      <c r="AI28" s="1972"/>
      <c r="AJ28" s="1972"/>
    </row>
    <row r="29" spans="1:37" ht="15.75" thickBot="1">
      <c r="A29" s="1892" t="s">
        <v>368</v>
      </c>
      <c r="B29" s="1914" t="s">
        <v>2016</v>
      </c>
      <c r="C29" s="714"/>
      <c r="D29" s="1860"/>
      <c r="E29" s="1860"/>
      <c r="F29" s="1915"/>
      <c r="G29" s="1860"/>
      <c r="H29" s="1860"/>
      <c r="I29" s="1860"/>
      <c r="J29" s="1861"/>
      <c r="K29" s="1049"/>
      <c r="L29" s="1836"/>
      <c r="M29" s="1836"/>
      <c r="N29" s="2530" t="s">
        <v>2017</v>
      </c>
      <c r="O29" s="2531"/>
      <c r="P29" s="2532">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6"/>
      <c r="AH29" s="1836"/>
      <c r="AI29" s="1836"/>
      <c r="AJ29" s="1836"/>
    </row>
    <row r="30" spans="1:37" ht="15">
      <c r="A30" s="1916"/>
      <c r="B30" s="1904" t="s">
        <v>2018</v>
      </c>
      <c r="C30" s="2137">
        <f>IF(B25="容积率修正",E33+SUM(E37:E42),SUM(V2:V16)+SUM(E37:E42))</f>
        <v>2304</v>
      </c>
      <c r="D30" s="1917"/>
      <c r="E30" s="1834"/>
      <c r="F30" s="1918"/>
      <c r="G30" s="1834"/>
      <c r="H30" s="1834"/>
      <c r="I30" s="1834"/>
      <c r="J30" s="1919"/>
      <c r="K30" s="1049"/>
      <c r="L30" s="3036" t="s">
        <v>1930</v>
      </c>
      <c r="M30" s="3037" t="s">
        <v>1984</v>
      </c>
      <c r="N30" s="3037" t="s">
        <v>1985</v>
      </c>
      <c r="O30" s="3037" t="s">
        <v>1986</v>
      </c>
      <c r="P30" s="3037" t="s">
        <v>1987</v>
      </c>
      <c r="Q30" s="3040" t="s">
        <v>3260</v>
      </c>
      <c r="R30" s="1053"/>
      <c r="S30" s="1053"/>
      <c r="T30" s="1050"/>
      <c r="U30" s="1050"/>
      <c r="V30" s="1050"/>
      <c r="W30" s="1049"/>
      <c r="X30" s="1049"/>
      <c r="Y30" s="1049"/>
      <c r="Z30" s="1054"/>
      <c r="AA30" s="1054"/>
      <c r="AB30" s="1054"/>
      <c r="AC30" s="1054"/>
      <c r="AD30" s="1054"/>
      <c r="AE30" s="1049"/>
      <c r="AF30" s="1049"/>
      <c r="AG30" s="1836"/>
      <c r="AH30" s="1836"/>
      <c r="AI30" s="1836"/>
      <c r="AJ30" s="1836"/>
    </row>
    <row r="31" spans="1:37" ht="15.75" thickBot="1">
      <c r="A31" s="1916"/>
      <c r="B31" s="1920" t="s">
        <v>2019</v>
      </c>
      <c r="C31" s="715">
        <f>E34+SUM(I37:I42)</f>
        <v>576</v>
      </c>
      <c r="D31" s="1921"/>
      <c r="E31" s="1922"/>
      <c r="F31" s="1923"/>
      <c r="G31" s="1922"/>
      <c r="H31" s="1922"/>
      <c r="I31" s="1922"/>
      <c r="J31" s="1924"/>
      <c r="K31" s="1049"/>
      <c r="L31" s="3038" t="s">
        <v>1990</v>
      </c>
      <c r="M31" s="156">
        <v>0.25</v>
      </c>
      <c r="N31" s="156">
        <v>0.2</v>
      </c>
      <c r="O31" s="156">
        <v>0.15</v>
      </c>
      <c r="P31" s="156">
        <v>0.1</v>
      </c>
      <c r="Q31" s="3033">
        <v>0.15</v>
      </c>
      <c r="R31" s="1053"/>
      <c r="S31" s="1053"/>
      <c r="T31" s="1050"/>
      <c r="U31" s="1050"/>
      <c r="V31" s="1050"/>
      <c r="W31" s="1049"/>
      <c r="X31" s="1049"/>
      <c r="Y31" s="1049"/>
      <c r="Z31" s="1054"/>
      <c r="AA31" s="1054"/>
      <c r="AB31" s="1054"/>
      <c r="AC31" s="1054"/>
      <c r="AD31" s="1054"/>
      <c r="AE31" s="1049"/>
      <c r="AF31" s="1049"/>
      <c r="AG31" s="1836"/>
      <c r="AH31" s="1836"/>
      <c r="AI31" s="1836"/>
      <c r="AJ31" s="1836"/>
    </row>
    <row r="32" spans="1:37" ht="15.75" thickBot="1">
      <c r="A32" s="1925"/>
      <c r="B32" s="1926" t="s">
        <v>2020</v>
      </c>
      <c r="C32" s="1927" t="s">
        <v>2021</v>
      </c>
      <c r="D32" s="1927" t="s">
        <v>2022</v>
      </c>
      <c r="E32" s="1928" t="s">
        <v>2023</v>
      </c>
      <c r="F32" s="1929"/>
      <c r="G32" s="1873"/>
      <c r="H32" s="1873"/>
      <c r="I32" s="1873"/>
      <c r="J32" s="1874"/>
      <c r="K32" s="1049"/>
      <c r="L32" s="3039" t="s">
        <v>1993</v>
      </c>
      <c r="M32" s="2339">
        <f>ROUND($E$24*(1+M31),3)</f>
        <v>5.3999999999999999E-2</v>
      </c>
      <c r="N32" s="2339">
        <f>ROUND($E$24*(1+N31),3)</f>
        <v>5.1999999999999998E-2</v>
      </c>
      <c r="O32" s="2339">
        <f>ROUND($E$24*(1+O31),3)</f>
        <v>0.05</v>
      </c>
      <c r="P32" s="2339">
        <f>ROUND($E$24*(1+P31),3)</f>
        <v>4.8000000000000001E-2</v>
      </c>
      <c r="Q32" s="3041">
        <f>ROUND($E$24*(1+Q31),3)</f>
        <v>0.05</v>
      </c>
      <c r="R32" s="1053"/>
      <c r="S32" s="1053"/>
      <c r="T32" s="1050"/>
      <c r="U32" s="1050"/>
      <c r="V32" s="1050"/>
      <c r="W32" s="1049"/>
      <c r="X32" s="1049"/>
      <c r="Y32" s="1049"/>
      <c r="Z32" s="1054"/>
      <c r="AA32" s="1054"/>
      <c r="AB32" s="1054"/>
      <c r="AC32" s="1054"/>
      <c r="AD32" s="1054"/>
      <c r="AE32" s="1049"/>
      <c r="AF32" s="1049"/>
      <c r="AG32" s="1836"/>
      <c r="AH32" s="1836"/>
      <c r="AI32" s="1836"/>
      <c r="AJ32" s="1836"/>
    </row>
    <row r="33" spans="1:37" ht="14.25">
      <c r="A33" s="1930"/>
      <c r="B33" s="1931" t="s">
        <v>2024</v>
      </c>
      <c r="C33" s="161">
        <f>ROUND(C5*C22*C23*C24*C25*C28,0)</f>
        <v>0</v>
      </c>
      <c r="D33" s="1932"/>
      <c r="E33" s="720">
        <f>ROUND(C33*D33/10000,0)</f>
        <v>0</v>
      </c>
      <c r="F33" s="3031" t="s">
        <v>3258</v>
      </c>
      <c r="G33" s="1933"/>
      <c r="H33" s="1933"/>
      <c r="I33" s="1933"/>
      <c r="J33" s="1934"/>
      <c r="K33" s="1049"/>
      <c r="L33" s="3034" t="s">
        <v>3261</v>
      </c>
      <c r="M33" s="3035">
        <v>5.5E-2</v>
      </c>
      <c r="N33" s="3035">
        <v>5.5E-2</v>
      </c>
      <c r="O33" s="3035">
        <v>0.05</v>
      </c>
      <c r="P33" s="3035">
        <v>0.05</v>
      </c>
      <c r="Q33" s="3035">
        <v>0.05</v>
      </c>
      <c r="R33" s="1053"/>
      <c r="S33" s="1053"/>
      <c r="T33" s="1050"/>
      <c r="U33" s="1050"/>
      <c r="V33" s="1050"/>
      <c r="W33" s="1049"/>
      <c r="X33" s="1049"/>
      <c r="Y33" s="1049"/>
      <c r="Z33" s="1054"/>
      <c r="AA33" s="1054"/>
      <c r="AB33" s="1054"/>
      <c r="AC33" s="1054"/>
      <c r="AD33" s="1054"/>
      <c r="AE33" s="1050"/>
      <c r="AF33" s="1050"/>
      <c r="AG33" s="1972"/>
      <c r="AH33" s="1972"/>
      <c r="AI33" s="1972"/>
      <c r="AJ33" s="1972"/>
    </row>
    <row r="34" spans="1:37" ht="25.5" thickBot="1">
      <c r="A34" s="1935"/>
      <c r="B34" s="1936" t="s">
        <v>2025</v>
      </c>
      <c r="C34" s="173" t="e">
        <f>ROUND(IF(E2="工业",C33*M42,IF(B25="楼层修正",SUM(V2:V16)*M41*10000/D34,C33*M41)),0)</f>
        <v>#DIV/0!</v>
      </c>
      <c r="D34" s="1937"/>
      <c r="E34" s="720">
        <f>ROUND(IF(B25="楼层修正",SUM(V2:V16)*M40,C34*D34/10000),0)</f>
        <v>0</v>
      </c>
      <c r="F34" s="1938" t="s">
        <v>2026</v>
      </c>
      <c r="G34" s="1939"/>
      <c r="H34" s="1939"/>
      <c r="I34" s="1939"/>
      <c r="J34" s="1940"/>
      <c r="K34" s="1049"/>
      <c r="L34" s="3034" t="s">
        <v>3262</v>
      </c>
      <c r="M34" s="3035">
        <v>6.5000000000000002E-2</v>
      </c>
      <c r="N34" s="3035">
        <v>6.5000000000000002E-2</v>
      </c>
      <c r="O34" s="3035">
        <v>0.06</v>
      </c>
      <c r="P34" s="3035">
        <v>0.06</v>
      </c>
      <c r="Q34" s="3035">
        <v>0.06</v>
      </c>
      <c r="R34" s="1053"/>
      <c r="S34" s="1053"/>
      <c r="T34" s="1050"/>
      <c r="U34" s="1050"/>
      <c r="V34" s="1050"/>
      <c r="W34" s="1049"/>
      <c r="X34" s="1049"/>
      <c r="Y34" s="1049"/>
      <c r="Z34" s="1054"/>
      <c r="AA34" s="1054"/>
      <c r="AB34" s="1054"/>
      <c r="AC34" s="1054"/>
      <c r="AD34" s="1054"/>
      <c r="AE34" s="1050"/>
      <c r="AF34" s="1050"/>
      <c r="AG34" s="1972"/>
      <c r="AH34" s="1972"/>
      <c r="AI34" s="1972"/>
      <c r="AJ34" s="1972"/>
    </row>
    <row r="35" spans="1:37">
      <c r="A35" s="1941"/>
      <c r="B35" s="1942" t="s">
        <v>2027</v>
      </c>
      <c r="C35" s="3032" t="s">
        <v>3259</v>
      </c>
      <c r="D35" s="1873"/>
      <c r="E35" s="1943"/>
      <c r="F35" s="1943"/>
      <c r="G35" s="1871" t="s">
        <v>2028</v>
      </c>
      <c r="H35" s="1873"/>
      <c r="I35" s="1944"/>
      <c r="J35" s="1874"/>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2"/>
      <c r="AH35" s="1972"/>
      <c r="AI35" s="1972"/>
      <c r="AJ35" s="1972"/>
    </row>
    <row r="36" spans="1:37" ht="24.75" thickBot="1">
      <c r="A36" s="1930"/>
      <c r="B36" s="1945"/>
      <c r="C36" s="430" t="s">
        <v>2021</v>
      </c>
      <c r="D36" s="427" t="s">
        <v>2022</v>
      </c>
      <c r="E36" s="427" t="s">
        <v>2023</v>
      </c>
      <c r="F36" s="327" t="s">
        <v>2029</v>
      </c>
      <c r="G36" s="1946" t="s">
        <v>2021</v>
      </c>
      <c r="H36" s="1946" t="s">
        <v>2022</v>
      </c>
      <c r="I36" s="1946" t="s">
        <v>2023</v>
      </c>
      <c r="J36" s="229"/>
      <c r="K36" s="1956" t="s">
        <v>3263</v>
      </c>
      <c r="L36" s="3120">
        <f ca="1">'数据-取费表'!B40</f>
        <v>3.4500000000000003E-2</v>
      </c>
      <c r="M36" s="2349">
        <f ca="1">ROUND($L$36*(1+M31),3)</f>
        <v>4.2999999999999997E-2</v>
      </c>
      <c r="N36" s="2349">
        <f ca="1">ROUND($L$36*(1+N31),3)</f>
        <v>4.1000000000000002E-2</v>
      </c>
      <c r="O36" s="2349">
        <f ca="1">ROUND($L$36*(1+O31),3)</f>
        <v>0.04</v>
      </c>
      <c r="P36" s="2349">
        <f ca="1">ROUND($L$36*(1+P31),3)</f>
        <v>3.7999999999999999E-2</v>
      </c>
      <c r="Q36" s="2349">
        <f ca="1">ROUND($L$36*(1+Q31),3)</f>
        <v>0.04</v>
      </c>
      <c r="R36" s="1049"/>
      <c r="S36" s="1049"/>
      <c r="T36" s="1049"/>
      <c r="U36" s="1049"/>
      <c r="V36" s="1049"/>
      <c r="W36" s="1049"/>
      <c r="X36" s="1049"/>
      <c r="Y36" s="1049"/>
      <c r="Z36" s="1050"/>
      <c r="AA36" s="1050"/>
      <c r="AB36" s="1050"/>
      <c r="AC36" s="1050"/>
      <c r="AD36" s="1050"/>
      <c r="AE36" s="1050"/>
      <c r="AF36" s="1050"/>
      <c r="AG36" s="1972"/>
      <c r="AH36" s="1972"/>
      <c r="AI36" s="1972"/>
      <c r="AJ36" s="1972"/>
    </row>
    <row r="37" spans="1:37" ht="24.75" thickBot="1">
      <c r="A37" s="3479"/>
      <c r="B37" s="1947" t="s">
        <v>2030</v>
      </c>
      <c r="C37" s="161">
        <f>ROUND(D5*C22*C23*C24*C28*F37,0)</f>
        <v>8445</v>
      </c>
      <c r="D37" s="1932"/>
      <c r="E37" s="157">
        <f>ROUND(C37*D37/10000,0)</f>
        <v>0</v>
      </c>
      <c r="F37" s="157">
        <f>SUMIF(修正!A57:A68,G2,修正!B57:B68)</f>
        <v>0.6</v>
      </c>
      <c r="G37" s="157">
        <f>ROUND(IF(E2="工业",C37*$M$42,C37*$M$41),0)</f>
        <v>2111</v>
      </c>
      <c r="H37" s="157">
        <f>D37</f>
        <v>0</v>
      </c>
      <c r="I37" s="157">
        <f>ROUND(G37*H37/10000,0)</f>
        <v>0</v>
      </c>
      <c r="J37" s="2735"/>
      <c r="K37" s="3042" t="s">
        <v>3264</v>
      </c>
      <c r="L37" s="1956">
        <f ca="1">L36+K38</f>
        <v>3.95E-2</v>
      </c>
      <c r="M37" s="2349">
        <f ca="1">ROUND($L$37*(1+M31),3)</f>
        <v>4.9000000000000002E-2</v>
      </c>
      <c r="N37" s="2349">
        <f t="shared" ref="N37:Q37" ca="1" si="3">ROUND($L$37*(1+N31),3)</f>
        <v>4.7E-2</v>
      </c>
      <c r="O37" s="2349">
        <f t="shared" ca="1" si="3"/>
        <v>4.4999999999999998E-2</v>
      </c>
      <c r="P37" s="2349">
        <f t="shared" ca="1" si="3"/>
        <v>4.2999999999999997E-2</v>
      </c>
      <c r="Q37" s="2349">
        <f t="shared" ca="1" si="3"/>
        <v>4.4999999999999998E-2</v>
      </c>
      <c r="R37" s="1049"/>
      <c r="S37" s="1049"/>
      <c r="T37" s="1049"/>
      <c r="U37" s="1049"/>
      <c r="V37" s="1049"/>
      <c r="W37" s="1049"/>
      <c r="X37" s="1049"/>
      <c r="Y37" s="1049"/>
      <c r="Z37" s="1050"/>
      <c r="AA37" s="1050"/>
      <c r="AB37" s="1050"/>
      <c r="AC37" s="1050"/>
      <c r="AD37" s="1050"/>
      <c r="AE37" s="1050"/>
      <c r="AF37" s="1050"/>
      <c r="AG37" s="1972"/>
      <c r="AH37" s="1972"/>
      <c r="AI37" s="1972"/>
      <c r="AJ37" s="1972"/>
    </row>
    <row r="38" spans="1:37">
      <c r="A38" s="3480"/>
      <c r="B38" s="1876" t="s">
        <v>2031</v>
      </c>
      <c r="C38" s="161">
        <f>ROUND(D5*C22*C23*C24*C28*F38,0)</f>
        <v>4222</v>
      </c>
      <c r="D38" s="1932">
        <f>'数据-汇总表'!G19</f>
        <v>2852.38</v>
      </c>
      <c r="E38" s="157">
        <f t="shared" ref="E38:E42" si="4">ROUND(C38*D38/10000,0)</f>
        <v>1204</v>
      </c>
      <c r="F38" s="157">
        <f>SUMIF(修正!A57:A68,G2,修正!C57:C68)</f>
        <v>0.3</v>
      </c>
      <c r="G38" s="157">
        <f>ROUND(IF(E2="工业",C38*$M$42,C38*$M$41),0)</f>
        <v>1056</v>
      </c>
      <c r="H38" s="157">
        <f t="shared" ref="H38:H42" si="5">D38</f>
        <v>2852.38</v>
      </c>
      <c r="I38" s="157">
        <f t="shared" ref="I38:I42" si="6">ROUND(G38*H38/10000,0)</f>
        <v>301</v>
      </c>
      <c r="J38" s="2734"/>
      <c r="K38" s="1956">
        <v>5.0000000000000001E-3</v>
      </c>
      <c r="L38" s="1956"/>
      <c r="M38" s="1956"/>
      <c r="N38" s="1956"/>
      <c r="O38" s="1956"/>
      <c r="P38" s="1956"/>
      <c r="Q38" s="1956"/>
      <c r="R38" s="1049"/>
      <c r="S38" s="1049"/>
      <c r="T38" s="1049"/>
      <c r="U38" s="1049"/>
      <c r="V38" s="1049"/>
      <c r="W38" s="1049"/>
      <c r="X38" s="1049"/>
      <c r="Y38" s="1049"/>
      <c r="Z38" s="1050"/>
      <c r="AA38" s="1050"/>
      <c r="AB38" s="1050"/>
      <c r="AC38" s="1050"/>
      <c r="AD38" s="1050"/>
    </row>
    <row r="39" spans="1:37" ht="13.5" thickBot="1">
      <c r="A39" s="3480"/>
      <c r="B39" s="1876" t="s">
        <v>3257</v>
      </c>
      <c r="C39" s="161">
        <f>ROUND(D5*C22*C23*C24*C28*F39,0)</f>
        <v>3519</v>
      </c>
      <c r="D39" s="1932">
        <f>'数据-汇总表'!G20</f>
        <v>3127.15</v>
      </c>
      <c r="E39" s="157">
        <f t="shared" si="4"/>
        <v>1100</v>
      </c>
      <c r="F39" s="157">
        <f>SUMIF(修正!A57:A68,G2,修正!D57:D68)</f>
        <v>0.25</v>
      </c>
      <c r="G39" s="157">
        <f>ROUND(IF(E2="工业",C39*$M$42,C39*$M$41),0)</f>
        <v>880</v>
      </c>
      <c r="H39" s="157">
        <f t="shared" si="5"/>
        <v>3127.15</v>
      </c>
      <c r="I39" s="157">
        <f t="shared" si="6"/>
        <v>275</v>
      </c>
      <c r="J39" s="2734"/>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8"/>
      <c r="B40" s="1876" t="s">
        <v>2032</v>
      </c>
      <c r="C40" s="157">
        <f>ROUND(D5*C22*C23*C24*C28*F40,0)</f>
        <v>3519</v>
      </c>
      <c r="D40" s="1932"/>
      <c r="E40" s="157">
        <f t="shared" si="4"/>
        <v>0</v>
      </c>
      <c r="F40" s="161">
        <f>SUMIF(修正!A57:A68,G2,修正!E57:E68)</f>
        <v>0.25</v>
      </c>
      <c r="G40" s="157">
        <f>ROUND(IF(E2="工业",C40*$M$42,C40*$M$41),0)</f>
        <v>880</v>
      </c>
      <c r="H40" s="157">
        <f t="shared" si="5"/>
        <v>0</v>
      </c>
      <c r="I40" s="157">
        <f t="shared" si="6"/>
        <v>0</v>
      </c>
      <c r="J40" s="932"/>
      <c r="L40" s="1949" t="s">
        <v>2033</v>
      </c>
      <c r="M40" s="1950"/>
      <c r="Z40" s="1050"/>
      <c r="AA40" s="1050"/>
      <c r="AB40" s="1050"/>
      <c r="AC40" s="1050"/>
      <c r="AD40" s="1050"/>
      <c r="AE40" s="1050"/>
      <c r="AF40" s="1050"/>
      <c r="AG40" s="1050"/>
      <c r="AH40" s="1050"/>
      <c r="AI40" s="1050"/>
      <c r="AJ40" s="1050"/>
    </row>
    <row r="41" spans="1:37" s="1049" customFormat="1">
      <c r="A41" s="1948"/>
      <c r="B41" s="1876" t="s">
        <v>2034</v>
      </c>
      <c r="C41" s="157">
        <f>ROUND(D5*C22*C23*C44*C28*F41,0)</f>
        <v>3334</v>
      </c>
      <c r="D41" s="1932"/>
      <c r="E41" s="157">
        <f t="shared" si="4"/>
        <v>0</v>
      </c>
      <c r="F41" s="161">
        <f>SUMIF(修正!A57:A68,G2,修正!F57:F68)</f>
        <v>0.25</v>
      </c>
      <c r="G41" s="157">
        <f>ROUND(IF(E2="工业",C41*$M$42,C41*$M$41),0)</f>
        <v>834</v>
      </c>
      <c r="H41" s="157">
        <f t="shared" si="5"/>
        <v>0</v>
      </c>
      <c r="I41" s="157">
        <f t="shared" si="6"/>
        <v>0</v>
      </c>
      <c r="J41" s="932"/>
      <c r="L41" s="3043" t="s">
        <v>3265</v>
      </c>
      <c r="M41" s="1951">
        <v>0.25</v>
      </c>
      <c r="Z41" s="1050"/>
      <c r="AA41" s="1050"/>
      <c r="AB41" s="1050"/>
      <c r="AC41" s="1050"/>
      <c r="AD41" s="1050"/>
      <c r="AE41" s="1050"/>
      <c r="AF41" s="1050"/>
      <c r="AG41" s="1050"/>
      <c r="AH41" s="1050"/>
      <c r="AI41" s="1050"/>
      <c r="AJ41" s="1050"/>
    </row>
    <row r="42" spans="1:37" s="1049" customFormat="1" ht="13.5" thickBot="1">
      <c r="A42" s="1935"/>
      <c r="B42" s="1952" t="s">
        <v>2035</v>
      </c>
      <c r="C42" s="173">
        <f>ROUND(D5*C22*C23*C44*C28*F42,0)</f>
        <v>2001</v>
      </c>
      <c r="D42" s="1937"/>
      <c r="E42" s="173">
        <f t="shared" si="4"/>
        <v>0</v>
      </c>
      <c r="F42" s="716">
        <f>SUMIF(修正!A57:A68,G2,修正!G57:G68)</f>
        <v>0.15</v>
      </c>
      <c r="G42" s="173">
        <f>ROUND(IF(E2="工业",C42*$M$42,C42*$M$41),0)</f>
        <v>500</v>
      </c>
      <c r="H42" s="173">
        <f t="shared" si="5"/>
        <v>0</v>
      </c>
      <c r="I42" s="173">
        <f t="shared" si="6"/>
        <v>0</v>
      </c>
      <c r="J42" s="1953"/>
      <c r="L42" s="1954" t="s">
        <v>1987</v>
      </c>
      <c r="M42" s="1955">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4" t="s">
        <v>2116</v>
      </c>
      <c r="C44" s="327">
        <f>ROUND(POWER(1+E44,H44-G44)*(POWER(1+E44,G44)-1)/(POWER(1+E44,H44)-1),4)</f>
        <v>0.81630000000000003</v>
      </c>
      <c r="D44" s="157" t="s">
        <v>1993</v>
      </c>
      <c r="E44" s="1983">
        <f>G24</f>
        <v>5.5E-2</v>
      </c>
      <c r="F44" s="157" t="s">
        <v>2002</v>
      </c>
      <c r="G44" s="169">
        <f>项目基本情况!D15</f>
        <v>26.67</v>
      </c>
      <c r="H44" s="157">
        <v>50</v>
      </c>
      <c r="Z44" s="1050"/>
      <c r="AA44" s="1050"/>
      <c r="AB44" s="1050"/>
      <c r="AC44" s="1050"/>
      <c r="AD44" s="1050"/>
      <c r="AE44" s="1050"/>
      <c r="AF44" s="1050"/>
      <c r="AG44" s="1050"/>
      <c r="AH44" s="1050"/>
      <c r="AI44" s="1050"/>
      <c r="AJ44" s="1050"/>
    </row>
    <row r="45" spans="1:37" s="1049" customFormat="1">
      <c r="A45" s="1050"/>
      <c r="B45" s="1956"/>
      <c r="Z45" s="1050"/>
      <c r="AA45" s="1050"/>
      <c r="AB45" s="1050"/>
      <c r="AC45" s="1050"/>
      <c r="AD45" s="1050"/>
      <c r="AE45" s="1050"/>
      <c r="AF45" s="1050"/>
      <c r="AG45" s="1050"/>
      <c r="AH45" s="1050"/>
      <c r="AI45" s="1050"/>
      <c r="AJ45" s="1050"/>
    </row>
    <row r="46" spans="1:37" s="1049" customFormat="1">
      <c r="A46" s="1050"/>
      <c r="B46" s="1956"/>
      <c r="AA46" s="1050"/>
      <c r="AB46" s="1050"/>
      <c r="AC46" s="1050"/>
      <c r="AD46" s="1050"/>
      <c r="AE46" s="1050"/>
      <c r="AF46" s="1050"/>
      <c r="AG46" s="1050"/>
      <c r="AH46" s="1050"/>
      <c r="AI46" s="1050"/>
      <c r="AJ46" s="1050"/>
      <c r="AK46" s="1050"/>
    </row>
    <row r="47" spans="1:37" s="1049" customFormat="1" ht="15.75" thickBot="1">
      <c r="A47" s="1957" t="s">
        <v>2036</v>
      </c>
      <c r="B47" s="1958"/>
      <c r="C47" s="4"/>
      <c r="D47" s="4"/>
      <c r="E47" s="4"/>
      <c r="F47" s="3"/>
      <c r="G47" s="3"/>
      <c r="H47" s="3"/>
      <c r="I47" s="1673"/>
      <c r="J47" s="1673"/>
      <c r="K47" s="1673"/>
      <c r="L47" s="1673"/>
      <c r="M47" s="1673"/>
      <c r="AA47" s="1050"/>
      <c r="AB47" s="1050"/>
      <c r="AC47" s="1050"/>
      <c r="AD47" s="1050"/>
      <c r="AE47" s="1050"/>
      <c r="AF47" s="1050"/>
      <c r="AG47" s="1050"/>
      <c r="AH47" s="1050"/>
      <c r="AI47" s="1050"/>
      <c r="AJ47" s="1050"/>
      <c r="AK47" s="1050"/>
    </row>
    <row r="48" spans="1:37" s="1049" customFormat="1" ht="15">
      <c r="A48" s="1959" t="s">
        <v>2037</v>
      </c>
      <c r="B48" s="1960">
        <f>1+E50</f>
        <v>1.05</v>
      </c>
      <c r="C48" s="1718"/>
      <c r="D48" s="692"/>
      <c r="E48" s="693"/>
      <c r="F48" s="1961"/>
      <c r="G48" s="3"/>
      <c r="H48" s="4"/>
      <c r="I48" s="1673"/>
      <c r="J48" s="1673"/>
      <c r="K48" s="1673"/>
      <c r="L48" s="1673"/>
      <c r="M48" s="1673"/>
      <c r="AA48" s="1050"/>
      <c r="AB48" s="1050"/>
      <c r="AC48" s="1050"/>
      <c r="AD48" s="1050"/>
      <c r="AE48" s="1050"/>
      <c r="AF48" s="1050"/>
      <c r="AG48" s="1050"/>
      <c r="AH48" s="1050"/>
      <c r="AI48" s="1050"/>
      <c r="AJ48" s="1050"/>
      <c r="AK48" s="1050"/>
    </row>
    <row r="49" spans="1:37" s="1049" customFormat="1" ht="24.75">
      <c r="A49" s="1962" t="s">
        <v>2038</v>
      </c>
      <c r="B49" s="1254" t="s">
        <v>2039</v>
      </c>
      <c r="C49" s="1254" t="s">
        <v>2040</v>
      </c>
      <c r="D49" s="1254" t="s">
        <v>2041</v>
      </c>
      <c r="E49" s="694" t="s">
        <v>2042</v>
      </c>
      <c r="F49" s="1963" t="s">
        <v>2043</v>
      </c>
      <c r="G49" s="1254" t="s">
        <v>310</v>
      </c>
      <c r="H49" s="1964" t="s">
        <v>2044</v>
      </c>
      <c r="I49" s="1254" t="s">
        <v>2045</v>
      </c>
      <c r="J49" s="524" t="s">
        <v>1715</v>
      </c>
      <c r="K49" s="524" t="s">
        <v>1716</v>
      </c>
      <c r="L49" s="524" t="s">
        <v>1717</v>
      </c>
      <c r="M49" s="524" t="s">
        <v>1718</v>
      </c>
      <c r="N49" s="524" t="s">
        <v>1719</v>
      </c>
      <c r="AA49" s="1050"/>
      <c r="AB49" s="1050"/>
      <c r="AC49" s="1050"/>
      <c r="AD49" s="1050"/>
      <c r="AE49" s="1050"/>
      <c r="AF49" s="1050"/>
      <c r="AG49" s="1050"/>
      <c r="AH49" s="1050"/>
      <c r="AI49" s="1050"/>
      <c r="AJ49" s="1050"/>
      <c r="AK49" s="1050"/>
    </row>
    <row r="50" spans="1:37" s="1049" customFormat="1" ht="38.25">
      <c r="A50" s="1962" t="s">
        <v>2046</v>
      </c>
      <c r="B50" s="1965" t="str">
        <f>估价对象房地状况!C4</f>
        <v>估价对象位于XX商圈，周边商业氛围成熟，人流量大，商业繁华度好</v>
      </c>
      <c r="C50" s="1879" t="s">
        <v>3723</v>
      </c>
      <c r="D50" s="995">
        <f t="shared" ref="D50:D58" si="7">SUMIF($J$49:$N$49,C50,J50:N50)</f>
        <v>1.4999999999999999E-2</v>
      </c>
      <c r="E50" s="695">
        <f>ROUND(SUM(D50:D58),4)</f>
        <v>0.05</v>
      </c>
      <c r="F50" s="1667">
        <f>IF(E2="商业",SUMIF(L1:L12,G2,N1:N12),"——")</f>
        <v>0.1</v>
      </c>
      <c r="G50" s="993">
        <f>H50</f>
        <v>1.4999999999999999E-2</v>
      </c>
      <c r="H50" s="996">
        <f t="shared" ref="H50:H58" si="8">IFERROR(ROUNDDOWN($F$50*I50/2,4),"——")</f>
        <v>1.4999999999999999E-2</v>
      </c>
      <c r="I50" s="3049">
        <v>0.3</v>
      </c>
      <c r="J50" s="994">
        <f t="shared" ref="J50:J58" si="9">K50+$G50</f>
        <v>0.03</v>
      </c>
      <c r="K50" s="994">
        <f t="shared" ref="K50:K58" si="10">$L50+$G50</f>
        <v>1.4999999999999999E-2</v>
      </c>
      <c r="L50" s="994">
        <v>0</v>
      </c>
      <c r="M50" s="994">
        <f t="shared" ref="M50:N58" si="11">L50-$G50</f>
        <v>-1.4999999999999999E-2</v>
      </c>
      <c r="N50" s="994">
        <f t="shared" si="11"/>
        <v>-0.03</v>
      </c>
      <c r="AA50" s="1050"/>
      <c r="AB50" s="1050"/>
      <c r="AC50" s="1050"/>
      <c r="AD50" s="1050"/>
      <c r="AE50" s="1050"/>
      <c r="AF50" s="1050"/>
      <c r="AG50" s="1050"/>
      <c r="AH50" s="1050"/>
      <c r="AI50" s="1050"/>
      <c r="AJ50" s="1050"/>
      <c r="AK50" s="1050"/>
    </row>
    <row r="51" spans="1:37" s="1049" customFormat="1" ht="38.25">
      <c r="A51" s="1962" t="s">
        <v>2047</v>
      </c>
      <c r="B51" s="1254" t="str">
        <f>估价对象房地状况!C18</f>
        <v>估价对象周边道路状况、公共交通通达情况、停车便捷程度，综合评价交通便捷度较好</v>
      </c>
      <c r="C51" s="1879" t="s">
        <v>3723</v>
      </c>
      <c r="D51" s="995">
        <f t="shared" si="7"/>
        <v>1.0999999999999999E-2</v>
      </c>
      <c r="E51" s="696"/>
      <c r="F51" s="1667"/>
      <c r="G51" s="993">
        <f t="shared" ref="G51:G58" si="12">H51</f>
        <v>1.0999999999999999E-2</v>
      </c>
      <c r="H51" s="996">
        <f t="shared" si="8"/>
        <v>1.0999999999999999E-2</v>
      </c>
      <c r="I51" s="3049">
        <v>0.22</v>
      </c>
      <c r="J51" s="994">
        <f t="shared" si="9"/>
        <v>2.1999999999999999E-2</v>
      </c>
      <c r="K51" s="994">
        <f t="shared" si="10"/>
        <v>1.0999999999999999E-2</v>
      </c>
      <c r="L51" s="994">
        <v>0</v>
      </c>
      <c r="M51" s="994">
        <f t="shared" si="11"/>
        <v>-1.0999999999999999E-2</v>
      </c>
      <c r="N51" s="994">
        <f t="shared" si="11"/>
        <v>-2.1999999999999999E-2</v>
      </c>
      <c r="AA51" s="1050"/>
      <c r="AB51" s="1050"/>
      <c r="AC51" s="1050"/>
      <c r="AD51" s="1050"/>
      <c r="AE51" s="1050"/>
      <c r="AF51" s="1050"/>
      <c r="AG51" s="1050"/>
      <c r="AH51" s="1050"/>
      <c r="AI51" s="1050"/>
      <c r="AJ51" s="1050"/>
      <c r="AK51" s="1050"/>
    </row>
    <row r="52" spans="1:37" s="1049" customFormat="1" ht="36">
      <c r="A52" s="3051" t="s">
        <v>3267</v>
      </c>
      <c r="B52" s="1254">
        <f>估价对象房地状况!C19</f>
        <v>0</v>
      </c>
      <c r="C52" s="1879" t="s">
        <v>3723</v>
      </c>
      <c r="D52" s="995">
        <f t="shared" si="7"/>
        <v>6.0000000000000001E-3</v>
      </c>
      <c r="E52" s="696"/>
      <c r="F52" s="1667"/>
      <c r="G52" s="993">
        <f t="shared" si="12"/>
        <v>6.0000000000000001E-3</v>
      </c>
      <c r="H52" s="996">
        <f t="shared" si="8"/>
        <v>6.0000000000000001E-3</v>
      </c>
      <c r="I52" s="3049">
        <v>0.12</v>
      </c>
      <c r="J52" s="994">
        <f t="shared" si="9"/>
        <v>1.2E-2</v>
      </c>
      <c r="K52" s="994">
        <f t="shared" si="10"/>
        <v>6.0000000000000001E-3</v>
      </c>
      <c r="L52" s="994">
        <v>0</v>
      </c>
      <c r="M52" s="994">
        <f t="shared" si="11"/>
        <v>-6.0000000000000001E-3</v>
      </c>
      <c r="N52" s="994">
        <f t="shared" si="11"/>
        <v>-1.2E-2</v>
      </c>
      <c r="AA52" s="1050"/>
      <c r="AB52" s="1050"/>
      <c r="AC52" s="1050"/>
      <c r="AD52" s="1050"/>
      <c r="AE52" s="1050"/>
      <c r="AF52" s="1050"/>
      <c r="AG52" s="1050"/>
      <c r="AH52" s="1050"/>
      <c r="AI52" s="1050"/>
      <c r="AJ52" s="1050"/>
      <c r="AK52" s="1050"/>
    </row>
    <row r="53" spans="1:37" s="1049" customFormat="1" ht="36.75">
      <c r="A53" s="1962" t="s">
        <v>2048</v>
      </c>
      <c r="B53" s="1966" t="s">
        <v>2049</v>
      </c>
      <c r="C53" s="1879" t="s">
        <v>3723</v>
      </c>
      <c r="D53" s="995">
        <f t="shared" si="7"/>
        <v>2.5000000000000001E-3</v>
      </c>
      <c r="E53" s="696"/>
      <c r="F53" s="1667"/>
      <c r="G53" s="993">
        <f t="shared" si="12"/>
        <v>2.5000000000000001E-3</v>
      </c>
      <c r="H53" s="996">
        <f t="shared" si="8"/>
        <v>2.5000000000000001E-3</v>
      </c>
      <c r="I53" s="3049">
        <v>0.05</v>
      </c>
      <c r="J53" s="994">
        <f t="shared" si="9"/>
        <v>5.0000000000000001E-3</v>
      </c>
      <c r="K53" s="994">
        <f t="shared" si="10"/>
        <v>2.5000000000000001E-3</v>
      </c>
      <c r="L53" s="994">
        <v>0</v>
      </c>
      <c r="M53" s="994">
        <f t="shared" si="11"/>
        <v>-2.5000000000000001E-3</v>
      </c>
      <c r="N53" s="994">
        <f t="shared" si="11"/>
        <v>-5.0000000000000001E-3</v>
      </c>
      <c r="AA53" s="1050"/>
      <c r="AB53" s="1050"/>
      <c r="AC53" s="1050"/>
      <c r="AD53" s="1050"/>
      <c r="AE53" s="1050"/>
      <c r="AF53" s="1050"/>
      <c r="AG53" s="1050"/>
      <c r="AH53" s="1050"/>
      <c r="AI53" s="1050"/>
      <c r="AJ53" s="1050"/>
      <c r="AK53" s="1050"/>
    </row>
    <row r="54" spans="1:37" s="1049" customFormat="1" ht="24">
      <c r="A54" s="1962" t="s">
        <v>2050</v>
      </c>
      <c r="B54" s="1254">
        <f>估价对象房地状况!C24</f>
        <v>0</v>
      </c>
      <c r="C54" s="1879" t="s">
        <v>3724</v>
      </c>
      <c r="D54" s="995">
        <f t="shared" si="7"/>
        <v>0</v>
      </c>
      <c r="E54" s="696"/>
      <c r="F54" s="1667"/>
      <c r="G54" s="993">
        <f t="shared" si="12"/>
        <v>4.0000000000000001E-3</v>
      </c>
      <c r="H54" s="996">
        <f t="shared" si="8"/>
        <v>4.0000000000000001E-3</v>
      </c>
      <c r="I54" s="3049">
        <v>0.08</v>
      </c>
      <c r="J54" s="994">
        <f t="shared" si="9"/>
        <v>8.0000000000000002E-3</v>
      </c>
      <c r="K54" s="994">
        <f t="shared" si="10"/>
        <v>4.0000000000000001E-3</v>
      </c>
      <c r="L54" s="994">
        <v>0</v>
      </c>
      <c r="M54" s="994">
        <f t="shared" si="11"/>
        <v>-4.0000000000000001E-3</v>
      </c>
      <c r="N54" s="994">
        <f t="shared" si="11"/>
        <v>-8.0000000000000002E-3</v>
      </c>
      <c r="AA54" s="1050"/>
      <c r="AB54" s="1050"/>
      <c r="AC54" s="1050"/>
      <c r="AD54" s="1050"/>
      <c r="AE54" s="1050"/>
      <c r="AF54" s="1050"/>
      <c r="AG54" s="1050"/>
      <c r="AH54" s="1050"/>
      <c r="AI54" s="1050"/>
      <c r="AJ54" s="1050"/>
      <c r="AK54" s="1050"/>
    </row>
    <row r="55" spans="1:37" s="1049" customFormat="1" ht="24">
      <c r="A55" s="1962" t="s">
        <v>2051</v>
      </c>
      <c r="B55" s="1967" t="s">
        <v>2052</v>
      </c>
      <c r="C55" s="1879" t="s">
        <v>3723</v>
      </c>
      <c r="D55" s="995">
        <f t="shared" si="7"/>
        <v>2.5000000000000001E-3</v>
      </c>
      <c r="E55" s="696"/>
      <c r="F55" s="1667"/>
      <c r="G55" s="993">
        <f t="shared" si="12"/>
        <v>2.5000000000000001E-3</v>
      </c>
      <c r="H55" s="996">
        <f t="shared" si="8"/>
        <v>2.5000000000000001E-3</v>
      </c>
      <c r="I55" s="3049">
        <v>0.05</v>
      </c>
      <c r="J55" s="994">
        <f t="shared" si="9"/>
        <v>5.0000000000000001E-3</v>
      </c>
      <c r="K55" s="994">
        <f t="shared" si="10"/>
        <v>2.5000000000000001E-3</v>
      </c>
      <c r="L55" s="994">
        <v>0</v>
      </c>
      <c r="M55" s="994">
        <f t="shared" si="11"/>
        <v>-2.5000000000000001E-3</v>
      </c>
      <c r="N55" s="994">
        <f t="shared" si="11"/>
        <v>-5.0000000000000001E-3</v>
      </c>
      <c r="AA55" s="1050"/>
      <c r="AB55" s="1050"/>
      <c r="AC55" s="1050"/>
      <c r="AD55" s="1050"/>
      <c r="AE55" s="1050"/>
      <c r="AF55" s="1050"/>
      <c r="AG55" s="1050"/>
      <c r="AH55" s="1050"/>
      <c r="AI55" s="1050"/>
      <c r="AJ55" s="1050"/>
      <c r="AK55" s="1050"/>
    </row>
    <row r="56" spans="1:37" s="1049" customFormat="1" ht="25.5">
      <c r="A56" s="1968" t="s">
        <v>2053</v>
      </c>
      <c r="B56" s="1233" t="str">
        <f>估价对象房地状况!C21</f>
        <v>估价对象所在区域公共配套设施齐备情况</v>
      </c>
      <c r="C56" s="1879" t="s">
        <v>3723</v>
      </c>
      <c r="D56" s="995">
        <f t="shared" si="7"/>
        <v>2.5000000000000001E-3</v>
      </c>
      <c r="E56" s="696"/>
      <c r="F56" s="1667"/>
      <c r="G56" s="993">
        <f t="shared" si="12"/>
        <v>2.5000000000000001E-3</v>
      </c>
      <c r="H56" s="996">
        <f t="shared" si="8"/>
        <v>2.5000000000000001E-3</v>
      </c>
      <c r="I56" s="3049">
        <v>0.05</v>
      </c>
      <c r="J56" s="994">
        <f t="shared" si="9"/>
        <v>5.0000000000000001E-3</v>
      </c>
      <c r="K56" s="994">
        <f t="shared" si="10"/>
        <v>2.5000000000000001E-3</v>
      </c>
      <c r="L56" s="994">
        <v>0</v>
      </c>
      <c r="M56" s="994">
        <f t="shared" si="11"/>
        <v>-2.5000000000000001E-3</v>
      </c>
      <c r="N56" s="994">
        <f t="shared" si="11"/>
        <v>-5.0000000000000001E-3</v>
      </c>
      <c r="AA56" s="1050"/>
      <c r="AB56" s="1050"/>
      <c r="AC56" s="1050"/>
      <c r="AD56" s="1050"/>
      <c r="AE56" s="1050"/>
      <c r="AF56" s="1050"/>
      <c r="AG56" s="1050"/>
      <c r="AH56" s="1050"/>
      <c r="AI56" s="1050"/>
      <c r="AJ56" s="1050"/>
      <c r="AK56" s="1050"/>
    </row>
    <row r="57" spans="1:37" s="1049" customFormat="1" ht="25.5">
      <c r="A57" s="1968" t="s">
        <v>2054</v>
      </c>
      <c r="B57" s="1254" t="str">
        <f>估价对象房地状况!C22</f>
        <v>估价对象所在区域基础设施水平</v>
      </c>
      <c r="C57" s="1879" t="s">
        <v>3725</v>
      </c>
      <c r="D57" s="995">
        <f t="shared" si="7"/>
        <v>8.0000000000000002E-3</v>
      </c>
      <c r="E57" s="696"/>
      <c r="F57" s="1667"/>
      <c r="G57" s="993">
        <f t="shared" si="12"/>
        <v>4.0000000000000001E-3</v>
      </c>
      <c r="H57" s="996">
        <f t="shared" si="8"/>
        <v>4.0000000000000001E-3</v>
      </c>
      <c r="I57" s="3049">
        <v>0.08</v>
      </c>
      <c r="J57" s="994">
        <f t="shared" si="9"/>
        <v>8.0000000000000002E-3</v>
      </c>
      <c r="K57" s="994">
        <f t="shared" si="10"/>
        <v>4.0000000000000001E-3</v>
      </c>
      <c r="L57" s="994">
        <v>0</v>
      </c>
      <c r="M57" s="994">
        <f t="shared" si="11"/>
        <v>-4.0000000000000001E-3</v>
      </c>
      <c r="N57" s="994">
        <f t="shared" si="11"/>
        <v>-8.0000000000000002E-3</v>
      </c>
      <c r="AA57" s="1050"/>
      <c r="AB57" s="1050"/>
      <c r="AC57" s="1050"/>
      <c r="AD57" s="1050"/>
      <c r="AE57" s="1050"/>
      <c r="AF57" s="1050"/>
      <c r="AG57" s="1050"/>
      <c r="AH57" s="1050"/>
      <c r="AI57" s="1050"/>
      <c r="AJ57" s="1050"/>
      <c r="AK57" s="1050"/>
    </row>
    <row r="58" spans="1:37" s="1049" customFormat="1" ht="26.25" thickBot="1">
      <c r="A58" s="1969" t="s">
        <v>2055</v>
      </c>
      <c r="B58" s="1970" t="str">
        <f>估价对象房地状况!C20</f>
        <v>区域自然环境：；人文环境；综合评价环境状况一般</v>
      </c>
      <c r="C58" s="1879" t="s">
        <v>3723</v>
      </c>
      <c r="D58" s="995">
        <f t="shared" si="7"/>
        <v>2.5000000000000001E-3</v>
      </c>
      <c r="E58" s="697"/>
      <c r="F58" s="1667"/>
      <c r="G58" s="993">
        <f t="shared" si="12"/>
        <v>2.5000000000000001E-3</v>
      </c>
      <c r="H58" s="996">
        <f t="shared" si="8"/>
        <v>2.5000000000000001E-3</v>
      </c>
      <c r="I58" s="3050">
        <v>0.05</v>
      </c>
      <c r="J58" s="994">
        <f t="shared" si="9"/>
        <v>5.0000000000000001E-3</v>
      </c>
      <c r="K58" s="994">
        <f t="shared" si="10"/>
        <v>2.5000000000000001E-3</v>
      </c>
      <c r="L58" s="994">
        <v>0</v>
      </c>
      <c r="M58" s="994">
        <f t="shared" si="11"/>
        <v>-2.5000000000000001E-3</v>
      </c>
      <c r="N58" s="994">
        <f t="shared" si="11"/>
        <v>-5.0000000000000001E-3</v>
      </c>
      <c r="AA58" s="1050"/>
      <c r="AB58" s="1050"/>
      <c r="AC58" s="1050"/>
      <c r="AD58" s="1050"/>
      <c r="AE58" s="1050"/>
      <c r="AF58" s="1050"/>
      <c r="AG58" s="1050"/>
      <c r="AH58" s="1050"/>
      <c r="AI58" s="1050"/>
      <c r="AJ58" s="1050"/>
      <c r="AK58" s="1050"/>
    </row>
    <row r="59" spans="1:37" s="1049" customFormat="1" ht="15">
      <c r="A59" s="1959" t="s">
        <v>2056</v>
      </c>
      <c r="B59" s="1960">
        <f>1+E61</f>
        <v>1</v>
      </c>
      <c r="C59" s="692"/>
      <c r="D59" s="692"/>
      <c r="E59" s="693"/>
      <c r="F59" s="1961"/>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2" t="s">
        <v>2038</v>
      </c>
      <c r="B60" s="1254"/>
      <c r="C60" s="1254" t="s">
        <v>2040</v>
      </c>
      <c r="D60" s="1254" t="s">
        <v>2041</v>
      </c>
      <c r="E60" s="694" t="s">
        <v>2042</v>
      </c>
      <c r="F60" s="1963" t="s">
        <v>2057</v>
      </c>
      <c r="G60" s="1254" t="s">
        <v>310</v>
      </c>
      <c r="H60" s="1964" t="s">
        <v>2044</v>
      </c>
      <c r="I60" s="1254" t="s">
        <v>2045</v>
      </c>
      <c r="J60" s="524" t="s">
        <v>1715</v>
      </c>
      <c r="K60" s="524" t="s">
        <v>1716</v>
      </c>
      <c r="L60" s="524" t="s">
        <v>1717</v>
      </c>
      <c r="M60" s="524" t="s">
        <v>1718</v>
      </c>
      <c r="N60" s="524" t="s">
        <v>1719</v>
      </c>
      <c r="AA60" s="1050"/>
      <c r="AB60" s="1050"/>
      <c r="AC60" s="1050"/>
      <c r="AD60" s="1050"/>
      <c r="AE60" s="1050"/>
      <c r="AF60" s="1050"/>
      <c r="AG60" s="1050"/>
      <c r="AH60" s="1050"/>
      <c r="AI60" s="1050"/>
      <c r="AJ60" s="1050"/>
      <c r="AK60" s="1050"/>
    </row>
    <row r="61" spans="1:37" s="1049" customFormat="1" ht="38.25">
      <c r="A61" s="1962" t="s">
        <v>2058</v>
      </c>
      <c r="B61" s="1965" t="str">
        <f>估价对象房地状况!C17</f>
        <v>估价对象位于XX商圈，周边办公楼项目较多，入驻率高，办公集聚程度较好</v>
      </c>
      <c r="C61" s="1879"/>
      <c r="D61" s="995">
        <f t="shared" ref="D61:D69" si="13">SUMIF($J$60:$N$60,C61,J61:N61)</f>
        <v>0</v>
      </c>
      <c r="E61" s="695">
        <f>ROUND(SUM(D61:D69),4)</f>
        <v>0</v>
      </c>
      <c r="F61" s="1667" t="str">
        <f>IF(E2="办公",SUMIF(L1:L12,G2,N1:N12),"——")</f>
        <v>——</v>
      </c>
      <c r="G61" s="993"/>
      <c r="H61" s="996" t="str">
        <f t="shared" ref="H61:H69" si="14">IFERROR(ROUNDDOWN($F$61*I61/2,4),"——")</f>
        <v>——</v>
      </c>
      <c r="I61" s="3049">
        <v>0.25</v>
      </c>
      <c r="J61" s="994">
        <f t="shared" ref="J61:J69" si="15">K61+$G61</f>
        <v>0</v>
      </c>
      <c r="K61" s="994">
        <f t="shared" ref="K61:K69" si="16">$L61+$G61</f>
        <v>0</v>
      </c>
      <c r="L61" s="994">
        <v>0</v>
      </c>
      <c r="M61" s="994">
        <f t="shared" ref="M61:N69" si="17">L61-$G61</f>
        <v>0</v>
      </c>
      <c r="N61" s="994">
        <f t="shared" si="17"/>
        <v>0</v>
      </c>
      <c r="AA61" s="1050"/>
      <c r="AB61" s="1050"/>
      <c r="AC61" s="1050"/>
      <c r="AD61" s="1050"/>
      <c r="AE61" s="1050"/>
      <c r="AF61" s="1050"/>
      <c r="AG61" s="1050"/>
      <c r="AH61" s="1050"/>
      <c r="AI61" s="1050"/>
      <c r="AJ61" s="1050"/>
      <c r="AK61" s="1050"/>
    </row>
    <row r="62" spans="1:37" s="1049" customFormat="1" ht="38.25">
      <c r="A62" s="1962" t="s">
        <v>2047</v>
      </c>
      <c r="B62" s="1254" t="str">
        <f>估价对象房地状况!C18</f>
        <v>估价对象周边道路状况、公共交通通达情况、停车便捷程度，综合评价交通便捷度较好</v>
      </c>
      <c r="C62" s="1879"/>
      <c r="D62" s="995">
        <f t="shared" si="13"/>
        <v>0</v>
      </c>
      <c r="E62" s="696"/>
      <c r="F62" s="1667"/>
      <c r="G62" s="993"/>
      <c r="H62" s="996" t="str">
        <f t="shared" si="14"/>
        <v>——</v>
      </c>
      <c r="I62" s="3049">
        <v>0.26</v>
      </c>
      <c r="J62" s="994">
        <f t="shared" si="15"/>
        <v>0</v>
      </c>
      <c r="K62" s="994">
        <f t="shared" si="16"/>
        <v>0</v>
      </c>
      <c r="L62" s="994">
        <v>0</v>
      </c>
      <c r="M62" s="994">
        <f t="shared" si="17"/>
        <v>0</v>
      </c>
      <c r="N62" s="994">
        <f t="shared" si="17"/>
        <v>0</v>
      </c>
      <c r="AA62" s="1050"/>
      <c r="AB62" s="1050"/>
      <c r="AC62" s="1050"/>
      <c r="AD62" s="1050"/>
      <c r="AE62" s="1050"/>
      <c r="AF62" s="1050"/>
      <c r="AG62" s="1050"/>
      <c r="AH62" s="1050"/>
      <c r="AI62" s="1050"/>
      <c r="AJ62" s="1050"/>
      <c r="AK62" s="1050"/>
    </row>
    <row r="63" spans="1:37" s="1049" customFormat="1" ht="36">
      <c r="A63" s="3051" t="s">
        <v>3267</v>
      </c>
      <c r="B63" s="1254">
        <f>估价对象房地状况!C19</f>
        <v>0</v>
      </c>
      <c r="C63" s="1879"/>
      <c r="D63" s="995">
        <f t="shared" si="13"/>
        <v>0</v>
      </c>
      <c r="E63" s="696"/>
      <c r="F63" s="1667"/>
      <c r="G63" s="993"/>
      <c r="H63" s="996" t="str">
        <f t="shared" si="14"/>
        <v>——</v>
      </c>
      <c r="I63" s="3049">
        <v>0.11</v>
      </c>
      <c r="J63" s="994">
        <f t="shared" si="15"/>
        <v>0</v>
      </c>
      <c r="K63" s="994">
        <f t="shared" si="16"/>
        <v>0</v>
      </c>
      <c r="L63" s="994">
        <v>0</v>
      </c>
      <c r="M63" s="994">
        <f t="shared" si="17"/>
        <v>0</v>
      </c>
      <c r="N63" s="994">
        <f t="shared" si="17"/>
        <v>0</v>
      </c>
      <c r="AA63" s="1050"/>
      <c r="AB63" s="1050"/>
      <c r="AC63" s="1050"/>
      <c r="AD63" s="1050"/>
      <c r="AE63" s="1050"/>
      <c r="AF63" s="1050"/>
      <c r="AG63" s="1050"/>
      <c r="AH63" s="1050"/>
      <c r="AI63" s="1050"/>
      <c r="AJ63" s="1050"/>
      <c r="AK63" s="1050"/>
    </row>
    <row r="64" spans="1:37" s="1049" customFormat="1" ht="36.75">
      <c r="A64" s="1962" t="s">
        <v>2048</v>
      </c>
      <c r="B64" s="1966" t="s">
        <v>2049</v>
      </c>
      <c r="C64" s="1879"/>
      <c r="D64" s="995">
        <f t="shared" si="13"/>
        <v>0</v>
      </c>
      <c r="E64" s="696"/>
      <c r="F64" s="1667"/>
      <c r="G64" s="993"/>
      <c r="H64" s="996" t="str">
        <f t="shared" si="14"/>
        <v>——</v>
      </c>
      <c r="I64" s="3049">
        <v>0.05</v>
      </c>
      <c r="J64" s="994">
        <f t="shared" si="15"/>
        <v>0</v>
      </c>
      <c r="K64" s="994">
        <f t="shared" si="16"/>
        <v>0</v>
      </c>
      <c r="L64" s="994">
        <v>0</v>
      </c>
      <c r="M64" s="994">
        <f t="shared" si="17"/>
        <v>0</v>
      </c>
      <c r="N64" s="994">
        <f t="shared" si="17"/>
        <v>0</v>
      </c>
      <c r="AA64" s="1050"/>
      <c r="AB64" s="1050"/>
      <c r="AC64" s="1050"/>
      <c r="AD64" s="1050"/>
      <c r="AE64" s="1050"/>
      <c r="AF64" s="1050"/>
      <c r="AG64" s="1050"/>
      <c r="AH64" s="1050"/>
      <c r="AI64" s="1050"/>
      <c r="AJ64" s="1050"/>
      <c r="AK64" s="1050"/>
    </row>
    <row r="65" spans="1:37" s="1049" customFormat="1" ht="24">
      <c r="A65" s="1962" t="s">
        <v>2050</v>
      </c>
      <c r="B65" s="1254">
        <f>估价对象房地状况!C24</f>
        <v>0</v>
      </c>
      <c r="C65" s="1879"/>
      <c r="D65" s="995">
        <f t="shared" si="13"/>
        <v>0</v>
      </c>
      <c r="E65" s="696"/>
      <c r="F65" s="1667"/>
      <c r="G65" s="993"/>
      <c r="H65" s="996" t="str">
        <f t="shared" si="14"/>
        <v>——</v>
      </c>
      <c r="I65" s="3049">
        <v>0.05</v>
      </c>
      <c r="J65" s="994">
        <f t="shared" si="15"/>
        <v>0</v>
      </c>
      <c r="K65" s="994">
        <f t="shared" si="16"/>
        <v>0</v>
      </c>
      <c r="L65" s="994">
        <v>0</v>
      </c>
      <c r="M65" s="994">
        <f t="shared" si="17"/>
        <v>0</v>
      </c>
      <c r="N65" s="994">
        <f t="shared" si="17"/>
        <v>0</v>
      </c>
      <c r="AA65" s="1050"/>
      <c r="AB65" s="1050"/>
      <c r="AC65" s="1050"/>
      <c r="AD65" s="1050"/>
      <c r="AE65" s="1050"/>
      <c r="AF65" s="1050"/>
      <c r="AG65" s="1050"/>
      <c r="AH65" s="1050"/>
      <c r="AI65" s="1050"/>
      <c r="AJ65" s="1050"/>
      <c r="AK65" s="1050"/>
    </row>
    <row r="66" spans="1:37" s="1049" customFormat="1" ht="24">
      <c r="A66" s="1962" t="s">
        <v>2051</v>
      </c>
      <c r="B66" s="1967" t="s">
        <v>2052</v>
      </c>
      <c r="C66" s="1879"/>
      <c r="D66" s="995">
        <f t="shared" si="13"/>
        <v>0</v>
      </c>
      <c r="E66" s="696"/>
      <c r="F66" s="1667"/>
      <c r="G66" s="993"/>
      <c r="H66" s="996" t="str">
        <f t="shared" si="14"/>
        <v>——</v>
      </c>
      <c r="I66" s="3049">
        <v>0.06</v>
      </c>
      <c r="J66" s="994">
        <f t="shared" si="15"/>
        <v>0</v>
      </c>
      <c r="K66" s="994">
        <f t="shared" si="16"/>
        <v>0</v>
      </c>
      <c r="L66" s="994">
        <v>0</v>
      </c>
      <c r="M66" s="994">
        <f t="shared" si="17"/>
        <v>0</v>
      </c>
      <c r="N66" s="994">
        <f t="shared" si="17"/>
        <v>0</v>
      </c>
      <c r="AA66" s="1050"/>
      <c r="AB66" s="1050"/>
      <c r="AC66" s="1050"/>
      <c r="AD66" s="1050"/>
      <c r="AE66" s="1050"/>
      <c r="AF66" s="1050"/>
      <c r="AG66" s="1050"/>
      <c r="AH66" s="1050"/>
      <c r="AI66" s="1050"/>
      <c r="AJ66" s="1050"/>
      <c r="AK66" s="1050"/>
    </row>
    <row r="67" spans="1:37" s="1049" customFormat="1" ht="25.5">
      <c r="A67" s="1962" t="s">
        <v>2053</v>
      </c>
      <c r="B67" s="1233" t="str">
        <f>估价对象房地状况!C21</f>
        <v>估价对象所在区域公共配套设施齐备情况</v>
      </c>
      <c r="C67" s="1879"/>
      <c r="D67" s="995">
        <f t="shared" si="13"/>
        <v>0</v>
      </c>
      <c r="E67" s="696"/>
      <c r="F67" s="1667"/>
      <c r="G67" s="993"/>
      <c r="H67" s="996" t="str">
        <f t="shared" si="14"/>
        <v>——</v>
      </c>
      <c r="I67" s="3049">
        <v>0.06</v>
      </c>
      <c r="J67" s="994">
        <f t="shared" si="15"/>
        <v>0</v>
      </c>
      <c r="K67" s="994">
        <f t="shared" si="16"/>
        <v>0</v>
      </c>
      <c r="L67" s="994">
        <v>0</v>
      </c>
      <c r="M67" s="994">
        <f t="shared" si="17"/>
        <v>0</v>
      </c>
      <c r="N67" s="994">
        <f t="shared" si="17"/>
        <v>0</v>
      </c>
      <c r="AA67" s="1050"/>
      <c r="AB67" s="1050"/>
      <c r="AC67" s="1050"/>
      <c r="AD67" s="1050"/>
      <c r="AE67" s="1050"/>
      <c r="AF67" s="1050"/>
      <c r="AG67" s="1050"/>
      <c r="AH67" s="1050"/>
      <c r="AI67" s="1050"/>
      <c r="AJ67" s="1050"/>
      <c r="AK67" s="1050"/>
    </row>
    <row r="68" spans="1:37" s="1049" customFormat="1" ht="25.5">
      <c r="A68" s="1962" t="s">
        <v>2054</v>
      </c>
      <c r="B68" s="1233" t="str">
        <f>估价对象房地状况!C22</f>
        <v>估价对象所在区域基础设施水平</v>
      </c>
      <c r="C68" s="1879"/>
      <c r="D68" s="995">
        <f t="shared" si="13"/>
        <v>0</v>
      </c>
      <c r="E68" s="696"/>
      <c r="F68" s="1667"/>
      <c r="G68" s="993"/>
      <c r="H68" s="996" t="str">
        <f t="shared" si="14"/>
        <v>——</v>
      </c>
      <c r="I68" s="3049">
        <v>0.09</v>
      </c>
      <c r="J68" s="994">
        <f t="shared" si="15"/>
        <v>0</v>
      </c>
      <c r="K68" s="994">
        <f t="shared" si="16"/>
        <v>0</v>
      </c>
      <c r="L68" s="994">
        <v>0</v>
      </c>
      <c r="M68" s="994">
        <f t="shared" si="17"/>
        <v>0</v>
      </c>
      <c r="N68" s="994">
        <f t="shared" si="17"/>
        <v>0</v>
      </c>
      <c r="AA68" s="1050"/>
      <c r="AB68" s="1050"/>
      <c r="AC68" s="1050"/>
      <c r="AD68" s="1050"/>
      <c r="AE68" s="1050"/>
      <c r="AF68" s="1050"/>
      <c r="AG68" s="1050"/>
      <c r="AH68" s="1050"/>
      <c r="AI68" s="1050"/>
      <c r="AJ68" s="1050"/>
      <c r="AK68" s="1050"/>
    </row>
    <row r="69" spans="1:37" s="1049" customFormat="1" ht="26.25" thickBot="1">
      <c r="A69" s="1969" t="s">
        <v>2055</v>
      </c>
      <c r="B69" s="1971" t="str">
        <f>估价对象房地状况!C20</f>
        <v>区域自然环境：；人文环境；综合评价环境状况一般</v>
      </c>
      <c r="C69" s="1879"/>
      <c r="D69" s="995">
        <f t="shared" si="13"/>
        <v>0</v>
      </c>
      <c r="E69" s="697"/>
      <c r="F69" s="1667"/>
      <c r="G69" s="993"/>
      <c r="H69" s="996" t="str">
        <f t="shared" si="14"/>
        <v>——</v>
      </c>
      <c r="I69" s="3050">
        <v>7.0000000000000007E-2</v>
      </c>
      <c r="J69" s="994">
        <f t="shared" si="15"/>
        <v>0</v>
      </c>
      <c r="K69" s="994">
        <f t="shared" si="16"/>
        <v>0</v>
      </c>
      <c r="L69" s="994">
        <v>0</v>
      </c>
      <c r="M69" s="994">
        <f t="shared" si="17"/>
        <v>0</v>
      </c>
      <c r="N69" s="994">
        <f t="shared" si="17"/>
        <v>0</v>
      </c>
      <c r="AA69" s="1050"/>
      <c r="AB69" s="1050"/>
      <c r="AC69" s="1050"/>
      <c r="AD69" s="1050"/>
      <c r="AE69" s="1050"/>
      <c r="AF69" s="1050"/>
      <c r="AG69" s="1050"/>
      <c r="AH69" s="1050"/>
      <c r="AI69" s="1050"/>
      <c r="AJ69" s="1050"/>
      <c r="AK69" s="1050"/>
    </row>
    <row r="70" spans="1:37" s="1049" customFormat="1" ht="15">
      <c r="A70" s="1959" t="s">
        <v>2059</v>
      </c>
      <c r="B70" s="1960">
        <f>1+E72</f>
        <v>1</v>
      </c>
      <c r="C70" s="692"/>
      <c r="D70" s="692"/>
      <c r="E70" s="693"/>
      <c r="F70" s="1961"/>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2" t="s">
        <v>2038</v>
      </c>
      <c r="B71" s="1254"/>
      <c r="C71" s="1254" t="s">
        <v>2040</v>
      </c>
      <c r="D71" s="1254" t="s">
        <v>2041</v>
      </c>
      <c r="E71" s="694" t="s">
        <v>2042</v>
      </c>
      <c r="F71" s="1963" t="s">
        <v>2057</v>
      </c>
      <c r="G71" s="1254" t="s">
        <v>310</v>
      </c>
      <c r="H71" s="1964" t="s">
        <v>2044</v>
      </c>
      <c r="I71" s="1254" t="s">
        <v>2045</v>
      </c>
      <c r="J71" s="524" t="s">
        <v>1715</v>
      </c>
      <c r="K71" s="524" t="s">
        <v>1716</v>
      </c>
      <c r="L71" s="524" t="s">
        <v>1717</v>
      </c>
      <c r="M71" s="524" t="s">
        <v>1718</v>
      </c>
      <c r="N71" s="524" t="s">
        <v>1719</v>
      </c>
      <c r="AA71" s="1050"/>
      <c r="AB71" s="1050"/>
      <c r="AC71" s="1050"/>
      <c r="AD71" s="1050"/>
      <c r="AE71" s="1050"/>
      <c r="AF71" s="1050"/>
      <c r="AG71" s="1050"/>
      <c r="AH71" s="1050"/>
      <c r="AI71" s="1050"/>
      <c r="AJ71" s="1050"/>
      <c r="AK71" s="1050"/>
    </row>
    <row r="72" spans="1:37" s="1049" customFormat="1" ht="51">
      <c r="A72" s="1962" t="s">
        <v>2060</v>
      </c>
      <c r="B72" s="1965" t="str">
        <f>估价对象房地状况!C15</f>
        <v>估价对象周边居住用地比例、居住小区规模和社区发展完善程度，综合评价居住社区成熟度一般</v>
      </c>
      <c r="C72" s="1879"/>
      <c r="D72" s="995">
        <f t="shared" ref="D72:D80" si="18">SUMIF($J$71:$N$71,C72,J72:N72)</f>
        <v>0</v>
      </c>
      <c r="E72" s="695">
        <f>ROUND(SUM(D72:D80),4)</f>
        <v>0</v>
      </c>
      <c r="F72" s="1667" t="str">
        <f>IF(E2="住宅",SUMIF(L1:L12,G2,N1:N12),"——")</f>
        <v>——</v>
      </c>
      <c r="G72" s="993"/>
      <c r="H72" s="996" t="str">
        <f t="shared" ref="H72:H80" si="19">IFERROR(ROUNDDOWN($F$72*I72/2,4),"——")</f>
        <v>——</v>
      </c>
      <c r="I72" s="3049">
        <v>0.2</v>
      </c>
      <c r="J72" s="994">
        <f t="shared" ref="J72:J80" si="20">K72+$G72</f>
        <v>0</v>
      </c>
      <c r="K72" s="994">
        <f t="shared" ref="K72:K80" si="21">$L72+$G72</f>
        <v>0</v>
      </c>
      <c r="L72" s="994">
        <v>0</v>
      </c>
      <c r="M72" s="994">
        <f t="shared" ref="M72:N80" si="22">L72-$G72</f>
        <v>0</v>
      </c>
      <c r="N72" s="994">
        <f t="shared" si="22"/>
        <v>0</v>
      </c>
      <c r="AA72" s="1050"/>
      <c r="AB72" s="1050"/>
      <c r="AC72" s="1050"/>
      <c r="AD72" s="1050"/>
      <c r="AE72" s="1050"/>
      <c r="AF72" s="1050"/>
      <c r="AG72" s="1050"/>
      <c r="AH72" s="1050"/>
      <c r="AI72" s="1050"/>
      <c r="AJ72" s="1050"/>
      <c r="AK72" s="1050"/>
    </row>
    <row r="73" spans="1:37" s="1049" customFormat="1" ht="38.25">
      <c r="A73" s="1962" t="s">
        <v>2047</v>
      </c>
      <c r="B73" s="1254" t="str">
        <f>估价对象房地状况!C18</f>
        <v>估价对象周边道路状况、公共交通通达情况、停车便捷程度，综合评价交通便捷度较好</v>
      </c>
      <c r="C73" s="1879"/>
      <c r="D73" s="995">
        <f t="shared" si="18"/>
        <v>0</v>
      </c>
      <c r="E73" s="698"/>
      <c r="F73" s="1667"/>
      <c r="G73" s="993"/>
      <c r="H73" s="996" t="str">
        <f t="shared" si="19"/>
        <v>——</v>
      </c>
      <c r="I73" s="3049">
        <v>0.26</v>
      </c>
      <c r="J73" s="994">
        <f t="shared" si="20"/>
        <v>0</v>
      </c>
      <c r="K73" s="994">
        <f t="shared" si="21"/>
        <v>0</v>
      </c>
      <c r="L73" s="994">
        <v>0</v>
      </c>
      <c r="M73" s="994">
        <f t="shared" si="22"/>
        <v>0</v>
      </c>
      <c r="N73" s="994">
        <f t="shared" si="22"/>
        <v>0</v>
      </c>
      <c r="AA73" s="1050"/>
      <c r="AB73" s="1050"/>
      <c r="AC73" s="1050"/>
      <c r="AD73" s="1050"/>
      <c r="AE73" s="1050"/>
      <c r="AF73" s="1050"/>
      <c r="AG73" s="1050"/>
      <c r="AH73" s="1050"/>
      <c r="AI73" s="1050"/>
      <c r="AJ73" s="1050"/>
      <c r="AK73" s="1050"/>
    </row>
    <row r="74" spans="1:37" s="1836" customFormat="1" ht="36">
      <c r="A74" s="3051" t="s">
        <v>3267</v>
      </c>
      <c r="B74" s="1254">
        <f>估价对象房地状况!C19</f>
        <v>0</v>
      </c>
      <c r="C74" s="1879"/>
      <c r="D74" s="995">
        <f t="shared" si="18"/>
        <v>0</v>
      </c>
      <c r="E74" s="698"/>
      <c r="F74" s="1667"/>
      <c r="G74" s="993"/>
      <c r="H74" s="996" t="str">
        <f t="shared" si="19"/>
        <v>——</v>
      </c>
      <c r="I74" s="3049">
        <v>0.1</v>
      </c>
      <c r="J74" s="994">
        <f t="shared" si="20"/>
        <v>0</v>
      </c>
      <c r="K74" s="994">
        <f t="shared" si="21"/>
        <v>0</v>
      </c>
      <c r="L74" s="994">
        <v>0</v>
      </c>
      <c r="M74" s="994">
        <f t="shared" si="22"/>
        <v>0</v>
      </c>
      <c r="N74" s="994">
        <f t="shared" si="22"/>
        <v>0</v>
      </c>
      <c r="O74" s="1049"/>
      <c r="P74" s="1049"/>
      <c r="Q74" s="1049"/>
      <c r="AA74" s="1972"/>
      <c r="AB74" s="1050"/>
      <c r="AC74" s="1050"/>
      <c r="AD74" s="1050"/>
      <c r="AE74" s="1050"/>
      <c r="AF74" s="1050"/>
      <c r="AG74" s="1050"/>
      <c r="AH74" s="1972"/>
      <c r="AI74" s="1972"/>
      <c r="AJ74" s="1972"/>
      <c r="AK74" s="1972"/>
    </row>
    <row r="75" spans="1:37" ht="14.25">
      <c r="A75" s="1962" t="s">
        <v>2061</v>
      </c>
      <c r="B75" s="1254">
        <f>估价对象房地状况!C24</f>
        <v>0</v>
      </c>
      <c r="C75" s="1879"/>
      <c r="D75" s="995">
        <f t="shared" si="18"/>
        <v>0</v>
      </c>
      <c r="E75" s="698"/>
      <c r="F75" s="1667"/>
      <c r="G75" s="993"/>
      <c r="H75" s="996" t="str">
        <f t="shared" si="19"/>
        <v>——</v>
      </c>
      <c r="I75" s="3049">
        <v>0.05</v>
      </c>
      <c r="J75" s="994">
        <f t="shared" si="20"/>
        <v>0</v>
      </c>
      <c r="K75" s="994">
        <f t="shared" si="21"/>
        <v>0</v>
      </c>
      <c r="L75" s="994">
        <v>0</v>
      </c>
      <c r="M75" s="994">
        <f t="shared" si="22"/>
        <v>0</v>
      </c>
      <c r="N75" s="994">
        <f t="shared" si="22"/>
        <v>0</v>
      </c>
      <c r="O75" s="1049"/>
      <c r="P75" s="1049"/>
      <c r="Q75" s="1836"/>
      <c r="Z75" s="1837"/>
      <c r="AA75" s="1887"/>
      <c r="AG75" s="1051"/>
      <c r="AK75" s="1887"/>
    </row>
    <row r="76" spans="1:37" ht="25.5">
      <c r="A76" s="1962" t="s">
        <v>2053</v>
      </c>
      <c r="B76" s="1233" t="str">
        <f>估价对象房地状况!C21</f>
        <v>估价对象所在区域公共配套设施齐备情况</v>
      </c>
      <c r="C76" s="1879"/>
      <c r="D76" s="995">
        <f t="shared" si="18"/>
        <v>0</v>
      </c>
      <c r="E76" s="698"/>
      <c r="F76" s="1667"/>
      <c r="G76" s="993"/>
      <c r="H76" s="996" t="str">
        <f t="shared" si="19"/>
        <v>——</v>
      </c>
      <c r="I76" s="3049">
        <v>0.08</v>
      </c>
      <c r="J76" s="994">
        <f t="shared" si="20"/>
        <v>0</v>
      </c>
      <c r="K76" s="994">
        <f t="shared" si="21"/>
        <v>0</v>
      </c>
      <c r="L76" s="994">
        <v>0</v>
      </c>
      <c r="M76" s="994">
        <f t="shared" si="22"/>
        <v>0</v>
      </c>
      <c r="N76" s="994">
        <f t="shared" si="22"/>
        <v>0</v>
      </c>
      <c r="O76" s="1049"/>
      <c r="P76" s="1049"/>
      <c r="Z76" s="1837"/>
      <c r="AA76" s="1887"/>
      <c r="AG76" s="1051"/>
      <c r="AK76" s="1887"/>
    </row>
    <row r="77" spans="1:37" ht="25.5">
      <c r="A77" s="1962" t="s">
        <v>2054</v>
      </c>
      <c r="B77" s="1233" t="str">
        <f>估价对象房地状况!C22</f>
        <v>估价对象所在区域基础设施水平</v>
      </c>
      <c r="C77" s="1879"/>
      <c r="D77" s="995">
        <f t="shared" si="18"/>
        <v>0</v>
      </c>
      <c r="E77" s="698"/>
      <c r="F77" s="1667"/>
      <c r="G77" s="993"/>
      <c r="H77" s="996" t="str">
        <f t="shared" si="19"/>
        <v>——</v>
      </c>
      <c r="I77" s="3049">
        <v>0.09</v>
      </c>
      <c r="J77" s="994">
        <f t="shared" si="20"/>
        <v>0</v>
      </c>
      <c r="K77" s="994">
        <f t="shared" si="21"/>
        <v>0</v>
      </c>
      <c r="L77" s="994">
        <v>0</v>
      </c>
      <c r="M77" s="994">
        <f t="shared" si="22"/>
        <v>0</v>
      </c>
      <c r="N77" s="994">
        <f t="shared" si="22"/>
        <v>0</v>
      </c>
      <c r="O77" s="1049"/>
      <c r="P77" s="1049"/>
      <c r="Z77" s="1837"/>
      <c r="AA77" s="1887"/>
      <c r="AG77" s="1051"/>
      <c r="AK77" s="1887"/>
    </row>
    <row r="78" spans="1:37" ht="24">
      <c r="A78" s="1962" t="s">
        <v>2051</v>
      </c>
      <c r="B78" s="1967" t="s">
        <v>2052</v>
      </c>
      <c r="C78" s="1879"/>
      <c r="D78" s="995">
        <f t="shared" si="18"/>
        <v>0</v>
      </c>
      <c r="E78" s="698"/>
      <c r="F78" s="1667"/>
      <c r="G78" s="993"/>
      <c r="H78" s="996" t="str">
        <f t="shared" si="19"/>
        <v>——</v>
      </c>
      <c r="I78" s="3049">
        <v>0.05</v>
      </c>
      <c r="J78" s="994">
        <f t="shared" si="20"/>
        <v>0</v>
      </c>
      <c r="K78" s="994">
        <f t="shared" si="21"/>
        <v>0</v>
      </c>
      <c r="L78" s="994">
        <v>0</v>
      </c>
      <c r="M78" s="994">
        <f t="shared" si="22"/>
        <v>0</v>
      </c>
      <c r="N78" s="994">
        <f t="shared" si="22"/>
        <v>0</v>
      </c>
      <c r="O78" s="1836"/>
      <c r="P78" s="1836"/>
      <c r="Z78" s="1837"/>
      <c r="AA78" s="1887"/>
      <c r="AG78" s="1051"/>
      <c r="AK78" s="1887"/>
    </row>
    <row r="79" spans="1:37" ht="25.5">
      <c r="A79" s="1962" t="s">
        <v>2055</v>
      </c>
      <c r="B79" s="1965" t="str">
        <f>估价对象房地状况!C20</f>
        <v>区域自然环境：；人文环境；综合评价环境状况一般</v>
      </c>
      <c r="C79" s="1879"/>
      <c r="D79" s="995">
        <f t="shared" si="18"/>
        <v>0</v>
      </c>
      <c r="E79" s="698"/>
      <c r="F79" s="1667"/>
      <c r="G79" s="993"/>
      <c r="H79" s="996" t="str">
        <f t="shared" si="19"/>
        <v>——</v>
      </c>
      <c r="I79" s="3049">
        <v>0.12</v>
      </c>
      <c r="J79" s="994">
        <f t="shared" si="20"/>
        <v>0</v>
      </c>
      <c r="K79" s="994">
        <f t="shared" si="21"/>
        <v>0</v>
      </c>
      <c r="L79" s="994">
        <v>0</v>
      </c>
      <c r="M79" s="994">
        <f t="shared" si="22"/>
        <v>0</v>
      </c>
      <c r="N79" s="994">
        <f t="shared" si="22"/>
        <v>0</v>
      </c>
      <c r="Z79" s="1837"/>
      <c r="AA79" s="1887"/>
      <c r="AG79" s="1051"/>
      <c r="AK79" s="1887"/>
    </row>
    <row r="80" spans="1:37" ht="24.75" thickBot="1">
      <c r="A80" s="1969" t="s">
        <v>2062</v>
      </c>
      <c r="B80" s="1973"/>
      <c r="C80" s="1879"/>
      <c r="D80" s="995">
        <f t="shared" si="18"/>
        <v>0</v>
      </c>
      <c r="E80" s="699"/>
      <c r="F80" s="1667"/>
      <c r="G80" s="993"/>
      <c r="H80" s="996" t="str">
        <f t="shared" si="19"/>
        <v>——</v>
      </c>
      <c r="I80" s="3050">
        <v>0.05</v>
      </c>
      <c r="J80" s="994">
        <f t="shared" si="20"/>
        <v>0</v>
      </c>
      <c r="K80" s="994">
        <f t="shared" si="21"/>
        <v>0</v>
      </c>
      <c r="L80" s="994">
        <v>0</v>
      </c>
      <c r="M80" s="994">
        <f t="shared" si="22"/>
        <v>0</v>
      </c>
      <c r="N80" s="994">
        <f t="shared" si="22"/>
        <v>0</v>
      </c>
      <c r="Z80" s="1837"/>
      <c r="AA80" s="1887"/>
      <c r="AG80" s="1051"/>
      <c r="AK80" s="1887"/>
    </row>
    <row r="81" spans="1:37" ht="15">
      <c r="A81" s="1959" t="s">
        <v>2063</v>
      </c>
      <c r="B81" s="1960">
        <f>1+E83</f>
        <v>1</v>
      </c>
      <c r="C81" s="692"/>
      <c r="D81" s="692"/>
      <c r="E81" s="693"/>
      <c r="F81" s="1961"/>
      <c r="G81" s="3"/>
      <c r="H81" s="3"/>
      <c r="I81" s="3"/>
      <c r="J81" s="4"/>
      <c r="K81" s="4"/>
      <c r="L81" s="4"/>
      <c r="M81" s="4"/>
      <c r="N81" s="4"/>
      <c r="Z81" s="1837"/>
      <c r="AA81" s="1887"/>
      <c r="AG81" s="1051"/>
      <c r="AK81" s="1887"/>
    </row>
    <row r="82" spans="1:37" ht="24.75">
      <c r="A82" s="1962" t="s">
        <v>2038</v>
      </c>
      <c r="B82" s="1254"/>
      <c r="C82" s="1254" t="s">
        <v>2040</v>
      </c>
      <c r="D82" s="1254" t="s">
        <v>2041</v>
      </c>
      <c r="E82" s="694" t="s">
        <v>2042</v>
      </c>
      <c r="F82" s="1963" t="s">
        <v>2057</v>
      </c>
      <c r="G82" s="1254" t="s">
        <v>310</v>
      </c>
      <c r="H82" s="1964" t="s">
        <v>2044</v>
      </c>
      <c r="I82" s="1254" t="s">
        <v>2045</v>
      </c>
      <c r="J82" s="524" t="s">
        <v>1715</v>
      </c>
      <c r="K82" s="524" t="s">
        <v>1716</v>
      </c>
      <c r="L82" s="524" t="s">
        <v>1717</v>
      </c>
      <c r="M82" s="524" t="s">
        <v>1718</v>
      </c>
      <c r="N82" s="524" t="s">
        <v>1719</v>
      </c>
      <c r="Z82" s="1837"/>
      <c r="AA82" s="1887"/>
      <c r="AG82" s="1051"/>
      <c r="AK82" s="1887"/>
    </row>
    <row r="83" spans="1:37" ht="38.25">
      <c r="A83" s="1962" t="s">
        <v>2064</v>
      </c>
      <c r="B83" s="1254" t="str">
        <f>估价对象房地状况!G15</f>
        <v>估价对象位于XX开发区，园区建设成熟度XX，产业集聚程度XX</v>
      </c>
      <c r="C83" s="1879"/>
      <c r="D83" s="995">
        <f t="shared" ref="D83:D90" si="23">SUMIF($J$82:$N$82,C83,J83:N83)</f>
        <v>0</v>
      </c>
      <c r="E83" s="695">
        <f>ROUND(SUM(D83:D90),4)</f>
        <v>0</v>
      </c>
      <c r="F83" s="1667" t="str">
        <f>IF(E2="工业",SUMIF(L1:L12,G2,N1:N12),"——")</f>
        <v>——</v>
      </c>
      <c r="G83" s="993"/>
      <c r="H83" s="996" t="str">
        <f t="shared" ref="H83:H90" si="24">IFERROR(ROUNDDOWN($F$83*I83/2,4),"——")</f>
        <v>——</v>
      </c>
      <c r="I83" s="3049">
        <v>0.26</v>
      </c>
      <c r="J83" s="994">
        <f t="shared" ref="J83:J90" si="25">K83+$G83</f>
        <v>0</v>
      </c>
      <c r="K83" s="994">
        <f t="shared" ref="K83:K90" si="26">$L83+$G83</f>
        <v>0</v>
      </c>
      <c r="L83" s="994">
        <v>0</v>
      </c>
      <c r="M83" s="994">
        <f t="shared" ref="M83:N90" si="27">L83-$G83</f>
        <v>0</v>
      </c>
      <c r="N83" s="994">
        <f t="shared" si="27"/>
        <v>0</v>
      </c>
      <c r="Z83" s="1837"/>
      <c r="AA83" s="1887"/>
      <c r="AG83" s="1051"/>
      <c r="AK83" s="1887"/>
    </row>
    <row r="84" spans="1:37" ht="38.25">
      <c r="A84" s="1962" t="s">
        <v>2047</v>
      </c>
      <c r="B84" s="1254" t="str">
        <f>估价对象房地状况!G16</f>
        <v>估价对象周边道路状况、公共交通通达情况、停车便捷程度，综合评价交通便捷度较好</v>
      </c>
      <c r="C84" s="1879"/>
      <c r="D84" s="995">
        <f t="shared" si="23"/>
        <v>0</v>
      </c>
      <c r="E84" s="698"/>
      <c r="F84" s="1667"/>
      <c r="G84" s="993"/>
      <c r="H84" s="996" t="str">
        <f t="shared" si="24"/>
        <v>——</v>
      </c>
      <c r="I84" s="3049">
        <v>0.3</v>
      </c>
      <c r="J84" s="994">
        <f t="shared" si="25"/>
        <v>0</v>
      </c>
      <c r="K84" s="994">
        <f t="shared" si="26"/>
        <v>0</v>
      </c>
      <c r="L84" s="994">
        <v>0</v>
      </c>
      <c r="M84" s="994">
        <f t="shared" si="27"/>
        <v>0</v>
      </c>
      <c r="N84" s="994">
        <f t="shared" si="27"/>
        <v>0</v>
      </c>
      <c r="Z84" s="1837"/>
      <c r="AA84" s="1887"/>
      <c r="AG84" s="1051"/>
      <c r="AK84" s="1887"/>
    </row>
    <row r="85" spans="1:37" ht="36">
      <c r="A85" s="3051" t="s">
        <v>3268</v>
      </c>
      <c r="B85" s="1254">
        <f>估价对象房地状况!G17</f>
        <v>0</v>
      </c>
      <c r="C85" s="1879"/>
      <c r="D85" s="995">
        <f t="shared" si="23"/>
        <v>0</v>
      </c>
      <c r="E85" s="698"/>
      <c r="F85" s="1667"/>
      <c r="G85" s="993"/>
      <c r="H85" s="996" t="str">
        <f t="shared" si="24"/>
        <v>——</v>
      </c>
      <c r="I85" s="3049">
        <v>0.1</v>
      </c>
      <c r="J85" s="994">
        <f t="shared" si="25"/>
        <v>0</v>
      </c>
      <c r="K85" s="994">
        <f t="shared" si="26"/>
        <v>0</v>
      </c>
      <c r="L85" s="994">
        <v>0</v>
      </c>
      <c r="M85" s="994">
        <f t="shared" si="27"/>
        <v>0</v>
      </c>
      <c r="N85" s="994">
        <f t="shared" si="27"/>
        <v>0</v>
      </c>
      <c r="Z85" s="1837"/>
      <c r="AA85" s="1887"/>
      <c r="AG85" s="1051"/>
      <c r="AK85" s="1887"/>
    </row>
    <row r="86" spans="1:37" ht="14.25">
      <c r="A86" s="1962" t="s">
        <v>2061</v>
      </c>
      <c r="B86" s="1254">
        <f>估价对象房地状况!G22</f>
        <v>0</v>
      </c>
      <c r="C86" s="1879"/>
      <c r="D86" s="995">
        <f t="shared" si="23"/>
        <v>0</v>
      </c>
      <c r="E86" s="698"/>
      <c r="F86" s="1667"/>
      <c r="G86" s="993"/>
      <c r="H86" s="996" t="str">
        <f t="shared" si="24"/>
        <v>——</v>
      </c>
      <c r="I86" s="3049">
        <v>0.05</v>
      </c>
      <c r="J86" s="994">
        <f t="shared" si="25"/>
        <v>0</v>
      </c>
      <c r="K86" s="994">
        <f t="shared" si="26"/>
        <v>0</v>
      </c>
      <c r="L86" s="994">
        <v>0</v>
      </c>
      <c r="M86" s="994">
        <f t="shared" si="27"/>
        <v>0</v>
      </c>
      <c r="N86" s="994">
        <f t="shared" si="27"/>
        <v>0</v>
      </c>
      <c r="Z86" s="1837"/>
      <c r="AA86" s="1887"/>
      <c r="AG86" s="1051"/>
      <c r="AK86" s="1887"/>
    </row>
    <row r="87" spans="1:37" ht="25.5">
      <c r="A87" s="1962" t="s">
        <v>2053</v>
      </c>
      <c r="B87" s="1233" t="str">
        <f>估价对象房地状况!G19</f>
        <v>估价对象所在区域公共配套设施齐备情况</v>
      </c>
      <c r="C87" s="1879"/>
      <c r="D87" s="995">
        <f t="shared" si="23"/>
        <v>0</v>
      </c>
      <c r="E87" s="698"/>
      <c r="F87" s="1667"/>
      <c r="G87" s="993"/>
      <c r="H87" s="996" t="str">
        <f t="shared" si="24"/>
        <v>——</v>
      </c>
      <c r="I87" s="3049">
        <v>0.06</v>
      </c>
      <c r="J87" s="994">
        <f t="shared" si="25"/>
        <v>0</v>
      </c>
      <c r="K87" s="994">
        <f t="shared" si="26"/>
        <v>0</v>
      </c>
      <c r="L87" s="994">
        <v>0</v>
      </c>
      <c r="M87" s="994">
        <f t="shared" si="27"/>
        <v>0</v>
      </c>
      <c r="N87" s="994">
        <f t="shared" si="27"/>
        <v>0</v>
      </c>
    </row>
    <row r="88" spans="1:37" ht="25.5">
      <c r="A88" s="1962" t="s">
        <v>2054</v>
      </c>
      <c r="B88" s="1233" t="str">
        <f>估价对象房地状况!G20</f>
        <v>估价对象所在区域基础设施水平</v>
      </c>
      <c r="C88" s="1879"/>
      <c r="D88" s="995">
        <f t="shared" si="23"/>
        <v>0</v>
      </c>
      <c r="E88" s="698"/>
      <c r="F88" s="1667"/>
      <c r="G88" s="993"/>
      <c r="H88" s="996" t="str">
        <f t="shared" si="24"/>
        <v>——</v>
      </c>
      <c r="I88" s="3049">
        <v>0.12</v>
      </c>
      <c r="J88" s="994">
        <f t="shared" si="25"/>
        <v>0</v>
      </c>
      <c r="K88" s="994">
        <f t="shared" si="26"/>
        <v>0</v>
      </c>
      <c r="L88" s="994">
        <v>0</v>
      </c>
      <c r="M88" s="994">
        <f t="shared" si="27"/>
        <v>0</v>
      </c>
      <c r="N88" s="994">
        <f t="shared" si="27"/>
        <v>0</v>
      </c>
    </row>
    <row r="89" spans="1:37" ht="24">
      <c r="A89" s="1962" t="s">
        <v>2051</v>
      </c>
      <c r="B89" s="1967" t="s">
        <v>2065</v>
      </c>
      <c r="C89" s="1879"/>
      <c r="D89" s="995">
        <f t="shared" si="23"/>
        <v>0</v>
      </c>
      <c r="E89" s="698"/>
      <c r="F89" s="1667"/>
      <c r="G89" s="993"/>
      <c r="H89" s="996" t="str">
        <f t="shared" si="24"/>
        <v>——</v>
      </c>
      <c r="I89" s="3049">
        <v>0.06</v>
      </c>
      <c r="J89" s="994">
        <f t="shared" si="25"/>
        <v>0</v>
      </c>
      <c r="K89" s="994">
        <f t="shared" si="26"/>
        <v>0</v>
      </c>
      <c r="L89" s="994">
        <v>0</v>
      </c>
      <c r="M89" s="994">
        <f t="shared" si="27"/>
        <v>0</v>
      </c>
      <c r="N89" s="994">
        <f t="shared" si="27"/>
        <v>0</v>
      </c>
    </row>
    <row r="90" spans="1:37" ht="39" thickBot="1">
      <c r="A90" s="1969" t="s">
        <v>2066</v>
      </c>
      <c r="B90" s="1974" t="str">
        <f>估价对象房地状况!G18</f>
        <v>该园区内是否有污染型企业，绿化情况，卫生条件，整体环境状况判断</v>
      </c>
      <c r="C90" s="1879"/>
      <c r="D90" s="995">
        <f t="shared" si="23"/>
        <v>0</v>
      </c>
      <c r="E90" s="699"/>
      <c r="F90" s="1667"/>
      <c r="G90" s="993"/>
      <c r="H90" s="996" t="str">
        <f t="shared" si="24"/>
        <v>——</v>
      </c>
      <c r="I90" s="3050">
        <v>0.05</v>
      </c>
      <c r="J90" s="994">
        <f t="shared" si="25"/>
        <v>0</v>
      </c>
      <c r="K90" s="994">
        <f t="shared" si="26"/>
        <v>0</v>
      </c>
      <c r="L90" s="994">
        <v>0</v>
      </c>
      <c r="M90" s="994">
        <f t="shared" si="27"/>
        <v>0</v>
      </c>
      <c r="N90" s="994">
        <f t="shared" si="27"/>
        <v>0</v>
      </c>
    </row>
    <row r="91" spans="1:37" ht="15">
      <c r="A91" s="3059" t="s">
        <v>2610</v>
      </c>
      <c r="B91" s="3060">
        <f>1+E93</f>
        <v>1</v>
      </c>
      <c r="C91" s="3053"/>
      <c r="D91" s="3054"/>
      <c r="E91" s="1667"/>
      <c r="F91" s="1667"/>
      <c r="G91" s="3055"/>
      <c r="H91" s="3056"/>
      <c r="I91" s="3057"/>
      <c r="J91" s="3058"/>
      <c r="K91" s="3058"/>
      <c r="L91" s="3058"/>
      <c r="M91" s="3058"/>
      <c r="N91" s="3058"/>
    </row>
    <row r="92" spans="1:37" ht="24.75">
      <c r="A92" s="3061" t="s">
        <v>3269</v>
      </c>
      <c r="B92" s="2293"/>
      <c r="C92" s="2293" t="s">
        <v>3278</v>
      </c>
      <c r="D92" s="2293" t="s">
        <v>3279</v>
      </c>
      <c r="E92" s="3033" t="s">
        <v>3280</v>
      </c>
      <c r="F92" s="3063" t="s">
        <v>3281</v>
      </c>
      <c r="G92" s="2293" t="s">
        <v>3282</v>
      </c>
      <c r="H92" s="3070" t="s">
        <v>3285</v>
      </c>
      <c r="I92" s="2293" t="s">
        <v>3286</v>
      </c>
      <c r="J92" s="2142" t="s">
        <v>3287</v>
      </c>
      <c r="K92" s="2142" t="s">
        <v>3288</v>
      </c>
      <c r="L92" s="2142" t="s">
        <v>3289</v>
      </c>
      <c r="M92" s="2142" t="s">
        <v>3290</v>
      </c>
      <c r="N92" s="2142" t="s">
        <v>3291</v>
      </c>
    </row>
    <row r="93" spans="1:37" ht="24">
      <c r="A93" s="3051" t="s">
        <v>3270</v>
      </c>
      <c r="B93" s="1214"/>
      <c r="C93" s="1879"/>
      <c r="D93" s="2293">
        <f>SUMIF($J$92:$N$92,C93,J93:N93)</f>
        <v>0</v>
      </c>
      <c r="E93" s="3064">
        <f>ROUND(SUM(D93:D101),4)</f>
        <v>0</v>
      </c>
      <c r="F93" s="1667" t="str">
        <f>IF(E2="公共服务",SUMIF(L1:L12,G2,N1:N12),"——")</f>
        <v>——</v>
      </c>
      <c r="G93" s="3055"/>
      <c r="H93" s="3100" t="str">
        <f>IFERROR(ROUNDDOWN($F$93*I93/2,4),"——")</f>
        <v>——</v>
      </c>
      <c r="I93" s="3049">
        <v>0.25</v>
      </c>
      <c r="J93" s="1904">
        <f t="shared" ref="J93:J101" si="28">K93+$G93</f>
        <v>0</v>
      </c>
      <c r="K93" s="1904">
        <f t="shared" ref="K93:K101" si="29">$L93+$G93</f>
        <v>0</v>
      </c>
      <c r="L93" s="1904">
        <v>0</v>
      </c>
      <c r="M93" s="1904">
        <f t="shared" ref="M93:N101" si="30">L93-$G93</f>
        <v>0</v>
      </c>
      <c r="N93" s="1904">
        <f t="shared" si="30"/>
        <v>0</v>
      </c>
    </row>
    <row r="94" spans="1:37" ht="38.25">
      <c r="A94" s="3061" t="s">
        <v>3271</v>
      </c>
      <c r="B94" s="3052" t="str">
        <f>估价对象房地状况!C18</f>
        <v>估价对象周边道路状况、公共交通通达情况、停车便捷程度，综合评价交通便捷度较好</v>
      </c>
      <c r="C94" s="1879"/>
      <c r="D94" s="2293">
        <f t="shared" ref="D94:D101" si="31">SUMIF($J$60:$N$60,C94,J94:N94)</f>
        <v>0</v>
      </c>
      <c r="E94" s="3065"/>
      <c r="F94" s="1667"/>
      <c r="G94" s="3055"/>
      <c r="H94" s="3100" t="str">
        <f>IFERROR(ROUNDDOWN($F$93*I94/2,4),"——")</f>
        <v>——</v>
      </c>
      <c r="I94" s="3049">
        <v>0.26</v>
      </c>
      <c r="J94" s="1904">
        <f t="shared" si="28"/>
        <v>0</v>
      </c>
      <c r="K94" s="1904">
        <f t="shared" si="29"/>
        <v>0</v>
      </c>
      <c r="L94" s="1904">
        <v>0</v>
      </c>
      <c r="M94" s="1904">
        <f t="shared" si="30"/>
        <v>0</v>
      </c>
      <c r="N94" s="1904">
        <f t="shared" si="30"/>
        <v>0</v>
      </c>
    </row>
    <row r="95" spans="1:37" ht="36">
      <c r="A95" s="3051" t="s">
        <v>3267</v>
      </c>
      <c r="B95" s="3052">
        <f>估价对象房地状况!C19</f>
        <v>0</v>
      </c>
      <c r="C95" s="1879"/>
      <c r="D95" s="2293">
        <f t="shared" si="31"/>
        <v>0</v>
      </c>
      <c r="E95" s="3065"/>
      <c r="F95" s="1667"/>
      <c r="G95" s="3055"/>
      <c r="H95" s="3100" t="str">
        <f t="shared" ref="H95:H101" si="32">IFERROR(ROUNDDOWN($F$93*I95/2,4),"——")</f>
        <v>——</v>
      </c>
      <c r="I95" s="3049">
        <v>0.11</v>
      </c>
      <c r="J95" s="1904">
        <f t="shared" si="28"/>
        <v>0</v>
      </c>
      <c r="K95" s="1904">
        <f t="shared" si="29"/>
        <v>0</v>
      </c>
      <c r="L95" s="1904">
        <v>0</v>
      </c>
      <c r="M95" s="1904">
        <f t="shared" si="30"/>
        <v>0</v>
      </c>
      <c r="N95" s="1904">
        <f t="shared" si="30"/>
        <v>0</v>
      </c>
    </row>
    <row r="96" spans="1:37" ht="36.75">
      <c r="A96" s="3061" t="s">
        <v>3272</v>
      </c>
      <c r="B96" s="3067" t="s">
        <v>3283</v>
      </c>
      <c r="C96" s="1879"/>
      <c r="D96" s="2293">
        <f t="shared" si="31"/>
        <v>0</v>
      </c>
      <c r="E96" s="3065"/>
      <c r="F96" s="1667"/>
      <c r="G96" s="3055"/>
      <c r="H96" s="3100" t="str">
        <f t="shared" si="32"/>
        <v>——</v>
      </c>
      <c r="I96" s="3049">
        <v>0.05</v>
      </c>
      <c r="J96" s="1904">
        <f t="shared" si="28"/>
        <v>0</v>
      </c>
      <c r="K96" s="1904">
        <f t="shared" si="29"/>
        <v>0</v>
      </c>
      <c r="L96" s="1904">
        <v>0</v>
      </c>
      <c r="M96" s="1904">
        <f t="shared" si="30"/>
        <v>0</v>
      </c>
      <c r="N96" s="1904">
        <f t="shared" si="30"/>
        <v>0</v>
      </c>
    </row>
    <row r="97" spans="1:14" ht="24">
      <c r="A97" s="3061" t="s">
        <v>3273</v>
      </c>
      <c r="B97" s="3052">
        <f>估价对象房地状况!C24</f>
        <v>0</v>
      </c>
      <c r="C97" s="1879"/>
      <c r="D97" s="2293">
        <f t="shared" si="31"/>
        <v>0</v>
      </c>
      <c r="E97" s="3065"/>
      <c r="F97" s="1667"/>
      <c r="G97" s="3055"/>
      <c r="H97" s="3100" t="str">
        <f t="shared" si="32"/>
        <v>——</v>
      </c>
      <c r="I97" s="3049">
        <v>0.05</v>
      </c>
      <c r="J97" s="1904">
        <f t="shared" si="28"/>
        <v>0</v>
      </c>
      <c r="K97" s="1904">
        <f t="shared" si="29"/>
        <v>0</v>
      </c>
      <c r="L97" s="1904">
        <v>0</v>
      </c>
      <c r="M97" s="1904">
        <f t="shared" si="30"/>
        <v>0</v>
      </c>
      <c r="N97" s="1904">
        <f t="shared" si="30"/>
        <v>0</v>
      </c>
    </row>
    <row r="98" spans="1:14" ht="24">
      <c r="A98" s="3061" t="s">
        <v>3274</v>
      </c>
      <c r="B98" s="3068" t="s">
        <v>3284</v>
      </c>
      <c r="C98" s="1879"/>
      <c r="D98" s="2293">
        <f t="shared" si="31"/>
        <v>0</v>
      </c>
      <c r="E98" s="3065"/>
      <c r="F98" s="1667"/>
      <c r="G98" s="3055"/>
      <c r="H98" s="3100" t="str">
        <f t="shared" si="32"/>
        <v>——</v>
      </c>
      <c r="I98" s="3049">
        <v>0.06</v>
      </c>
      <c r="J98" s="1904">
        <f t="shared" si="28"/>
        <v>0</v>
      </c>
      <c r="K98" s="1904">
        <f t="shared" si="29"/>
        <v>0</v>
      </c>
      <c r="L98" s="1904">
        <v>0</v>
      </c>
      <c r="M98" s="1904">
        <f t="shared" si="30"/>
        <v>0</v>
      </c>
      <c r="N98" s="1904">
        <f t="shared" si="30"/>
        <v>0</v>
      </c>
    </row>
    <row r="99" spans="1:14" ht="25.5">
      <c r="A99" s="3061" t="s">
        <v>3275</v>
      </c>
      <c r="B99" s="3052" t="str">
        <f>估价对象房地状况!C21</f>
        <v>估价对象所在区域公共配套设施齐备情况</v>
      </c>
      <c r="C99" s="1879"/>
      <c r="D99" s="2293">
        <f t="shared" si="31"/>
        <v>0</v>
      </c>
      <c r="E99" s="3065"/>
      <c r="F99" s="1667"/>
      <c r="G99" s="3055"/>
      <c r="H99" s="3100" t="str">
        <f t="shared" si="32"/>
        <v>——</v>
      </c>
      <c r="I99" s="3049">
        <v>0.06</v>
      </c>
      <c r="J99" s="1904">
        <f t="shared" si="28"/>
        <v>0</v>
      </c>
      <c r="K99" s="1904">
        <f t="shared" si="29"/>
        <v>0</v>
      </c>
      <c r="L99" s="1904">
        <v>0</v>
      </c>
      <c r="M99" s="1904">
        <f t="shared" si="30"/>
        <v>0</v>
      </c>
      <c r="N99" s="1904">
        <f t="shared" si="30"/>
        <v>0</v>
      </c>
    </row>
    <row r="100" spans="1:14" ht="25.5">
      <c r="A100" s="3061" t="s">
        <v>3276</v>
      </c>
      <c r="B100" s="3052" t="str">
        <f>估价对象房地状况!C22</f>
        <v>估价对象所在区域基础设施水平</v>
      </c>
      <c r="C100" s="1879"/>
      <c r="D100" s="2293">
        <f t="shared" si="31"/>
        <v>0</v>
      </c>
      <c r="E100" s="3065"/>
      <c r="F100" s="1667"/>
      <c r="G100" s="3055"/>
      <c r="H100" s="3100" t="str">
        <f t="shared" si="32"/>
        <v>——</v>
      </c>
      <c r="I100" s="3049">
        <v>0.09</v>
      </c>
      <c r="J100" s="1904">
        <f t="shared" si="28"/>
        <v>0</v>
      </c>
      <c r="K100" s="1904">
        <f t="shared" si="29"/>
        <v>0</v>
      </c>
      <c r="L100" s="1904">
        <v>0</v>
      </c>
      <c r="M100" s="1904">
        <f t="shared" si="30"/>
        <v>0</v>
      </c>
      <c r="N100" s="1904">
        <f t="shared" si="30"/>
        <v>0</v>
      </c>
    </row>
    <row r="101" spans="1:14" ht="26.25" thickBot="1">
      <c r="A101" s="3062" t="s">
        <v>3277</v>
      </c>
      <c r="B101" s="3069" t="str">
        <f>估价对象房地状况!C20</f>
        <v>区域自然环境：；人文环境；综合评价环境状况一般</v>
      </c>
      <c r="C101" s="1879"/>
      <c r="D101" s="2293">
        <f t="shared" si="31"/>
        <v>0</v>
      </c>
      <c r="E101" s="3066"/>
      <c r="F101" s="1667"/>
      <c r="G101" s="3055"/>
      <c r="H101" s="3100" t="str">
        <f t="shared" si="32"/>
        <v>——</v>
      </c>
      <c r="I101" s="3050">
        <v>7.0000000000000007E-2</v>
      </c>
      <c r="J101" s="1904">
        <f t="shared" si="28"/>
        <v>0</v>
      </c>
      <c r="K101" s="1904">
        <f t="shared" si="29"/>
        <v>0</v>
      </c>
      <c r="L101" s="1904">
        <v>0</v>
      </c>
      <c r="M101" s="1904">
        <f t="shared" si="30"/>
        <v>0</v>
      </c>
      <c r="N101" s="1904">
        <f t="shared" si="30"/>
        <v>0</v>
      </c>
    </row>
    <row r="103" spans="1:14">
      <c r="A103" s="3477" t="s">
        <v>3292</v>
      </c>
      <c r="B103" s="3477"/>
      <c r="C103" s="3477"/>
      <c r="D103" s="3477"/>
      <c r="E103" s="3477"/>
      <c r="F103" s="3477"/>
      <c r="G103" s="3477"/>
      <c r="H103" s="3477"/>
      <c r="I103" s="3477"/>
      <c r="J103" s="3477"/>
      <c r="K103" s="1659"/>
      <c r="L103" s="1659"/>
      <c r="M103" s="1659"/>
      <c r="N103" s="1659"/>
    </row>
    <row r="104" spans="1:14">
      <c r="A104" s="3478" t="s">
        <v>3293</v>
      </c>
      <c r="B104" s="3478" t="s">
        <v>3294</v>
      </c>
      <c r="C104" s="3071" t="s">
        <v>3295</v>
      </c>
      <c r="D104" s="3072"/>
      <c r="E104" s="3072"/>
      <c r="F104" s="3072"/>
      <c r="G104" s="3072"/>
      <c r="H104" s="3072"/>
      <c r="I104" s="3072"/>
      <c r="J104" s="3073"/>
      <c r="K104" s="3074"/>
      <c r="L104" s="3074"/>
      <c r="M104" s="3074"/>
      <c r="N104" s="3074"/>
    </row>
    <row r="105" spans="1:14">
      <c r="A105" s="3478"/>
      <c r="B105" s="3478"/>
      <c r="C105" s="3075" t="s">
        <v>3296</v>
      </c>
      <c r="D105" s="3075" t="s">
        <v>3297</v>
      </c>
      <c r="E105" s="3075" t="s">
        <v>3298</v>
      </c>
      <c r="F105" s="3075" t="s">
        <v>3299</v>
      </c>
      <c r="G105" s="3075" t="s">
        <v>3300</v>
      </c>
      <c r="H105" s="3075" t="s">
        <v>3301</v>
      </c>
      <c r="I105" s="3075" t="s">
        <v>3302</v>
      </c>
      <c r="J105" s="3075" t="s">
        <v>3303</v>
      </c>
      <c r="K105" s="3075" t="s">
        <v>3304</v>
      </c>
      <c r="L105" s="3075" t="s">
        <v>3305</v>
      </c>
      <c r="M105" s="3075" t="s">
        <v>3306</v>
      </c>
      <c r="N105" s="3075" t="s">
        <v>3307</v>
      </c>
    </row>
    <row r="106" spans="1:14">
      <c r="A106" s="3464" t="s">
        <v>3308</v>
      </c>
      <c r="B106" s="3075">
        <v>1</v>
      </c>
      <c r="C106" s="3075">
        <v>1.5206</v>
      </c>
      <c r="D106" s="3075">
        <v>1.5206</v>
      </c>
      <c r="E106" s="3075">
        <v>1.5019</v>
      </c>
      <c r="F106" s="3075">
        <v>1.5019</v>
      </c>
      <c r="G106" s="3075">
        <v>1.5019</v>
      </c>
      <c r="H106" s="3075">
        <v>1.5019</v>
      </c>
      <c r="I106" s="3075">
        <v>1.5019</v>
      </c>
      <c r="J106" s="3075">
        <v>1.5418000000000001</v>
      </c>
      <c r="K106" s="3075">
        <v>1.5418000000000001</v>
      </c>
      <c r="L106" s="3075">
        <v>1.5418000000000001</v>
      </c>
      <c r="M106" s="3075">
        <v>1.5418000000000001</v>
      </c>
      <c r="N106" s="3075">
        <v>1.5418000000000001</v>
      </c>
    </row>
    <row r="107" spans="1:14">
      <c r="A107" s="3465"/>
      <c r="B107" s="3075">
        <v>2</v>
      </c>
      <c r="C107" s="3075">
        <v>1.2072000000000001</v>
      </c>
      <c r="D107" s="3075">
        <v>1.2072000000000001</v>
      </c>
      <c r="E107" s="3075">
        <v>1.1838</v>
      </c>
      <c r="F107" s="3075">
        <v>1.1838</v>
      </c>
      <c r="G107" s="3075">
        <v>1.1838</v>
      </c>
      <c r="H107" s="3075">
        <v>1.1838</v>
      </c>
      <c r="I107" s="3075">
        <v>1.1838</v>
      </c>
      <c r="J107" s="3075">
        <v>1.1883999999999999</v>
      </c>
      <c r="K107" s="3075">
        <v>1.1883999999999999</v>
      </c>
      <c r="L107" s="3075">
        <v>1.1883999999999999</v>
      </c>
      <c r="M107" s="3075">
        <v>1.1883999999999999</v>
      </c>
      <c r="N107" s="3075">
        <v>1.1883999999999999</v>
      </c>
    </row>
    <row r="108" spans="1:14">
      <c r="A108" s="3465"/>
      <c r="B108" s="3075">
        <v>3</v>
      </c>
      <c r="C108" s="3075">
        <v>1.0430999999999999</v>
      </c>
      <c r="D108" s="3075">
        <v>1.0430999999999999</v>
      </c>
      <c r="E108" s="3075">
        <v>1.0004999999999999</v>
      </c>
      <c r="F108" s="3075">
        <v>1.0004999999999999</v>
      </c>
      <c r="G108" s="3075">
        <v>1.0004999999999999</v>
      </c>
      <c r="H108" s="3075">
        <v>1.0004999999999999</v>
      </c>
      <c r="I108" s="3075">
        <v>1.0004999999999999</v>
      </c>
      <c r="J108" s="3075">
        <v>0.96940000000000004</v>
      </c>
      <c r="K108" s="3075">
        <v>0.96940000000000004</v>
      </c>
      <c r="L108" s="3075">
        <v>0.96940000000000004</v>
      </c>
      <c r="M108" s="3075">
        <v>0.96940000000000004</v>
      </c>
      <c r="N108" s="3075">
        <v>0.96940000000000004</v>
      </c>
    </row>
    <row r="109" spans="1:14">
      <c r="A109" s="3465"/>
      <c r="B109" s="3075">
        <v>4</v>
      </c>
      <c r="C109" s="3075">
        <v>0.94389999999999996</v>
      </c>
      <c r="D109" s="3075">
        <v>0.94389999999999996</v>
      </c>
      <c r="E109" s="3075">
        <v>0.88239999999999996</v>
      </c>
      <c r="F109" s="3075">
        <v>0.88239999999999996</v>
      </c>
      <c r="G109" s="3075">
        <v>0.88239999999999996</v>
      </c>
      <c r="H109" s="3075">
        <v>0.88239999999999996</v>
      </c>
      <c r="I109" s="3075">
        <v>0.88239999999999996</v>
      </c>
      <c r="J109" s="3075">
        <v>0.82299999999999995</v>
      </c>
      <c r="K109" s="3075">
        <v>0.82299999999999995</v>
      </c>
      <c r="L109" s="3075">
        <v>0.82299999999999995</v>
      </c>
      <c r="M109" s="3075">
        <v>0.82299999999999995</v>
      </c>
      <c r="N109" s="3075">
        <v>0.82299999999999995</v>
      </c>
    </row>
    <row r="110" spans="1:14">
      <c r="A110" s="3465"/>
      <c r="B110" s="3075">
        <v>5</v>
      </c>
      <c r="C110" s="3075">
        <v>0.89959999999999996</v>
      </c>
      <c r="D110" s="3075">
        <v>0.89959999999999996</v>
      </c>
      <c r="E110" s="3075">
        <v>0.84799999999999998</v>
      </c>
      <c r="F110" s="3075">
        <v>0.84799999999999998</v>
      </c>
      <c r="G110" s="3075">
        <v>0.84799999999999998</v>
      </c>
      <c r="H110" s="3075">
        <v>0.84799999999999998</v>
      </c>
      <c r="I110" s="3075">
        <v>0.84799999999999998</v>
      </c>
      <c r="J110" s="3075">
        <v>0.74980000000000002</v>
      </c>
      <c r="K110" s="3075">
        <v>0.74980000000000002</v>
      </c>
      <c r="L110" s="3075">
        <v>0.74980000000000002</v>
      </c>
      <c r="M110" s="3075">
        <v>0.74980000000000002</v>
      </c>
      <c r="N110" s="3075">
        <v>0.74980000000000002</v>
      </c>
    </row>
    <row r="111" spans="1:14">
      <c r="A111" s="3465"/>
      <c r="B111" s="3075" t="s">
        <v>3266</v>
      </c>
      <c r="C111" s="3076">
        <f>$I$3</f>
        <v>0</v>
      </c>
      <c r="D111" s="3076">
        <f t="shared" ref="D111:M111" si="33">$I$3</f>
        <v>0</v>
      </c>
      <c r="E111" s="3076">
        <f t="shared" si="33"/>
        <v>0</v>
      </c>
      <c r="F111" s="3076">
        <f t="shared" si="33"/>
        <v>0</v>
      </c>
      <c r="G111" s="3076">
        <f t="shared" si="33"/>
        <v>0</v>
      </c>
      <c r="H111" s="3076">
        <f t="shared" si="33"/>
        <v>0</v>
      </c>
      <c r="I111" s="3076">
        <f t="shared" si="33"/>
        <v>0</v>
      </c>
      <c r="J111" s="3076">
        <f t="shared" si="33"/>
        <v>0</v>
      </c>
      <c r="K111" s="3076">
        <f t="shared" si="33"/>
        <v>0</v>
      </c>
      <c r="L111" s="3076">
        <f t="shared" si="33"/>
        <v>0</v>
      </c>
      <c r="M111" s="3076">
        <f t="shared" si="33"/>
        <v>0</v>
      </c>
      <c r="N111" s="3076">
        <f>$I$3</f>
        <v>0</v>
      </c>
    </row>
    <row r="112" spans="1:14">
      <c r="A112" s="3466"/>
      <c r="B112" s="3075">
        <v>6</v>
      </c>
      <c r="C112" s="3070">
        <f>(-0.5556*(C111^2)-0.2719*C111+8944)*(10^(-4))</f>
        <v>0.89440000000000008</v>
      </c>
      <c r="D112" s="3070">
        <f>(-0.5556*(D111^2)-0.2719*D111+8944)*(10^(-4))</f>
        <v>0.89440000000000008</v>
      </c>
      <c r="E112" s="3070">
        <f>(-0.7912*(E111^2)-11.3794*E111+8482)*(10^(-4))</f>
        <v>0.84820000000000007</v>
      </c>
      <c r="F112" s="3070">
        <f t="shared" ref="F112:I112" si="34">(-0.7912*(F111^2)-11.3794*F111+8482)*(10^(-4))</f>
        <v>0.84820000000000007</v>
      </c>
      <c r="G112" s="3070">
        <f t="shared" si="34"/>
        <v>0.84820000000000007</v>
      </c>
      <c r="H112" s="3070">
        <f t="shared" si="34"/>
        <v>0.84820000000000007</v>
      </c>
      <c r="I112" s="3070">
        <f t="shared" si="34"/>
        <v>0.84820000000000007</v>
      </c>
      <c r="J112" s="3070">
        <f>(-0.989*(J111^2)-63.78*J111+7771)*(10^(-4))</f>
        <v>0.77710000000000001</v>
      </c>
      <c r="K112" s="3070">
        <f t="shared" ref="K112:N112" si="35">(-0.989*(K111^2)-63.78*K111+7771)*(10^(-4))</f>
        <v>0.77710000000000001</v>
      </c>
      <c r="L112" s="3070">
        <f t="shared" si="35"/>
        <v>0.77710000000000001</v>
      </c>
      <c r="M112" s="3070">
        <f t="shared" si="35"/>
        <v>0.77710000000000001</v>
      </c>
      <c r="N112" s="3070">
        <f t="shared" si="35"/>
        <v>0.77710000000000001</v>
      </c>
    </row>
    <row r="113" spans="1:14">
      <c r="A113" s="3467" t="s">
        <v>3309</v>
      </c>
      <c r="B113" s="3467"/>
      <c r="C113" s="3467"/>
      <c r="D113" s="3467"/>
      <c r="E113" s="3467"/>
      <c r="F113" s="3467"/>
      <c r="G113" s="3467"/>
      <c r="H113" s="3467"/>
      <c r="I113" s="3467"/>
      <c r="J113" s="3467"/>
      <c r="K113" s="3077"/>
      <c r="L113" s="3077"/>
      <c r="M113" s="3077"/>
      <c r="N113" s="3077"/>
    </row>
    <row r="114" spans="1:14">
      <c r="A114" s="3078"/>
      <c r="B114" s="3078"/>
      <c r="C114" s="3078"/>
      <c r="D114" s="3078"/>
      <c r="E114" s="3078"/>
      <c r="F114" s="3078"/>
      <c r="G114" s="3078"/>
      <c r="H114" s="3078"/>
      <c r="I114" s="3078"/>
      <c r="J114" s="3078"/>
      <c r="K114" s="1956"/>
      <c r="L114" s="3078"/>
      <c r="M114" s="3078"/>
      <c r="N114" s="3078"/>
    </row>
    <row r="115" spans="1:14" ht="13.5" thickBot="1">
      <c r="A115" s="3078"/>
      <c r="B115" s="3078"/>
      <c r="C115" s="3078"/>
      <c r="D115" s="3078"/>
      <c r="E115" s="3078"/>
      <c r="F115" s="3078"/>
      <c r="G115" s="3078"/>
      <c r="H115" s="3078"/>
      <c r="I115" s="3078"/>
      <c r="J115" s="3078"/>
      <c r="K115" s="1956"/>
      <c r="L115" s="3078"/>
      <c r="M115" s="3078"/>
      <c r="N115" s="3078"/>
    </row>
    <row r="116" spans="1:14" ht="25.5" thickBot="1">
      <c r="A116" s="3079" t="s">
        <v>3310</v>
      </c>
      <c r="B116" s="3095">
        <f>G3</f>
        <v>2.5</v>
      </c>
      <c r="C116" s="3080" t="s">
        <v>3311</v>
      </c>
      <c r="D116" s="3081">
        <f>SUMPRODUCT((A118:A122=F116)*(B117:M117=H116)*B118:M122)</f>
        <v>0.91400000000000003</v>
      </c>
      <c r="E116" s="156" t="s">
        <v>3312</v>
      </c>
      <c r="F116" s="3082" t="str">
        <f>E2</f>
        <v>商业</v>
      </c>
      <c r="G116" s="156" t="s">
        <v>3313</v>
      </c>
      <c r="H116" s="3082" t="str">
        <f>G2</f>
        <v>五级</v>
      </c>
      <c r="I116" s="156"/>
      <c r="J116" s="3083"/>
      <c r="K116" s="3083"/>
      <c r="L116" s="3083"/>
      <c r="M116" s="3083"/>
      <c r="N116" s="3078"/>
    </row>
    <row r="117" spans="1:14">
      <c r="A117" s="3084"/>
      <c r="B117" s="3085" t="s">
        <v>3314</v>
      </c>
      <c r="C117" s="3085" t="s">
        <v>3315</v>
      </c>
      <c r="D117" s="3085" t="s">
        <v>3316</v>
      </c>
      <c r="E117" s="3086" t="s">
        <v>3317</v>
      </c>
      <c r="F117" s="3086" t="s">
        <v>3318</v>
      </c>
      <c r="G117" s="3086" t="s">
        <v>3319</v>
      </c>
      <c r="H117" s="3087" t="s">
        <v>3320</v>
      </c>
      <c r="I117" s="3087" t="s">
        <v>3321</v>
      </c>
      <c r="J117" s="3088" t="s">
        <v>3322</v>
      </c>
      <c r="K117" s="3088" t="s">
        <v>3323</v>
      </c>
      <c r="L117" s="3088" t="s">
        <v>3324</v>
      </c>
      <c r="M117" s="3089" t="s">
        <v>3325</v>
      </c>
      <c r="N117" s="3078"/>
    </row>
    <row r="118" spans="1:14">
      <c r="A118" s="3038" t="s">
        <v>3326</v>
      </c>
      <c r="B118" s="3070">
        <f>ROUND(0.9968-0.011*B116,4)</f>
        <v>0.96930000000000005</v>
      </c>
      <c r="C118" s="3070">
        <f>B118</f>
        <v>0.96930000000000005</v>
      </c>
      <c r="D118" s="3070">
        <f>ROUND(0.949-0.014*B116,4)</f>
        <v>0.91400000000000003</v>
      </c>
      <c r="E118" s="3070">
        <f>D118</f>
        <v>0.91400000000000003</v>
      </c>
      <c r="F118" s="3070">
        <f>E118</f>
        <v>0.91400000000000003</v>
      </c>
      <c r="G118" s="3070">
        <f>F118</f>
        <v>0.91400000000000003</v>
      </c>
      <c r="H118" s="3070">
        <f>G118</f>
        <v>0.91400000000000003</v>
      </c>
      <c r="I118" s="3070">
        <f>ROUND(0.8486-0.018*B116,4)</f>
        <v>0.80359999999999998</v>
      </c>
      <c r="J118" s="3070">
        <f t="shared" ref="J118:M122" si="36">I118</f>
        <v>0.80359999999999998</v>
      </c>
      <c r="K118" s="3070">
        <f t="shared" si="36"/>
        <v>0.80359999999999998</v>
      </c>
      <c r="L118" s="3070">
        <f t="shared" si="36"/>
        <v>0.80359999999999998</v>
      </c>
      <c r="M118" s="3090">
        <f t="shared" si="36"/>
        <v>0.80359999999999998</v>
      </c>
      <c r="N118" s="3078"/>
    </row>
    <row r="119" spans="1:14">
      <c r="A119" s="3038" t="s">
        <v>3327</v>
      </c>
      <c r="B119" s="3070">
        <f>ROUND(0.993-0.0112*B116,4)</f>
        <v>0.96499999999999997</v>
      </c>
      <c r="C119" s="3070">
        <f>B119</f>
        <v>0.96499999999999997</v>
      </c>
      <c r="D119" s="3070">
        <f>ROUND(0.9415-0.0142*B116,4)</f>
        <v>0.90600000000000003</v>
      </c>
      <c r="E119" s="3070">
        <f t="shared" ref="E119:H120" si="37">D119</f>
        <v>0.90600000000000003</v>
      </c>
      <c r="F119" s="3070">
        <f t="shared" si="37"/>
        <v>0.90600000000000003</v>
      </c>
      <c r="G119" s="3070">
        <f t="shared" si="37"/>
        <v>0.90600000000000003</v>
      </c>
      <c r="H119" s="3070">
        <f t="shared" si="37"/>
        <v>0.90600000000000003</v>
      </c>
      <c r="I119" s="3070">
        <f>ROUND(0.838-0.0182*B116,4)</f>
        <v>0.79249999999999998</v>
      </c>
      <c r="J119" s="3070">
        <f t="shared" si="36"/>
        <v>0.79249999999999998</v>
      </c>
      <c r="K119" s="3070">
        <f t="shared" si="36"/>
        <v>0.79249999999999998</v>
      </c>
      <c r="L119" s="3070">
        <f t="shared" si="36"/>
        <v>0.79249999999999998</v>
      </c>
      <c r="M119" s="3090">
        <f t="shared" si="36"/>
        <v>0.79249999999999998</v>
      </c>
      <c r="N119" s="3078"/>
    </row>
    <row r="120" spans="1:14">
      <c r="A120" s="3038" t="s">
        <v>3328</v>
      </c>
      <c r="B120" s="3070">
        <f>ROUND(0.9448-0.0115*B116,4)</f>
        <v>0.91610000000000003</v>
      </c>
      <c r="C120" s="3070">
        <f>B120</f>
        <v>0.91610000000000003</v>
      </c>
      <c r="D120" s="3070">
        <f>ROUND(0.937-0.0145*B116,4)</f>
        <v>0.90080000000000005</v>
      </c>
      <c r="E120" s="3070">
        <f t="shared" si="37"/>
        <v>0.90080000000000005</v>
      </c>
      <c r="F120" s="3070">
        <f t="shared" si="37"/>
        <v>0.90080000000000005</v>
      </c>
      <c r="G120" s="3070">
        <f t="shared" si="37"/>
        <v>0.90080000000000005</v>
      </c>
      <c r="H120" s="3070">
        <f t="shared" si="37"/>
        <v>0.90080000000000005</v>
      </c>
      <c r="I120" s="3070">
        <f>ROUND(0.7965-0.0185*B116,4)</f>
        <v>0.75029999999999997</v>
      </c>
      <c r="J120" s="3070">
        <f t="shared" si="36"/>
        <v>0.75029999999999997</v>
      </c>
      <c r="K120" s="3070">
        <f t="shared" si="36"/>
        <v>0.75029999999999997</v>
      </c>
      <c r="L120" s="3070">
        <f t="shared" si="36"/>
        <v>0.75029999999999997</v>
      </c>
      <c r="M120" s="3090">
        <f t="shared" si="36"/>
        <v>0.75029999999999997</v>
      </c>
      <c r="N120" s="3078"/>
    </row>
    <row r="121" spans="1:14" ht="13.5" thickBot="1">
      <c r="A121" s="3091" t="s">
        <v>3329</v>
      </c>
      <c r="B121" s="3092">
        <f>ROUND(0.7836-0.012*B116,4)</f>
        <v>0.75360000000000005</v>
      </c>
      <c r="C121" s="3092">
        <f>B121</f>
        <v>0.75360000000000005</v>
      </c>
      <c r="D121" s="3092">
        <f>ROUND(0.753-0.015*B116,4)</f>
        <v>0.71550000000000002</v>
      </c>
      <c r="E121" s="3092">
        <f>D121</f>
        <v>0.71550000000000002</v>
      </c>
      <c r="F121" s="3092">
        <f>E121</f>
        <v>0.71550000000000002</v>
      </c>
      <c r="G121" s="3092">
        <f>ROUND(0.6612-0.018*B116,4)</f>
        <v>0.61619999999999997</v>
      </c>
      <c r="H121" s="3092">
        <f>G121</f>
        <v>0.61619999999999997</v>
      </c>
      <c r="I121" s="3092">
        <f>ROUND(0.5905-0.019*B116,4)</f>
        <v>0.54300000000000004</v>
      </c>
      <c r="J121" s="3092">
        <f t="shared" si="36"/>
        <v>0.54300000000000004</v>
      </c>
      <c r="K121" s="3092">
        <f t="shared" si="36"/>
        <v>0.54300000000000004</v>
      </c>
      <c r="L121" s="3092">
        <f t="shared" si="36"/>
        <v>0.54300000000000004</v>
      </c>
      <c r="M121" s="3093">
        <f t="shared" si="36"/>
        <v>0.54300000000000004</v>
      </c>
      <c r="N121" s="3078"/>
    </row>
    <row r="122" spans="1:14">
      <c r="A122" s="3094" t="s">
        <v>2610</v>
      </c>
      <c r="B122" s="3070">
        <f>ROUND(0.9404-0.0106*B116,4)</f>
        <v>0.91390000000000005</v>
      </c>
      <c r="C122" s="3070">
        <f>B122</f>
        <v>0.91390000000000005</v>
      </c>
      <c r="D122" s="3070">
        <f>ROUND(0.8955-0.0135*B116,4)</f>
        <v>0.86180000000000001</v>
      </c>
      <c r="E122" s="3070">
        <f t="shared" ref="E122:H122" si="38">D122</f>
        <v>0.86180000000000001</v>
      </c>
      <c r="F122" s="3070">
        <f t="shared" si="38"/>
        <v>0.86180000000000001</v>
      </c>
      <c r="G122" s="3070">
        <f t="shared" si="38"/>
        <v>0.86180000000000001</v>
      </c>
      <c r="H122" s="3070">
        <f t="shared" si="38"/>
        <v>0.86180000000000001</v>
      </c>
      <c r="I122" s="3070">
        <f>ROUND(0.7632-0.0166*B116,4)</f>
        <v>0.72170000000000001</v>
      </c>
      <c r="J122" s="3070">
        <f t="shared" si="36"/>
        <v>0.72170000000000001</v>
      </c>
      <c r="K122" s="3070">
        <f t="shared" si="36"/>
        <v>0.72170000000000001</v>
      </c>
      <c r="L122" s="3070">
        <f t="shared" si="36"/>
        <v>0.72170000000000001</v>
      </c>
      <c r="M122" s="3090">
        <f t="shared" si="36"/>
        <v>0.72170000000000001</v>
      </c>
      <c r="N122" s="30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6" sqref="I3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1455</v>
      </c>
      <c r="B1" s="1366" t="s">
        <v>3705</v>
      </c>
      <c r="C1" s="184"/>
      <c r="D1" s="184"/>
      <c r="E1" s="184"/>
      <c r="F1" s="184"/>
      <c r="G1" s="1055">
        <f>MATCH(B1,'数据-取费表'!A6:A16,0)+5</f>
        <v>6</v>
      </c>
    </row>
    <row r="2" spans="1:9" s="186" customFormat="1" ht="18" customHeight="1">
      <c r="A2" s="187" t="s">
        <v>1456</v>
      </c>
      <c r="B2" s="188">
        <f ca="1">IF(D2="——",C52,C52-E2)</f>
        <v>3862</v>
      </c>
      <c r="C2" s="185" t="s">
        <v>1457</v>
      </c>
      <c r="D2" s="1703" t="s">
        <v>43</v>
      </c>
      <c r="E2" s="1082" t="e">
        <f ca="1">SUMIF(INDIRECT("'"&amp;G2&amp;"'"&amp;"!A:A"),"承租人权益价值",INDIRECT("'"&amp;G2&amp;"'"&amp;"!c:c"))</f>
        <v>#REF!</v>
      </c>
      <c r="F2" s="1704" t="s">
        <v>1457</v>
      </c>
      <c r="G2" s="1705"/>
    </row>
    <row r="3" spans="1:9" s="186" customFormat="1" ht="18" customHeight="1" thickBot="1">
      <c r="A3" s="189" t="s">
        <v>1458</v>
      </c>
      <c r="B3" s="190">
        <f ca="1">ROUND(B2*10000/(IF(B1="",'数据-汇总表'!E3,INDIRECT("'数据-取费表'!k"&amp;$G$1))),0)</f>
        <v>13540</v>
      </c>
      <c r="C3" s="185" t="s">
        <v>1459</v>
      </c>
      <c r="D3" s="185"/>
      <c r="E3" s="185"/>
      <c r="F3" s="185"/>
      <c r="G3" s="185"/>
    </row>
    <row r="4" spans="1:9" s="194" customFormat="1" ht="15.75">
      <c r="A4" s="191" t="s">
        <v>1460</v>
      </c>
      <c r="B4" s="192"/>
      <c r="C4" s="192"/>
      <c r="D4" s="192"/>
      <c r="E4" s="192"/>
      <c r="F4" s="192"/>
      <c r="G4" s="193"/>
    </row>
    <row r="5" spans="1:9" s="200" customFormat="1" ht="13.5" customHeight="1">
      <c r="A5" s="241" t="s">
        <v>1461</v>
      </c>
      <c r="B5" s="196" t="s">
        <v>1462</v>
      </c>
      <c r="C5" s="197">
        <f ca="1">C6+C7+C8</f>
        <v>1298</v>
      </c>
      <c r="D5" s="197" t="s">
        <v>1463</v>
      </c>
      <c r="E5" s="198" t="s">
        <v>1464</v>
      </c>
      <c r="F5" s="198" t="s">
        <v>1465</v>
      </c>
      <c r="G5" s="199"/>
    </row>
    <row r="6" spans="1:9" s="200" customFormat="1" ht="13.5" customHeight="1">
      <c r="A6" s="725" t="s">
        <v>1466</v>
      </c>
      <c r="B6" s="201" t="s">
        <v>1467</v>
      </c>
      <c r="C6" s="202">
        <f>基准地价修正!E38</f>
        <v>1204</v>
      </c>
      <c r="D6" s="203"/>
      <c r="E6" s="204"/>
      <c r="F6" s="204"/>
      <c r="G6" s="205"/>
    </row>
    <row r="7" spans="1:9" s="200" customFormat="1" ht="13.5" customHeight="1">
      <c r="A7" s="725" t="s">
        <v>1468</v>
      </c>
      <c r="B7" s="201" t="s">
        <v>1469</v>
      </c>
      <c r="C7" s="206">
        <f>ROUND(C6*F7,0)</f>
        <v>37</v>
      </c>
      <c r="D7" s="206"/>
      <c r="E7" s="204"/>
      <c r="F7" s="207">
        <f>IF(项目基本情况!B8="出让",0,'数据-取费表'!B48+'数据-取费表'!B49)</f>
        <v>3.0499999999999999E-2</v>
      </c>
      <c r="G7" s="205"/>
    </row>
    <row r="8" spans="1:9" s="209" customFormat="1">
      <c r="A8" s="725" t="s">
        <v>1470</v>
      </c>
      <c r="B8" s="201" t="s">
        <v>1471</v>
      </c>
      <c r="C8" s="206">
        <f ca="1">IF(G8="已包含在土地购买价格中","0",IF(B1="",'数据-取费表'!B29,IF(G9="全部缴纳",C9+C10,H9)))</f>
        <v>57</v>
      </c>
      <c r="D8" s="208"/>
      <c r="E8" s="206"/>
      <c r="F8" s="207"/>
      <c r="G8" s="1706" t="s">
        <v>3726</v>
      </c>
    </row>
    <row r="9" spans="1:9" s="200" customFormat="1" ht="13.5" customHeight="1">
      <c r="A9" s="726" t="s">
        <v>355</v>
      </c>
      <c r="B9" s="210" t="s">
        <v>1472</v>
      </c>
      <c r="C9" s="211">
        <f ca="1">ROUND(D9*E9/10000,0)</f>
        <v>0</v>
      </c>
      <c r="D9" s="788">
        <f ca="1">IF(B1="",'数据-汇总表'!E5,IF(INDIRECT("'数据-取费表'!c"&amp;$G$1)="住宅",INDIRECT("'数据-取费表'!k"&amp;$G$1),0))</f>
        <v>0</v>
      </c>
      <c r="E9" s="211">
        <f>'数据-取费表'!B27</f>
        <v>160</v>
      </c>
      <c r="F9" s="207"/>
      <c r="G9" s="1707" t="s">
        <v>3727</v>
      </c>
      <c r="H9" s="1063"/>
      <c r="I9" s="1708" t="s">
        <v>1473</v>
      </c>
    </row>
    <row r="10" spans="1:9" s="200" customFormat="1" ht="13.5" customHeight="1">
      <c r="A10" s="726" t="s">
        <v>356</v>
      </c>
      <c r="B10" s="210" t="s">
        <v>1474</v>
      </c>
      <c r="C10" s="211">
        <f ca="1">ROUND(D10*E10/10000,0)</f>
        <v>57</v>
      </c>
      <c r="D10" s="788">
        <f ca="1">IF(B1="",'数据-汇总表'!E6,IF(INDIRECT("'数据-取费表'!c"&amp;$G$1)="住宅",INDIRECT("'数据-取费表'!s"&amp;$G$1),INDIRECT("'数据-取费表'!k"&amp;$G$1)+INDIRECT("'数据-取费表'!s"&amp;$G$1)))</f>
        <v>2852.38</v>
      </c>
      <c r="E10" s="211">
        <f>'数据-取费表'!B28</f>
        <v>200</v>
      </c>
      <c r="F10" s="207"/>
      <c r="G10" s="212"/>
    </row>
    <row r="11" spans="1:9" s="200" customFormat="1" ht="13.5" hidden="1" customHeight="1">
      <c r="A11" s="213" t="s">
        <v>4</v>
      </c>
      <c r="B11" s="201" t="s">
        <v>1475</v>
      </c>
      <c r="C11" s="197"/>
      <c r="D11" s="204"/>
      <c r="E11" s="204"/>
      <c r="F11" s="204"/>
      <c r="G11" s="205"/>
    </row>
    <row r="12" spans="1:9" s="200" customFormat="1" ht="13.5" hidden="1" customHeight="1">
      <c r="A12" s="213" t="s">
        <v>5</v>
      </c>
      <c r="B12" s="201" t="s">
        <v>1476</v>
      </c>
      <c r="C12" s="197">
        <v>0</v>
      </c>
      <c r="D12" s="204"/>
      <c r="E12" s="214"/>
      <c r="F12" s="207">
        <v>3.0499999999999999E-2</v>
      </c>
      <c r="G12" s="205"/>
    </row>
    <row r="13" spans="1:9" s="200" customFormat="1" ht="13.5" hidden="1" customHeight="1">
      <c r="A13" s="213" t="s">
        <v>6</v>
      </c>
      <c r="B13" s="201" t="s">
        <v>1477</v>
      </c>
      <c r="C13" s="197"/>
      <c r="D13" s="204"/>
      <c r="E13" s="204"/>
      <c r="F13" s="204"/>
      <c r="G13" s="205"/>
    </row>
    <row r="14" spans="1:9" s="200" customFormat="1" ht="13.5" hidden="1" customHeight="1">
      <c r="A14" s="213" t="s">
        <v>7</v>
      </c>
      <c r="B14" s="201" t="s">
        <v>1478</v>
      </c>
      <c r="C14" s="197"/>
      <c r="D14" s="204"/>
      <c r="E14" s="204"/>
      <c r="F14" s="204"/>
      <c r="G14" s="205" t="s">
        <v>1479</v>
      </c>
    </row>
    <row r="15" spans="1:9" s="200" customFormat="1" ht="13.5" hidden="1" customHeight="1">
      <c r="A15" s="213" t="s">
        <v>8</v>
      </c>
      <c r="B15" s="201" t="s">
        <v>1480</v>
      </c>
      <c r="C15" s="206"/>
      <c r="D15" s="204"/>
      <c r="E15" s="204"/>
      <c r="F15" s="204"/>
      <c r="G15" s="205" t="s">
        <v>1481</v>
      </c>
    </row>
    <row r="16" spans="1:9" s="200" customFormat="1" ht="13.5" hidden="1" customHeight="1">
      <c r="A16" s="213" t="s">
        <v>9</v>
      </c>
      <c r="B16" s="201" t="s">
        <v>1478</v>
      </c>
      <c r="C16" s="206"/>
      <c r="D16" s="204"/>
      <c r="E16" s="204"/>
      <c r="F16" s="204"/>
      <c r="G16" s="205"/>
    </row>
    <row r="17" spans="1:7" s="200" customFormat="1" ht="13.5" hidden="1" customHeight="1">
      <c r="A17" s="213" t="s">
        <v>10</v>
      </c>
      <c r="B17" s="201" t="s">
        <v>1482</v>
      </c>
      <c r="C17" s="215"/>
      <c r="D17" s="215"/>
      <c r="E17" s="215"/>
      <c r="F17" s="215"/>
      <c r="G17" s="205" t="s">
        <v>1481</v>
      </c>
    </row>
    <row r="18" spans="1:7" s="200" customFormat="1" ht="13.5" hidden="1" customHeight="1">
      <c r="A18" s="213" t="s">
        <v>11</v>
      </c>
      <c r="B18" s="201" t="s">
        <v>1483</v>
      </c>
      <c r="C18" s="206">
        <v>0</v>
      </c>
      <c r="D18" s="204"/>
      <c r="E18" s="204"/>
      <c r="F18" s="207">
        <v>3.0499999999999999E-2</v>
      </c>
      <c r="G18" s="205" t="s">
        <v>1484</v>
      </c>
    </row>
    <row r="19" spans="1:7" s="209" customFormat="1" ht="13.5" customHeight="1">
      <c r="A19" s="241" t="s">
        <v>1485</v>
      </c>
      <c r="B19" s="196" t="s">
        <v>1486</v>
      </c>
      <c r="C19" s="197" t="str">
        <f>IF(G19="已包含在土地取得成本中","0",ROUND(D19*E19/10000,0))</f>
        <v>0</v>
      </c>
      <c r="D19" s="198">
        <f ca="1">D9+D10</f>
        <v>2852.38</v>
      </c>
      <c r="E19" s="197">
        <f>'数据-取费表'!B31</f>
        <v>200</v>
      </c>
      <c r="F19" s="217"/>
      <c r="G19" s="1706" t="s">
        <v>3728</v>
      </c>
    </row>
    <row r="20" spans="1:7" s="200" customFormat="1" ht="13.5" customHeight="1">
      <c r="A20" s="241" t="s">
        <v>1487</v>
      </c>
      <c r="B20" s="196" t="s">
        <v>1488</v>
      </c>
      <c r="C20" s="218">
        <f ca="1">ROUND((C5+C19)*F20,0)</f>
        <v>39</v>
      </c>
      <c r="D20" s="218"/>
      <c r="E20" s="218"/>
      <c r="F20" s="219">
        <f>'数据-取费表'!B37</f>
        <v>0.03</v>
      </c>
      <c r="G20" s="220" t="s">
        <v>1489</v>
      </c>
    </row>
    <row r="21" spans="1:7" s="200" customFormat="1" ht="13.5" customHeight="1">
      <c r="A21" s="241" t="s">
        <v>1490</v>
      </c>
      <c r="B21" s="196" t="s">
        <v>1491</v>
      </c>
      <c r="C21" s="221">
        <f>F21</f>
        <v>0.03</v>
      </c>
      <c r="D21" s="222" t="s">
        <v>1492</v>
      </c>
      <c r="E21" s="218"/>
      <c r="F21" s="219">
        <f>'数据-取费表'!B38</f>
        <v>0.03</v>
      </c>
      <c r="G21" s="220" t="s">
        <v>1493</v>
      </c>
    </row>
    <row r="22" spans="1:7" s="200" customFormat="1" ht="13.5" customHeight="1">
      <c r="A22" s="241" t="s">
        <v>1494</v>
      </c>
      <c r="B22" s="196" t="s">
        <v>1495</v>
      </c>
      <c r="C22" s="1034">
        <f ca="1">ROUND(SUM(C23:C25),0)</f>
        <v>141</v>
      </c>
      <c r="D22" s="221">
        <f ca="1">C26</f>
        <v>1.6000000000000001E-3</v>
      </c>
      <c r="E22" s="222" t="s">
        <v>1492</v>
      </c>
      <c r="F22" s="223">
        <f ca="1">'数据-取费表'!B40</f>
        <v>3.4500000000000003E-2</v>
      </c>
      <c r="G22" s="220" t="str">
        <f>IF('数据-取费表'!B22&lt;=1,"单利计息","复利计息")</f>
        <v>复利计息</v>
      </c>
    </row>
    <row r="23" spans="1:7" s="200" customFormat="1" ht="13.5" customHeight="1">
      <c r="A23" s="727" t="s">
        <v>1496</v>
      </c>
      <c r="B23" s="201" t="s">
        <v>1497</v>
      </c>
      <c r="C23" s="1035">
        <f ca="1">ROUND(IF('数据-取费表'!B22&lt;=1,C5*F22*'数据-取费表'!B23,C5*(POWER((1+F22),'数据-取费表'!B23)-1)),0)</f>
        <v>139</v>
      </c>
      <c r="D23" s="224"/>
      <c r="E23" s="224"/>
      <c r="F23" s="225"/>
      <c r="G23" s="226" t="s">
        <v>1498</v>
      </c>
    </row>
    <row r="24" spans="1:7" s="200" customFormat="1" ht="13.5" customHeight="1">
      <c r="A24" s="727" t="s">
        <v>1499</v>
      </c>
      <c r="B24" s="201" t="s">
        <v>1500</v>
      </c>
      <c r="C24" s="1035">
        <f ca="1">ROUND(IF('数据-取费表'!B22&lt;=1,C19*F22*('数据-取费表'!B19/2+'数据-取费表'!B21),C19*(POWER((1+F22),('数据-取费表'!B19/2+'数据-取费表'!B21))-1)),0)</f>
        <v>0</v>
      </c>
      <c r="D24" s="224"/>
      <c r="E24" s="224"/>
      <c r="F24" s="225"/>
      <c r="G24" s="226" t="s">
        <v>1501</v>
      </c>
    </row>
    <row r="25" spans="1:7" s="200" customFormat="1" ht="24">
      <c r="A25" s="727" t="s">
        <v>1502</v>
      </c>
      <c r="B25" s="201" t="s">
        <v>1503</v>
      </c>
      <c r="C25" s="1035">
        <f ca="1">ROUND(IF('数据-取费表'!B22&lt;=1,C20*F22*'数据-取费表'!B23/2,C20*(POWER((1+F22),'数据-取费表'!B23/2)-1)),0)</f>
        <v>2</v>
      </c>
      <c r="D25" s="224"/>
      <c r="E25" s="227"/>
      <c r="F25" s="225"/>
      <c r="G25" s="228" t="s">
        <v>1504</v>
      </c>
    </row>
    <row r="26" spans="1:7" s="200" customFormat="1">
      <c r="A26" s="727" t="s">
        <v>350</v>
      </c>
      <c r="B26" s="201" t="s">
        <v>1505</v>
      </c>
      <c r="C26" s="224">
        <f ca="1">ROUND(IF('数据-取费表'!B22&lt;=1,F21*F22*'数据-取费表'!B23/2,F21*(POWER((1+F22),'数据-取费表'!B23/2)-1)),4)</f>
        <v>1.6000000000000001E-3</v>
      </c>
      <c r="D26" s="224"/>
      <c r="E26" s="227"/>
      <c r="F26" s="225"/>
      <c r="G26" s="229"/>
    </row>
    <row r="27" spans="1:7" s="200" customFormat="1" ht="24.75">
      <c r="A27" s="241" t="s">
        <v>1506</v>
      </c>
      <c r="B27" s="230" t="s">
        <v>1507</v>
      </c>
      <c r="C27" s="231">
        <f ca="1">C28</f>
        <v>267</v>
      </c>
      <c r="D27" s="221">
        <f ca="1">C29</f>
        <v>6.0000000000000001E-3</v>
      </c>
      <c r="E27" s="222" t="s">
        <v>1508</v>
      </c>
      <c r="F27" s="232">
        <f ca="1">IF(B1="",'数据-取费表'!Q16,INDIRECT("'数据-取费表'!q"&amp;$G$1))</f>
        <v>0.2</v>
      </c>
      <c r="G27" s="233" t="s">
        <v>1509</v>
      </c>
    </row>
    <row r="28" spans="1:7" s="200" customFormat="1" ht="13.5" customHeight="1">
      <c r="A28" s="727" t="s">
        <v>346</v>
      </c>
      <c r="B28" s="234" t="s">
        <v>1510</v>
      </c>
      <c r="C28" s="235">
        <f ca="1">ROUND((C5+C19+C20)*F27*'数据-取费表'!B21/'数据-取费表'!B20,0)</f>
        <v>267</v>
      </c>
      <c r="D28" s="221"/>
      <c r="E28" s="222"/>
      <c r="F28" s="232"/>
      <c r="G28" s="233"/>
    </row>
    <row r="29" spans="1:7" s="200" customFormat="1" ht="13.5" customHeight="1">
      <c r="A29" s="727" t="s">
        <v>347</v>
      </c>
      <c r="B29" s="234" t="s">
        <v>1511</v>
      </c>
      <c r="C29" s="224">
        <f ca="1">ROUND(C21*F27*'数据-取费表'!B21/'数据-取费表'!B20,4)</f>
        <v>6.0000000000000001E-3</v>
      </c>
      <c r="D29" s="221"/>
      <c r="E29" s="222"/>
      <c r="F29" s="232"/>
      <c r="G29" s="233"/>
    </row>
    <row r="30" spans="1:7" s="200" customFormat="1" ht="13.5" customHeight="1">
      <c r="A30" s="241" t="s">
        <v>1512</v>
      </c>
      <c r="B30" s="196" t="s">
        <v>1513</v>
      </c>
      <c r="C30" s="221">
        <f>ROUND(F30/(1+'数据-取费表'!C42),4)</f>
        <v>5.33E-2</v>
      </c>
      <c r="D30" s="222" t="s">
        <v>1508</v>
      </c>
      <c r="E30" s="227"/>
      <c r="F30" s="223">
        <f>'数据-取费表'!B41</f>
        <v>5.6000000000000001E-2</v>
      </c>
      <c r="G30" s="220" t="s">
        <v>1514</v>
      </c>
    </row>
    <row r="31" spans="1:7" ht="16.5" customHeight="1">
      <c r="A31" s="195">
        <v>1</v>
      </c>
      <c r="B31" s="196" t="s">
        <v>1515</v>
      </c>
      <c r="C31" s="197">
        <f ca="1">ROUND((C5+C19+C20+C22+C27)/(1-C21-D22-D27-C30),0)</f>
        <v>1919</v>
      </c>
      <c r="D31" s="216"/>
      <c r="E31" s="197"/>
      <c r="F31" s="236"/>
      <c r="G31" s="220" t="s">
        <v>1516</v>
      </c>
    </row>
    <row r="32" spans="1:7" s="194" customFormat="1" ht="15.75">
      <c r="A32" s="238" t="s">
        <v>1517</v>
      </c>
      <c r="B32" s="239"/>
      <c r="C32" s="239"/>
      <c r="D32" s="239"/>
      <c r="E32" s="239"/>
      <c r="F32" s="239"/>
      <c r="G32" s="240"/>
    </row>
    <row r="33" spans="1:7" s="200" customFormat="1" ht="13.5" customHeight="1">
      <c r="A33" s="241" t="s">
        <v>337</v>
      </c>
      <c r="B33" s="196" t="s">
        <v>1518</v>
      </c>
      <c r="C33" s="242">
        <f ca="1">SUM(C34:C38)</f>
        <v>1575</v>
      </c>
      <c r="D33" s="218"/>
      <c r="E33" s="198"/>
      <c r="F33" s="227"/>
      <c r="G33" s="220"/>
    </row>
    <row r="34" spans="1:7" s="244" customFormat="1" ht="13.5" customHeight="1">
      <c r="A34" s="727" t="s">
        <v>346</v>
      </c>
      <c r="B34" s="201" t="s">
        <v>1519</v>
      </c>
      <c r="C34" s="206">
        <f ca="1">IF(B1="",IF(F34=100%,'数据-取费表'!M16,'数据-取费表'!O16),IF(F34=100%,INDIRECT("'数据-取费表'!m"&amp;$G$1)+INDIRECT("'数据-取费表'!t"&amp;$G$1),INDIRECT("'数据-取费表'!o"&amp;$G$1)+INDIRECT("'数据-取费表'!aq"&amp;$G$1)))</f>
        <v>1426</v>
      </c>
      <c r="D34" s="203"/>
      <c r="E34" s="206"/>
      <c r="F34" s="243">
        <f ca="1">IF('数据-取费表'!B24=0,1,IF(B1="",'数据-取费表'!N16,INDIRECT("'数据-取费表'!n"&amp;$G$1)))</f>
        <v>1</v>
      </c>
      <c r="G34" s="205" t="s">
        <v>1520</v>
      </c>
    </row>
    <row r="35" spans="1:7" ht="13.5" customHeight="1">
      <c r="A35" s="727" t="s">
        <v>351</v>
      </c>
      <c r="B35" s="201" t="s">
        <v>1521</v>
      </c>
      <c r="C35" s="206">
        <f ca="1">ROUND(C34*F35,0)</f>
        <v>71</v>
      </c>
      <c r="D35" s="206"/>
      <c r="E35" s="206"/>
      <c r="F35" s="245">
        <f>'数据-取费表'!B33</f>
        <v>0.05</v>
      </c>
      <c r="G35" s="205" t="s">
        <v>1522</v>
      </c>
    </row>
    <row r="36" spans="1:7" ht="24">
      <c r="A36" s="727" t="s">
        <v>352</v>
      </c>
      <c r="B36" s="201" t="s">
        <v>1523</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1524</v>
      </c>
    </row>
    <row r="37" spans="1:7" s="244" customFormat="1" ht="13.5" customHeight="1">
      <c r="A37" s="727" t="s">
        <v>353</v>
      </c>
      <c r="B37" s="201" t="s">
        <v>1525</v>
      </c>
      <c r="C37" s="235">
        <f ca="1">ROUND(E37*D37*F34/10000,0)</f>
        <v>57</v>
      </c>
      <c r="D37" s="203">
        <f ca="1">D19</f>
        <v>2852.38</v>
      </c>
      <c r="E37" s="235">
        <f>'数据-取费表'!B35</f>
        <v>200</v>
      </c>
      <c r="F37" s="245"/>
      <c r="G37" s="247" t="s">
        <v>1526</v>
      </c>
    </row>
    <row r="38" spans="1:7" ht="13.5" customHeight="1">
      <c r="A38" s="727" t="s">
        <v>354</v>
      </c>
      <c r="B38" s="201" t="s">
        <v>1527</v>
      </c>
      <c r="C38" s="206">
        <f ca="1">ROUND(C34*F38,0)</f>
        <v>21</v>
      </c>
      <c r="D38" s="206"/>
      <c r="E38" s="206"/>
      <c r="F38" s="245">
        <f>'数据-取费表'!B36</f>
        <v>1.4999999999999999E-2</v>
      </c>
      <c r="G38" s="205" t="s">
        <v>1522</v>
      </c>
    </row>
    <row r="39" spans="1:7" s="200" customFormat="1" ht="13.5" customHeight="1">
      <c r="A39" s="241" t="s">
        <v>1528</v>
      </c>
      <c r="B39" s="196" t="s">
        <v>1529</v>
      </c>
      <c r="C39" s="218">
        <f ca="1">ROUND(C33*F20,0)</f>
        <v>47</v>
      </c>
      <c r="D39" s="218"/>
      <c r="E39" s="218"/>
      <c r="F39" s="219">
        <f>F20</f>
        <v>0.03</v>
      </c>
      <c r="G39" s="220" t="s">
        <v>1530</v>
      </c>
    </row>
    <row r="40" spans="1:7" s="200" customFormat="1" ht="13.5" customHeight="1">
      <c r="A40" s="241" t="s">
        <v>1531</v>
      </c>
      <c r="B40" s="196" t="s">
        <v>1532</v>
      </c>
      <c r="C40" s="221">
        <f>F21</f>
        <v>0.03</v>
      </c>
      <c r="D40" s="222" t="s">
        <v>1533</v>
      </c>
      <c r="E40" s="218"/>
      <c r="F40" s="219">
        <f>F21</f>
        <v>0.03</v>
      </c>
      <c r="G40" s="220" t="s">
        <v>1534</v>
      </c>
    </row>
    <row r="41" spans="1:7" s="200" customFormat="1" ht="13.5" customHeight="1">
      <c r="A41" s="241" t="s">
        <v>1535</v>
      </c>
      <c r="B41" s="196" t="s">
        <v>1536</v>
      </c>
      <c r="C41" s="218">
        <f ca="1">ROUND(SUM(C42:C43),0)</f>
        <v>84</v>
      </c>
      <c r="D41" s="221">
        <f ca="1">C44</f>
        <v>1.6000000000000001E-3</v>
      </c>
      <c r="E41" s="222" t="s">
        <v>1533</v>
      </c>
      <c r="F41" s="223">
        <f ca="1">F22</f>
        <v>3.4500000000000003E-2</v>
      </c>
      <c r="G41" s="220" t="str">
        <f>IF('数据-取费表'!B22&lt;=1,"单利计息","复利计息")</f>
        <v>复利计息</v>
      </c>
    </row>
    <row r="42" spans="1:7" ht="13.5" customHeight="1">
      <c r="A42" s="727" t="s">
        <v>346</v>
      </c>
      <c r="B42" s="201" t="s">
        <v>1537</v>
      </c>
      <c r="C42" s="224">
        <f ca="1">ROUND(IF('数据-取费表'!B22&lt;=1,C33*F22*'数据-取费表'!B21/2,C33*(POWER((1+F22),'数据-取费表'!B21/2)-1)),0)</f>
        <v>82</v>
      </c>
      <c r="D42" s="224"/>
      <c r="E42" s="224"/>
      <c r="F42" s="225"/>
      <c r="G42" s="3483" t="s">
        <v>1538</v>
      </c>
    </row>
    <row r="43" spans="1:7" ht="13.5" customHeight="1">
      <c r="A43" s="727" t="s">
        <v>347</v>
      </c>
      <c r="B43" s="201" t="s">
        <v>1539</v>
      </c>
      <c r="C43" s="224">
        <f ca="1">ROUND(IF('数据-取费表'!B22&lt;=1,C39*F22*'数据-取费表'!B21/2,C39*(POWER((1+F22),'数据-取费表'!B21/2)-1)),0)</f>
        <v>2</v>
      </c>
      <c r="D43" s="224"/>
      <c r="E43" s="224"/>
      <c r="F43" s="225"/>
      <c r="G43" s="3484"/>
    </row>
    <row r="44" spans="1:7" ht="13.5" customHeight="1">
      <c r="A44" s="727" t="s">
        <v>348</v>
      </c>
      <c r="B44" s="201" t="s">
        <v>1540</v>
      </c>
      <c r="C44" s="224">
        <f ca="1">ROUND(IF('数据-取费表'!B22&lt;=1,C40*F22*'数据-取费表'!B21/2,C40*(POWER((1+F22),'数据-取费表'!B21/2)-1)),4)</f>
        <v>1.6000000000000001E-3</v>
      </c>
      <c r="D44" s="224"/>
      <c r="E44" s="224"/>
      <c r="F44" s="225"/>
      <c r="G44" s="3485"/>
    </row>
    <row r="45" spans="1:7" s="200" customFormat="1" ht="13.5" customHeight="1">
      <c r="A45" s="241" t="s">
        <v>1541</v>
      </c>
      <c r="B45" s="230" t="s">
        <v>1507</v>
      </c>
      <c r="C45" s="231">
        <f ca="1">C46</f>
        <v>324</v>
      </c>
      <c r="D45" s="221">
        <f ca="1">C47</f>
        <v>6.0000000000000001E-3</v>
      </c>
      <c r="E45" s="222" t="s">
        <v>1533</v>
      </c>
      <c r="F45" s="232">
        <f ca="1">F27</f>
        <v>0.2</v>
      </c>
      <c r="G45" s="233" t="s">
        <v>1542</v>
      </c>
    </row>
    <row r="46" spans="1:7" s="200" customFormat="1" ht="13.5" customHeight="1">
      <c r="A46" s="727" t="s">
        <v>346</v>
      </c>
      <c r="B46" s="234" t="s">
        <v>1543</v>
      </c>
      <c r="C46" s="235">
        <f ca="1">ROUND((C33+C39)*F27,0)</f>
        <v>324</v>
      </c>
      <c r="D46" s="249"/>
      <c r="E46" s="222"/>
      <c r="F46" s="232"/>
      <c r="G46" s="233"/>
    </row>
    <row r="47" spans="1:7" s="200" customFormat="1" ht="13.5" customHeight="1">
      <c r="A47" s="727" t="s">
        <v>347</v>
      </c>
      <c r="B47" s="234" t="s">
        <v>1544</v>
      </c>
      <c r="C47" s="224">
        <f ca="1">ROUND(C40*F27,4)</f>
        <v>6.0000000000000001E-3</v>
      </c>
      <c r="D47" s="249"/>
      <c r="E47" s="222"/>
      <c r="F47" s="232"/>
      <c r="G47" s="233"/>
    </row>
    <row r="48" spans="1:7" s="200" customFormat="1" ht="13.5" customHeight="1">
      <c r="A48" s="241" t="s">
        <v>1506</v>
      </c>
      <c r="B48" s="196" t="s">
        <v>1545</v>
      </c>
      <c r="C48" s="221">
        <f>ROUND(F30/(1+'数据-取费表'!C42),4)</f>
        <v>5.33E-2</v>
      </c>
      <c r="D48" s="222" t="s">
        <v>1533</v>
      </c>
      <c r="E48" s="218"/>
      <c r="F48" s="223">
        <f>F30</f>
        <v>5.6000000000000001E-2</v>
      </c>
      <c r="G48" s="220" t="s">
        <v>1546</v>
      </c>
    </row>
    <row r="49" spans="1:7" ht="16.5" customHeight="1">
      <c r="A49" s="241" t="s">
        <v>1512</v>
      </c>
      <c r="B49" s="196" t="s">
        <v>1547</v>
      </c>
      <c r="C49" s="218">
        <f ca="1">ROUND((C33+C39+C41+C45)/(1-C40-D41-D45-C48),0)</f>
        <v>2233</v>
      </c>
      <c r="D49" s="218"/>
      <c r="E49" s="218"/>
      <c r="F49" s="250"/>
      <c r="G49" s="220" t="s">
        <v>1548</v>
      </c>
    </row>
    <row r="50" spans="1:7" s="244" customFormat="1" ht="24">
      <c r="A50" s="241" t="s">
        <v>1549</v>
      </c>
      <c r="B50" s="196" t="s">
        <v>1550</v>
      </c>
      <c r="C50" s="218"/>
      <c r="D50" s="218"/>
      <c r="E50" s="218"/>
      <c r="F50" s="250">
        <f>IF('数据-取费表'!B24=0,'数据-取费表'!N16,1)</f>
        <v>0.87</v>
      </c>
      <c r="G50" s="233" t="s">
        <v>1551</v>
      </c>
    </row>
    <row r="51" spans="1:7" ht="16.5" customHeight="1">
      <c r="A51" s="241" t="s">
        <v>1552</v>
      </c>
      <c r="B51" s="196" t="s">
        <v>1553</v>
      </c>
      <c r="C51" s="218">
        <f ca="1">ROUND(C49*F50,0)</f>
        <v>1943</v>
      </c>
      <c r="D51" s="218"/>
      <c r="E51" s="218"/>
      <c r="F51" s="250"/>
      <c r="G51" s="220" t="s">
        <v>1554</v>
      </c>
    </row>
    <row r="52" spans="1:7" s="194" customFormat="1" ht="16.5" thickBot="1">
      <c r="A52" s="251" t="s">
        <v>1555</v>
      </c>
      <c r="B52" s="252"/>
      <c r="C52" s="253">
        <f ca="1">C31+C51</f>
        <v>3862</v>
      </c>
      <c r="D52" s="252"/>
      <c r="E52" s="252"/>
      <c r="F52" s="252"/>
      <c r="G52" s="254"/>
    </row>
    <row r="55" spans="1:7" ht="15">
      <c r="B55" s="256" t="s">
        <v>1556</v>
      </c>
      <c r="C55" s="257"/>
    </row>
    <row r="56" spans="1:7">
      <c r="B56" s="259" t="s">
        <v>799</v>
      </c>
      <c r="C56" s="261">
        <f ca="1">1-C57</f>
        <v>0.497</v>
      </c>
    </row>
    <row r="57" spans="1:7">
      <c r="B57" s="259" t="s">
        <v>800</v>
      </c>
      <c r="C57" s="260">
        <f ca="1">ROUND(C51/C52,3)</f>
        <v>0.503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1455</v>
      </c>
      <c r="B1" s="1366"/>
      <c r="C1" s="1709" t="s">
        <v>1557</v>
      </c>
      <c r="D1" s="184"/>
      <c r="E1" s="184"/>
      <c r="F1" s="184"/>
      <c r="G1" s="1055">
        <f>MATCH(B1,'数据-取费表'!A6:A16,0)+5</f>
        <v>8</v>
      </c>
      <c r="H1" s="991" t="str">
        <f>IF(ISERROR(FIND("住宅",B1)),"非住宅","住宅")</f>
        <v>非住宅</v>
      </c>
    </row>
    <row r="2" spans="1:8" s="186" customFormat="1" ht="18" customHeight="1">
      <c r="A2" s="187" t="s">
        <v>1456</v>
      </c>
      <c r="B2" s="3103">
        <f ca="1">ROUND(IF(D2="——",C52/10000,C52/10000-E2),4)</f>
        <v>4431.4844000000003</v>
      </c>
      <c r="C2" s="185" t="s">
        <v>1457</v>
      </c>
      <c r="D2" s="1703" t="s">
        <v>43</v>
      </c>
      <c r="E2" s="1082" t="e">
        <f ca="1">SUMIF(INDIRECT("'"&amp;G2&amp;"'"&amp;"!A:A"),"承租人权益价值",INDIRECT("'"&amp;G2&amp;"'"&amp;"!c:c"))</f>
        <v>#REF!</v>
      </c>
      <c r="F2" s="1704" t="s">
        <v>1457</v>
      </c>
      <c r="G2" s="1705"/>
    </row>
    <row r="3" spans="1:8" s="186" customFormat="1" ht="18" customHeight="1" thickBot="1">
      <c r="A3" s="189" t="s">
        <v>1458</v>
      </c>
      <c r="B3" s="190">
        <f ca="1">ROUND(B2*10000/(IF(B1="",'数据-汇总表'!E3,INDIRECT("'数据-取费表'!k"&amp;$G$1))),0)</f>
        <v>7411</v>
      </c>
      <c r="C3" s="185" t="s">
        <v>1459</v>
      </c>
      <c r="D3" s="185"/>
      <c r="E3" s="185"/>
      <c r="F3" s="185"/>
      <c r="G3" s="185"/>
    </row>
    <row r="4" spans="1:8" s="194" customFormat="1" ht="15.75">
      <c r="A4" s="191" t="s">
        <v>1460</v>
      </c>
      <c r="B4" s="192"/>
      <c r="C4" s="192"/>
      <c r="D4" s="192"/>
      <c r="E4" s="192"/>
      <c r="F4" s="192"/>
      <c r="G4" s="193"/>
    </row>
    <row r="5" spans="1:8" s="200" customFormat="1" ht="13.5" customHeight="1">
      <c r="A5" s="241" t="s">
        <v>1461</v>
      </c>
      <c r="B5" s="196" t="s">
        <v>1462</v>
      </c>
      <c r="C5" s="197">
        <f ca="1">C6+C7+C8</f>
        <v>1195906</v>
      </c>
      <c r="D5" s="197" t="s">
        <v>1463</v>
      </c>
      <c r="E5" s="198" t="s">
        <v>1464</v>
      </c>
      <c r="F5" s="198" t="s">
        <v>1465</v>
      </c>
      <c r="G5" s="199"/>
    </row>
    <row r="6" spans="1:8" s="200" customFormat="1" ht="13.5" customHeight="1">
      <c r="A6" s="725" t="s">
        <v>1466</v>
      </c>
      <c r="B6" s="201" t="s">
        <v>1467</v>
      </c>
      <c r="C6" s="202"/>
      <c r="D6" s="203"/>
      <c r="E6" s="204"/>
      <c r="F6" s="204"/>
      <c r="G6" s="205"/>
    </row>
    <row r="7" spans="1:8" s="200" customFormat="1" ht="13.5" customHeight="1">
      <c r="A7" s="725" t="s">
        <v>1468</v>
      </c>
      <c r="B7" s="201" t="s">
        <v>1469</v>
      </c>
      <c r="C7" s="206">
        <f>ROUND(C6*F7,0)</f>
        <v>0</v>
      </c>
      <c r="D7" s="206"/>
      <c r="E7" s="204"/>
      <c r="F7" s="207">
        <f>IF(项目基本情况!B8="出让",0,'数据-取费表'!B48+'数据-取费表'!B49)</f>
        <v>3.0499999999999999E-2</v>
      </c>
      <c r="G7" s="205"/>
    </row>
    <row r="8" spans="1:8" s="209" customFormat="1">
      <c r="A8" s="725" t="s">
        <v>1470</v>
      </c>
      <c r="B8" s="201" t="s">
        <v>1471</v>
      </c>
      <c r="C8" s="206">
        <f ca="1">IF(G8="已包含在土地购买价格中",0,C9+C10)</f>
        <v>1195906</v>
      </c>
      <c r="D8" s="208"/>
      <c r="E8" s="206"/>
      <c r="F8" s="207"/>
      <c r="G8" s="1706"/>
    </row>
    <row r="9" spans="1:8" s="200" customFormat="1" ht="13.5" customHeight="1">
      <c r="A9" s="726" t="s">
        <v>355</v>
      </c>
      <c r="B9" s="210" t="s">
        <v>1472</v>
      </c>
      <c r="C9" s="211">
        <f ca="1">ROUND(D9*E9,0)</f>
        <v>0</v>
      </c>
      <c r="D9" s="788">
        <f ca="1">IF(B1="",'数据-汇总表'!E5,IF(INDIRECT("'数据-取费表'!c"&amp;$G$1)="住宅",INDIRECT("'数据-取费表'!k"&amp;$G$1),0))</f>
        <v>0</v>
      </c>
      <c r="E9" s="211">
        <f>'数据-取费表'!B27</f>
        <v>160</v>
      </c>
      <c r="F9" s="207"/>
      <c r="G9" s="212"/>
    </row>
    <row r="10" spans="1:8" s="200" customFormat="1" ht="13.5" customHeight="1">
      <c r="A10" s="726" t="s">
        <v>356</v>
      </c>
      <c r="B10" s="210" t="s">
        <v>1474</v>
      </c>
      <c r="C10" s="211">
        <f ca="1">ROUND(D10*E10,0)</f>
        <v>1195906</v>
      </c>
      <c r="D10" s="788">
        <f ca="1">IF(B1="",'数据-汇总表'!E6,IF(INDIRECT("'数据-取费表'!c"&amp;$G$1)="住宅",INDIRECT("'数据-取费表'!s"&amp;$G$1),INDIRECT("'数据-取费表'!k"&amp;$G$1)+INDIRECT("'数据-取费表'!s"&amp;$G$1)))</f>
        <v>5979.5300000000007</v>
      </c>
      <c r="E10" s="211">
        <f>'数据-取费表'!B28</f>
        <v>200</v>
      </c>
      <c r="F10" s="207"/>
      <c r="G10" s="212"/>
    </row>
    <row r="11" spans="1:8" s="200" customFormat="1" ht="13.5" hidden="1" customHeight="1">
      <c r="A11" s="213" t="s">
        <v>4</v>
      </c>
      <c r="B11" s="201" t="s">
        <v>1475</v>
      </c>
      <c r="C11" s="197"/>
      <c r="D11" s="204"/>
      <c r="E11" s="204"/>
      <c r="F11" s="204"/>
      <c r="G11" s="205"/>
    </row>
    <row r="12" spans="1:8" s="200" customFormat="1" ht="13.5" hidden="1" customHeight="1">
      <c r="A12" s="213" t="s">
        <v>5</v>
      </c>
      <c r="B12" s="201" t="s">
        <v>1558</v>
      </c>
      <c r="C12" s="197">
        <v>0</v>
      </c>
      <c r="D12" s="204"/>
      <c r="E12" s="214"/>
      <c r="F12" s="207">
        <v>3.0499999999999999E-2</v>
      </c>
      <c r="G12" s="205"/>
    </row>
    <row r="13" spans="1:8" s="200" customFormat="1" ht="13.5" hidden="1" customHeight="1">
      <c r="A13" s="213" t="s">
        <v>6</v>
      </c>
      <c r="B13" s="201" t="s">
        <v>1559</v>
      </c>
      <c r="C13" s="197"/>
      <c r="D13" s="204"/>
      <c r="E13" s="204"/>
      <c r="F13" s="204"/>
      <c r="G13" s="205"/>
    </row>
    <row r="14" spans="1:8" s="200" customFormat="1" ht="13.5" hidden="1" customHeight="1">
      <c r="A14" s="213" t="s">
        <v>7</v>
      </c>
      <c r="B14" s="201" t="s">
        <v>1471</v>
      </c>
      <c r="C14" s="197"/>
      <c r="D14" s="204"/>
      <c r="E14" s="204"/>
      <c r="F14" s="204"/>
      <c r="G14" s="205" t="s">
        <v>1560</v>
      </c>
    </row>
    <row r="15" spans="1:8" s="200" customFormat="1" ht="13.5" hidden="1" customHeight="1">
      <c r="A15" s="213" t="s">
        <v>8</v>
      </c>
      <c r="B15" s="201" t="s">
        <v>1561</v>
      </c>
      <c r="C15" s="206"/>
      <c r="D15" s="204"/>
      <c r="E15" s="204"/>
      <c r="F15" s="204"/>
      <c r="G15" s="205" t="s">
        <v>1562</v>
      </c>
    </row>
    <row r="16" spans="1:8" s="200" customFormat="1" ht="13.5" hidden="1" customHeight="1">
      <c r="A16" s="213" t="s">
        <v>9</v>
      </c>
      <c r="B16" s="201" t="s">
        <v>1471</v>
      </c>
      <c r="C16" s="206"/>
      <c r="D16" s="204"/>
      <c r="E16" s="204"/>
      <c r="F16" s="204"/>
      <c r="G16" s="205"/>
    </row>
    <row r="17" spans="1:7" s="200" customFormat="1" ht="13.5" hidden="1" customHeight="1">
      <c r="A17" s="213" t="s">
        <v>10</v>
      </c>
      <c r="B17" s="201" t="s">
        <v>1563</v>
      </c>
      <c r="C17" s="215"/>
      <c r="D17" s="215"/>
      <c r="E17" s="215"/>
      <c r="F17" s="215"/>
      <c r="G17" s="205" t="s">
        <v>1562</v>
      </c>
    </row>
    <row r="18" spans="1:7" s="200" customFormat="1" ht="13.5" hidden="1" customHeight="1">
      <c r="A18" s="213" t="s">
        <v>11</v>
      </c>
      <c r="B18" s="201" t="s">
        <v>1564</v>
      </c>
      <c r="C18" s="206">
        <v>0</v>
      </c>
      <c r="D18" s="204"/>
      <c r="E18" s="204"/>
      <c r="F18" s="207">
        <v>3.0499999999999999E-2</v>
      </c>
      <c r="G18" s="205" t="s">
        <v>1565</v>
      </c>
    </row>
    <row r="19" spans="1:7" s="209" customFormat="1" ht="13.5" customHeight="1">
      <c r="A19" s="241" t="s">
        <v>1566</v>
      </c>
      <c r="B19" s="196" t="s">
        <v>1567</v>
      </c>
      <c r="C19" s="197">
        <f ca="1">IF(G19="已包含在土地取得成本中","0",ROUND(D19*E19,0))</f>
        <v>1195906</v>
      </c>
      <c r="D19" s="198">
        <f ca="1">D9+D10</f>
        <v>5979.5300000000007</v>
      </c>
      <c r="E19" s="197">
        <f>'数据-取费表'!B31</f>
        <v>200</v>
      </c>
      <c r="F19" s="217"/>
      <c r="G19" s="1706"/>
    </row>
    <row r="20" spans="1:7" s="200" customFormat="1" ht="13.5" customHeight="1">
      <c r="A20" s="241" t="s">
        <v>1568</v>
      </c>
      <c r="B20" s="196" t="s">
        <v>1569</v>
      </c>
      <c r="C20" s="218">
        <f ca="1">ROUND((C5+C19)*F20,0)</f>
        <v>71754</v>
      </c>
      <c r="D20" s="218"/>
      <c r="E20" s="218"/>
      <c r="F20" s="219">
        <f>'数据-取费表'!B37</f>
        <v>0.03</v>
      </c>
      <c r="G20" s="220" t="s">
        <v>1570</v>
      </c>
    </row>
    <row r="21" spans="1:7" s="200" customFormat="1" ht="13.5" customHeight="1">
      <c r="A21" s="241" t="s">
        <v>1571</v>
      </c>
      <c r="B21" s="196" t="s">
        <v>1572</v>
      </c>
      <c r="C21" s="221">
        <f>F21</f>
        <v>0.03</v>
      </c>
      <c r="D21" s="222" t="s">
        <v>1573</v>
      </c>
      <c r="E21" s="218"/>
      <c r="F21" s="219">
        <f>'数据-取费表'!B38</f>
        <v>0.03</v>
      </c>
      <c r="G21" s="220" t="s">
        <v>1574</v>
      </c>
    </row>
    <row r="22" spans="1:7" s="200" customFormat="1" ht="13.5" customHeight="1">
      <c r="A22" s="241" t="s">
        <v>1575</v>
      </c>
      <c r="B22" s="196" t="s">
        <v>1576</v>
      </c>
      <c r="C22" s="218">
        <f ca="1">ROUND(SUM(C23:C25),0)</f>
        <v>259937</v>
      </c>
      <c r="D22" s="221">
        <f ca="1">C26</f>
        <v>1.6000000000000001E-3</v>
      </c>
      <c r="E22" s="222" t="s">
        <v>1573</v>
      </c>
      <c r="F22" s="223">
        <f ca="1">'数据-取费表'!B40</f>
        <v>3.4500000000000003E-2</v>
      </c>
      <c r="G22" s="220" t="str">
        <f>IF('数据-取费表'!B22&lt;=1,"单利计息","复利计息")</f>
        <v>复利计息</v>
      </c>
    </row>
    <row r="23" spans="1:7" s="200" customFormat="1" ht="13.5" customHeight="1">
      <c r="A23" s="727" t="s">
        <v>1466</v>
      </c>
      <c r="B23" s="201" t="s">
        <v>1577</v>
      </c>
      <c r="C23" s="224">
        <f ca="1">ROUND(IF('数据-取费表'!B22&lt;=1,C5*F22*'数据-取费表'!B22,C5*(POWER((1+F22),'数据-取费表'!B22)-1)),0)</f>
        <v>128096</v>
      </c>
      <c r="D23" s="224"/>
      <c r="E23" s="224"/>
      <c r="F23" s="225"/>
      <c r="G23" s="226" t="s">
        <v>1578</v>
      </c>
    </row>
    <row r="24" spans="1:7" s="200" customFormat="1" ht="13.5" customHeight="1">
      <c r="A24" s="727" t="s">
        <v>1468</v>
      </c>
      <c r="B24" s="201" t="s">
        <v>1579</v>
      </c>
      <c r="C24" s="224">
        <f ca="1">ROUND(IF('数据-取费表'!B22&lt;=1,C19*F22*('数据-取费表'!B19/2+'数据-取费表'!B20),C19*(POWER((1+F22),('数据-取费表'!B19/2+'数据-取费表'!B20))-1)),0)</f>
        <v>128096</v>
      </c>
      <c r="D24" s="224"/>
      <c r="E24" s="224"/>
      <c r="F24" s="225"/>
      <c r="G24" s="226" t="s">
        <v>1580</v>
      </c>
    </row>
    <row r="25" spans="1:7" s="200" customFormat="1" ht="24">
      <c r="A25" s="727" t="s">
        <v>1470</v>
      </c>
      <c r="B25" s="201" t="s">
        <v>1581</v>
      </c>
      <c r="C25" s="224">
        <f ca="1">ROUND(IF('数据-取费表'!B22&lt;=1,C20*F22*'数据-取费表'!B22/2,C20*(POWER((1+F22),'数据-取费表'!B22/2)-1)),0)</f>
        <v>3745</v>
      </c>
      <c r="D25" s="224"/>
      <c r="E25" s="227"/>
      <c r="F25" s="225"/>
      <c r="G25" s="228" t="s">
        <v>1582</v>
      </c>
    </row>
    <row r="26" spans="1:7" s="200" customFormat="1">
      <c r="A26" s="727" t="s">
        <v>350</v>
      </c>
      <c r="B26" s="201" t="s">
        <v>1505</v>
      </c>
      <c r="C26" s="224">
        <f ca="1">ROUND(IF('数据-取费表'!B22&lt;=1,F21*F22*'数据-取费表'!B22/2,F21*(POWER((1+F22),'数据-取费表'!B22/2)-1)),4)</f>
        <v>1.6000000000000001E-3</v>
      </c>
      <c r="D26" s="224"/>
      <c r="E26" s="227"/>
      <c r="F26" s="225"/>
      <c r="G26" s="229"/>
    </row>
    <row r="27" spans="1:7" s="200" customFormat="1" ht="24.75">
      <c r="A27" s="241" t="s">
        <v>1506</v>
      </c>
      <c r="B27" s="230" t="s">
        <v>1507</v>
      </c>
      <c r="C27" s="231">
        <f ca="1">C28</f>
        <v>492713</v>
      </c>
      <c r="D27" s="221">
        <f ca="1">C29</f>
        <v>6.0000000000000001E-3</v>
      </c>
      <c r="E27" s="222" t="s">
        <v>1508</v>
      </c>
      <c r="F27" s="232">
        <f ca="1">IF(B1="",'数据-取费表'!Q16,INDIRECT("'数据-取费表'!q"&amp;$G$1))</f>
        <v>0.2</v>
      </c>
      <c r="G27" s="233" t="s">
        <v>1509</v>
      </c>
    </row>
    <row r="28" spans="1:7" s="200" customFormat="1" ht="13.5" customHeight="1">
      <c r="A28" s="727" t="s">
        <v>346</v>
      </c>
      <c r="B28" s="234" t="s">
        <v>1510</v>
      </c>
      <c r="C28" s="235">
        <f ca="1">ROUND((C5+C19+C20)*F27,0)</f>
        <v>492713</v>
      </c>
      <c r="D28" s="221"/>
      <c r="E28" s="222"/>
      <c r="F28" s="232"/>
      <c r="G28" s="233"/>
    </row>
    <row r="29" spans="1:7" s="200" customFormat="1" ht="13.5" customHeight="1">
      <c r="A29" s="727" t="s">
        <v>347</v>
      </c>
      <c r="B29" s="234" t="s">
        <v>1511</v>
      </c>
      <c r="C29" s="224">
        <f ca="1">ROUND(C21*F27,4)</f>
        <v>6.0000000000000001E-3</v>
      </c>
      <c r="D29" s="221"/>
      <c r="E29" s="222"/>
      <c r="F29" s="232"/>
      <c r="G29" s="233"/>
    </row>
    <row r="30" spans="1:7" s="200" customFormat="1" ht="13.5" customHeight="1">
      <c r="A30" s="241" t="s">
        <v>1512</v>
      </c>
      <c r="B30" s="196" t="s">
        <v>1513</v>
      </c>
      <c r="C30" s="221">
        <f>ROUND(F30/(1+'数据-取费表'!C42),4)</f>
        <v>5.33E-2</v>
      </c>
      <c r="D30" s="222" t="s">
        <v>1508</v>
      </c>
      <c r="E30" s="227"/>
      <c r="F30" s="223">
        <f>'数据-取费表'!B41</f>
        <v>5.6000000000000001E-2</v>
      </c>
      <c r="G30" s="220" t="s">
        <v>1514</v>
      </c>
    </row>
    <row r="31" spans="1:7" ht="16.5" customHeight="1">
      <c r="A31" s="195">
        <v>1</v>
      </c>
      <c r="B31" s="196" t="s">
        <v>1515</v>
      </c>
      <c r="C31" s="197">
        <f ca="1">ROUND((C5+C19+C20+C22+C27)/(1-C21-D22-D27-C30),0)</f>
        <v>3537802</v>
      </c>
      <c r="D31" s="216"/>
      <c r="E31" s="197"/>
      <c r="F31" s="236"/>
      <c r="G31" s="220" t="s">
        <v>1516</v>
      </c>
    </row>
    <row r="32" spans="1:7" s="194" customFormat="1" ht="15.75">
      <c r="A32" s="238" t="s">
        <v>1583</v>
      </c>
      <c r="B32" s="239"/>
      <c r="C32" s="239"/>
      <c r="D32" s="239"/>
      <c r="E32" s="239"/>
      <c r="F32" s="239"/>
      <c r="G32" s="240"/>
    </row>
    <row r="33" spans="1:7" s="200" customFormat="1" ht="13.5" customHeight="1">
      <c r="A33" s="241" t="s">
        <v>337</v>
      </c>
      <c r="B33" s="196" t="s">
        <v>1584</v>
      </c>
      <c r="C33" s="242">
        <f ca="1">SUM(C34:C38)</f>
        <v>33036904</v>
      </c>
      <c r="D33" s="218"/>
      <c r="E33" s="198"/>
      <c r="F33" s="227"/>
      <c r="G33" s="220"/>
    </row>
    <row r="34" spans="1:7" s="244" customFormat="1" ht="13.5" customHeight="1">
      <c r="A34" s="727" t="s">
        <v>346</v>
      </c>
      <c r="B34" s="201" t="s">
        <v>1519</v>
      </c>
      <c r="C34" s="206">
        <f ca="1">ROUND(IF(B1="",SUMPRODUCT('数据-取费表'!K6:K14,'数据-取费表'!L6:L14),INDIRECT("'数据-取费表'!l"&amp;$G$1)*INDIRECT("'数据-取费表'!k"&amp;$G$1)+'数据-取费表'!L14*INDIRECT("'数据-取费表'!S"&amp;$G$1)),0)</f>
        <v>29897650</v>
      </c>
      <c r="D34" s="203"/>
      <c r="E34" s="206"/>
      <c r="F34" s="243"/>
      <c r="G34" s="205"/>
    </row>
    <row r="35" spans="1:7" ht="13.5" customHeight="1">
      <c r="A35" s="727" t="s">
        <v>351</v>
      </c>
      <c r="B35" s="201" t="s">
        <v>1521</v>
      </c>
      <c r="C35" s="206">
        <f ca="1">ROUND(C34*F35,0)</f>
        <v>1494883</v>
      </c>
      <c r="D35" s="206"/>
      <c r="E35" s="206"/>
      <c r="F35" s="245">
        <f>'数据-取费表'!B33</f>
        <v>0.05</v>
      </c>
      <c r="G35" s="205" t="s">
        <v>1522</v>
      </c>
    </row>
    <row r="36" spans="1:7" ht="24">
      <c r="A36" s="727" t="s">
        <v>352</v>
      </c>
      <c r="B36" s="201" t="s">
        <v>1523</v>
      </c>
      <c r="C36" s="206">
        <f ca="1">ROUND(IF(B1="",SUM('数据-取费表'!AP6:AP13)*F36,IF(INDIRECT("'数据-取费表'!c"&amp;$G$1)="住宅",INDIRECT("'数据-取费表'!k"&amp;$G$1)*INDIRECT("'数据-取费表'!l"&amp;$G$1)*F36,0)),0)</f>
        <v>0</v>
      </c>
      <c r="D36" s="206"/>
      <c r="E36" s="206"/>
      <c r="F36" s="245">
        <f>'数据-取费表'!B34</f>
        <v>0</v>
      </c>
      <c r="G36" s="246" t="s">
        <v>1524</v>
      </c>
    </row>
    <row r="37" spans="1:7" s="244" customFormat="1" ht="13.5" customHeight="1">
      <c r="A37" s="727" t="s">
        <v>353</v>
      </c>
      <c r="B37" s="201" t="s">
        <v>1525</v>
      </c>
      <c r="C37" s="235">
        <f ca="1">ROUND(E37*D37,0)</f>
        <v>1195906</v>
      </c>
      <c r="D37" s="203">
        <f ca="1">D19</f>
        <v>5979.5300000000007</v>
      </c>
      <c r="E37" s="235">
        <f>'数据-取费表'!B35</f>
        <v>200</v>
      </c>
      <c r="F37" s="245"/>
      <c r="G37" s="247"/>
    </row>
    <row r="38" spans="1:7" ht="13.5" customHeight="1">
      <c r="A38" s="727" t="s">
        <v>354</v>
      </c>
      <c r="B38" s="201" t="s">
        <v>1527</v>
      </c>
      <c r="C38" s="206">
        <f ca="1">ROUND(C34*F38,0)</f>
        <v>448465</v>
      </c>
      <c r="D38" s="206"/>
      <c r="E38" s="206"/>
      <c r="F38" s="245">
        <f>'数据-取费表'!B36</f>
        <v>1.4999999999999999E-2</v>
      </c>
      <c r="G38" s="205" t="s">
        <v>1522</v>
      </c>
    </row>
    <row r="39" spans="1:7" s="200" customFormat="1" ht="13.5" customHeight="1">
      <c r="A39" s="241" t="s">
        <v>1528</v>
      </c>
      <c r="B39" s="196" t="s">
        <v>1529</v>
      </c>
      <c r="C39" s="218">
        <f ca="1">ROUND(C33*F20,0)</f>
        <v>991107</v>
      </c>
      <c r="D39" s="218"/>
      <c r="E39" s="218"/>
      <c r="F39" s="219">
        <f>F20</f>
        <v>0.03</v>
      </c>
      <c r="G39" s="220" t="s">
        <v>1530</v>
      </c>
    </row>
    <row r="40" spans="1:7" s="200" customFormat="1" ht="13.5" customHeight="1">
      <c r="A40" s="241" t="s">
        <v>1531</v>
      </c>
      <c r="B40" s="196" t="s">
        <v>1532</v>
      </c>
      <c r="C40" s="221">
        <f>F21</f>
        <v>0.03</v>
      </c>
      <c r="D40" s="222" t="s">
        <v>1533</v>
      </c>
      <c r="E40" s="218"/>
      <c r="F40" s="219">
        <f>F21</f>
        <v>0.03</v>
      </c>
      <c r="G40" s="220" t="s">
        <v>1534</v>
      </c>
    </row>
    <row r="41" spans="1:7" s="200" customFormat="1" ht="13.5" customHeight="1">
      <c r="A41" s="241" t="s">
        <v>1535</v>
      </c>
      <c r="B41" s="196" t="s">
        <v>1536</v>
      </c>
      <c r="C41" s="218">
        <f ca="1">ROUND(SUM(C42:C43),0)</f>
        <v>1776052</v>
      </c>
      <c r="D41" s="221">
        <f ca="1">C44</f>
        <v>1.6000000000000001E-3</v>
      </c>
      <c r="E41" s="222" t="s">
        <v>1533</v>
      </c>
      <c r="F41" s="223">
        <f ca="1">F22</f>
        <v>3.4500000000000003E-2</v>
      </c>
      <c r="G41" s="220" t="str">
        <f>IF('数据-取费表'!B22&lt;=1,"单利计息","复利计息")</f>
        <v>复利计息</v>
      </c>
    </row>
    <row r="42" spans="1:7" ht="13.5" customHeight="1">
      <c r="A42" s="727" t="s">
        <v>346</v>
      </c>
      <c r="B42" s="201" t="s">
        <v>1537</v>
      </c>
      <c r="C42" s="224">
        <f ca="1">ROUND(IF('数据-取费表'!B22&lt;=1,C33*F22*'数据-取费表'!B20/2,C33*(POWER((1+F22),'数据-取费表'!B20/2)-1)),0)</f>
        <v>1724322</v>
      </c>
      <c r="D42" s="224"/>
      <c r="E42" s="224"/>
      <c r="F42" s="225"/>
      <c r="G42" s="3483" t="s">
        <v>1585</v>
      </c>
    </row>
    <row r="43" spans="1:7" ht="13.5" customHeight="1">
      <c r="A43" s="727" t="s">
        <v>347</v>
      </c>
      <c r="B43" s="201" t="s">
        <v>1539</v>
      </c>
      <c r="C43" s="224">
        <f ca="1">ROUND(IF('数据-取费表'!B22&lt;=1,C39*F22*'数据-取费表'!B20/2,C39*(POWER((1+F22),'数据-取费表'!B20/2)-1)),0)</f>
        <v>51730</v>
      </c>
      <c r="D43" s="224"/>
      <c r="E43" s="224"/>
      <c r="F43" s="225"/>
      <c r="G43" s="3484"/>
    </row>
    <row r="44" spans="1:7" ht="13.5" customHeight="1">
      <c r="A44" s="727" t="s">
        <v>348</v>
      </c>
      <c r="B44" s="201" t="s">
        <v>1540</v>
      </c>
      <c r="C44" s="224">
        <f ca="1">ROUND(IF('数据-取费表'!B22&lt;=1,C40*F22*'数据-取费表'!B20/2,C40*(POWER((1+F22),'数据-取费表'!B20/2)-1)),4)</f>
        <v>1.6000000000000001E-3</v>
      </c>
      <c r="D44" s="224"/>
      <c r="E44" s="224"/>
      <c r="F44" s="225"/>
      <c r="G44" s="3485"/>
    </row>
    <row r="45" spans="1:7" s="200" customFormat="1" ht="13.5" customHeight="1">
      <c r="A45" s="241" t="s">
        <v>1541</v>
      </c>
      <c r="B45" s="230" t="s">
        <v>1507</v>
      </c>
      <c r="C45" s="231">
        <f ca="1">C46</f>
        <v>6805602</v>
      </c>
      <c r="D45" s="221">
        <f ca="1">C47</f>
        <v>6.0000000000000001E-3</v>
      </c>
      <c r="E45" s="222" t="s">
        <v>1533</v>
      </c>
      <c r="F45" s="232">
        <f ca="1">F27</f>
        <v>0.2</v>
      </c>
      <c r="G45" s="233" t="s">
        <v>1542</v>
      </c>
    </row>
    <row r="46" spans="1:7" s="200" customFormat="1" ht="13.5" customHeight="1">
      <c r="A46" s="727" t="s">
        <v>346</v>
      </c>
      <c r="B46" s="234" t="s">
        <v>1543</v>
      </c>
      <c r="C46" s="235">
        <f ca="1">ROUND((C33+C39)*F27,0)</f>
        <v>6805602</v>
      </c>
      <c r="D46" s="249"/>
      <c r="E46" s="222"/>
      <c r="F46" s="232"/>
      <c r="G46" s="233"/>
    </row>
    <row r="47" spans="1:7" s="200" customFormat="1" ht="13.5" customHeight="1">
      <c r="A47" s="727" t="s">
        <v>347</v>
      </c>
      <c r="B47" s="234" t="s">
        <v>1544</v>
      </c>
      <c r="C47" s="224">
        <f ca="1">ROUND(C40*F27,4)</f>
        <v>6.0000000000000001E-3</v>
      </c>
      <c r="D47" s="249"/>
      <c r="E47" s="222"/>
      <c r="F47" s="232"/>
      <c r="G47" s="233"/>
    </row>
    <row r="48" spans="1:7" s="200" customFormat="1" ht="13.5" customHeight="1">
      <c r="A48" s="241" t="s">
        <v>1506</v>
      </c>
      <c r="B48" s="196" t="s">
        <v>1545</v>
      </c>
      <c r="C48" s="248">
        <f>ROUND(F30/(1+'数据-取费表'!C42),4)</f>
        <v>5.33E-2</v>
      </c>
      <c r="D48" s="222" t="s">
        <v>1533</v>
      </c>
      <c r="E48" s="218"/>
      <c r="F48" s="223">
        <f>F30</f>
        <v>5.6000000000000001E-2</v>
      </c>
      <c r="G48" s="220" t="s">
        <v>1546</v>
      </c>
    </row>
    <row r="49" spans="1:7" ht="16.5" customHeight="1">
      <c r="A49" s="241" t="s">
        <v>1512</v>
      </c>
      <c r="B49" s="196" t="s">
        <v>1586</v>
      </c>
      <c r="C49" s="218">
        <f ca="1">ROUND((C33+C39+C41+C45)/(1-C40-D41-D45-C48),0)</f>
        <v>46870163</v>
      </c>
      <c r="D49" s="218"/>
      <c r="E49" s="218"/>
      <c r="F49" s="250"/>
      <c r="G49" s="220" t="s">
        <v>1548</v>
      </c>
    </row>
    <row r="50" spans="1:7" s="244" customFormat="1">
      <c r="A50" s="241" t="s">
        <v>1549</v>
      </c>
      <c r="B50" s="196" t="s">
        <v>1550</v>
      </c>
      <c r="C50" s="218"/>
      <c r="D50" s="218"/>
      <c r="E50" s="218"/>
      <c r="F50" s="250">
        <f>IF('数据-取费表'!B24=0,'数据-取费表'!N16,1)</f>
        <v>0.87</v>
      </c>
      <c r="G50" s="233"/>
    </row>
    <row r="51" spans="1:7" ht="16.5" customHeight="1">
      <c r="A51" s="241" t="s">
        <v>1552</v>
      </c>
      <c r="B51" s="196" t="s">
        <v>1587</v>
      </c>
      <c r="C51" s="218">
        <f ca="1">ROUND(C49*F50,0)</f>
        <v>40777042</v>
      </c>
      <c r="D51" s="218"/>
      <c r="E51" s="218"/>
      <c r="F51" s="250"/>
      <c r="G51" s="220" t="s">
        <v>1554</v>
      </c>
    </row>
    <row r="52" spans="1:7" s="194" customFormat="1" ht="16.5" thickBot="1">
      <c r="A52" s="251" t="s">
        <v>1555</v>
      </c>
      <c r="B52" s="252"/>
      <c r="C52" s="253">
        <f ca="1">C31+C51</f>
        <v>44314844</v>
      </c>
      <c r="D52" s="252"/>
      <c r="E52" s="252"/>
      <c r="F52" s="252"/>
      <c r="G52" s="254"/>
    </row>
    <row r="55" spans="1:7" ht="15">
      <c r="B55" s="256" t="s">
        <v>1556</v>
      </c>
      <c r="C55" s="257"/>
    </row>
    <row r="56" spans="1:7">
      <c r="B56" s="259" t="s">
        <v>799</v>
      </c>
      <c r="C56" s="261">
        <f ca="1">1-C57</f>
        <v>7.999999999999996E-2</v>
      </c>
    </row>
    <row r="57" spans="1:7">
      <c r="B57" s="259" t="s">
        <v>800</v>
      </c>
      <c r="C57" s="260">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1588</v>
      </c>
      <c r="B1" s="115"/>
      <c r="C1" s="1103"/>
      <c r="D1" s="1102"/>
      <c r="E1" s="2548"/>
      <c r="F1" s="2548"/>
      <c r="G1" s="2431"/>
      <c r="H1" s="2548"/>
      <c r="I1" s="2548"/>
      <c r="J1" s="2548"/>
      <c r="K1" s="2549">
        <f>MATCH(C1,'数据-取费表'!A6:A16,0)+5</f>
        <v>8</v>
      </c>
    </row>
    <row r="2" spans="1:33" ht="18" customHeight="1">
      <c r="A2" s="187" t="s">
        <v>1456</v>
      </c>
      <c r="B2" s="190">
        <f ca="1">C32</f>
        <v>0</v>
      </c>
      <c r="C2" s="262" t="s">
        <v>1589</v>
      </c>
      <c r="D2" s="262"/>
      <c r="E2" s="2548"/>
      <c r="F2" s="2548"/>
      <c r="G2" s="2548"/>
      <c r="H2" s="2548"/>
      <c r="I2" s="2548"/>
      <c r="J2" s="2548"/>
      <c r="K2" s="2548"/>
    </row>
    <row r="3" spans="1:33" ht="18" customHeight="1" thickBot="1">
      <c r="A3" s="189" t="s">
        <v>1458</v>
      </c>
      <c r="B3" s="190">
        <f ca="1">ROUND(B2*10000/IF(C1="",'数据-汇总表'!E3,INDIRECT("'数据-取费表'!K"&amp;$K$1)),0)</f>
        <v>0</v>
      </c>
      <c r="C3" s="262" t="s">
        <v>1590</v>
      </c>
      <c r="D3" s="262"/>
      <c r="E3" s="2548"/>
      <c r="F3" s="2548"/>
      <c r="G3" s="2548"/>
      <c r="H3" s="2548"/>
      <c r="I3" s="2548"/>
      <c r="J3" s="2548"/>
      <c r="K3" s="2548"/>
    </row>
    <row r="4" spans="1:33" s="732" customFormat="1" ht="16.5" customHeight="1">
      <c r="A4" s="729" t="s">
        <v>1591</v>
      </c>
      <c r="B4" s="730"/>
      <c r="C4" s="768">
        <f>SUM(C8:K8)</f>
        <v>0</v>
      </c>
      <c r="D4" s="730"/>
      <c r="E4" s="730"/>
      <c r="F4" s="730"/>
      <c r="G4" s="730"/>
      <c r="H4" s="730"/>
      <c r="I4" s="730"/>
      <c r="J4" s="730"/>
      <c r="K4" s="731"/>
    </row>
    <row r="5" spans="1:33" s="736" customFormat="1" ht="15">
      <c r="A5" s="733" t="s">
        <v>1592</v>
      </c>
      <c r="B5" s="734" t="s">
        <v>1593</v>
      </c>
      <c r="C5" s="1710"/>
      <c r="D5" s="1710"/>
      <c r="E5" s="1710"/>
      <c r="F5" s="1710"/>
      <c r="G5" s="1710"/>
      <c r="H5" s="1710"/>
      <c r="I5" s="1710"/>
      <c r="J5" s="1710"/>
      <c r="K5" s="1710"/>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1594</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1595</v>
      </c>
      <c r="B7" s="117" t="s">
        <v>1596</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1" t="s">
        <v>1597</v>
      </c>
      <c r="B8" s="150" t="s">
        <v>1598</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1599</v>
      </c>
      <c r="B9" s="730"/>
      <c r="C9" s="730"/>
      <c r="D9" s="730"/>
      <c r="E9" s="730"/>
      <c r="F9" s="730"/>
      <c r="G9" s="730"/>
      <c r="H9" s="730"/>
      <c r="I9" s="730"/>
      <c r="J9" s="730"/>
      <c r="K9" s="731"/>
    </row>
    <row r="10" spans="1:33" s="744" customFormat="1" ht="13.5" customHeight="1">
      <c r="A10" s="733" t="s">
        <v>1600</v>
      </c>
      <c r="B10" s="5" t="s">
        <v>1601</v>
      </c>
      <c r="C10" s="740" t="s">
        <v>1602</v>
      </c>
      <c r="D10" s="741" t="s">
        <v>1603</v>
      </c>
      <c r="E10" s="741" t="s">
        <v>1604</v>
      </c>
      <c r="F10" s="741" t="s">
        <v>1605</v>
      </c>
      <c r="G10" s="5"/>
      <c r="H10" s="742"/>
      <c r="I10" s="742"/>
      <c r="J10" s="742"/>
      <c r="K10" s="743"/>
    </row>
    <row r="11" spans="1:33" s="748" customFormat="1" ht="13.5" customHeight="1">
      <c r="A11" s="745" t="s">
        <v>635</v>
      </c>
      <c r="B11" s="746" t="s">
        <v>1606</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1607</v>
      </c>
      <c r="C12" s="21">
        <f ca="1">ROUND(C11*F12,0)</f>
        <v>0</v>
      </c>
      <c r="D12" s="747"/>
      <c r="E12" s="132"/>
      <c r="F12" s="757">
        <f>'数据-取费表'!B33</f>
        <v>0.05</v>
      </c>
      <c r="G12" s="5" t="s">
        <v>1608</v>
      </c>
      <c r="H12" s="742"/>
      <c r="I12" s="742"/>
      <c r="J12" s="742"/>
      <c r="K12" s="743"/>
    </row>
    <row r="13" spans="1:33" s="748" customFormat="1" ht="13.5" customHeight="1">
      <c r="A13" s="745" t="s">
        <v>637</v>
      </c>
      <c r="B13" s="746" t="s">
        <v>1609</v>
      </c>
      <c r="C13" s="21">
        <f ca="1">ROUND(IF(C1="",SUMIF('数据-取费表'!C:C,"住宅",'数据-取费表'!P:P)*F13,IF(INDIRECT("'数据-取费表'!c"&amp;$K$1)="住宅",INDIRECT("'数据-取费表'!P"&amp;$K$1)*F13,0)),0)</f>
        <v>0</v>
      </c>
      <c r="D13" s="789"/>
      <c r="E13" s="132"/>
      <c r="F13" s="757">
        <f>'数据-取费表'!B34</f>
        <v>0</v>
      </c>
      <c r="G13" s="5" t="s">
        <v>1610</v>
      </c>
      <c r="H13" s="742"/>
      <c r="I13" s="742"/>
      <c r="J13" s="742"/>
      <c r="K13" s="743"/>
    </row>
    <row r="14" spans="1:33" s="750" customFormat="1" ht="13.5" customHeight="1">
      <c r="A14" s="745" t="s">
        <v>638</v>
      </c>
      <c r="B14" s="746" t="s">
        <v>1611</v>
      </c>
      <c r="C14" s="21">
        <f ca="1">ROUND(D14*E14*F11/10000,0)</f>
        <v>0</v>
      </c>
      <c r="D14" s="789">
        <f ca="1">IF(C1="",'数据-汇总表'!E3,INDIRECT("'数据-取费表'!K"&amp;$K$1)+INDIRECT("'数据-取费表'!S"&amp;$K$1))</f>
        <v>5979.5300000000007</v>
      </c>
      <c r="E14" s="21">
        <f>'数据-取费表'!B35</f>
        <v>200</v>
      </c>
      <c r="F14" s="749"/>
      <c r="G14" s="5" t="s">
        <v>1612</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1613</v>
      </c>
      <c r="C15" s="756">
        <f ca="1">ROUND(C11*F15,0)</f>
        <v>0</v>
      </c>
      <c r="D15" s="751"/>
      <c r="E15" s="756"/>
      <c r="F15" s="757">
        <f>'数据-取费表'!B36</f>
        <v>1.4999999999999999E-2</v>
      </c>
      <c r="G15" s="117" t="s">
        <v>1614</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1615</v>
      </c>
      <c r="C16" s="756">
        <f ca="1">SUM(C11:C15)</f>
        <v>0</v>
      </c>
      <c r="D16" s="751"/>
      <c r="E16" s="756"/>
      <c r="F16" s="757"/>
      <c r="G16" s="117"/>
      <c r="H16" s="1100"/>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1616</v>
      </c>
      <c r="C17" s="21">
        <f ca="1">ROUND(D17*E17/10000,0)</f>
        <v>0</v>
      </c>
      <c r="D17" s="789">
        <f ca="1">D14</f>
        <v>5979.5300000000007</v>
      </c>
      <c r="E17" s="21">
        <f>'数据-取费表'!B32</f>
        <v>0</v>
      </c>
      <c r="F17" s="751"/>
      <c r="G17" s="117" t="s">
        <v>1617</v>
      </c>
      <c r="H17" s="1100"/>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1618</v>
      </c>
      <c r="C18" s="21">
        <f ca="1">C19+C20-IF(C1="",'数据-取费表'!B29,IF(G18="已全部缴纳",C19+C20,H18))</f>
        <v>0</v>
      </c>
      <c r="D18" s="789"/>
      <c r="E18" s="21"/>
      <c r="F18" s="749"/>
      <c r="G18" s="1712"/>
      <c r="H18" s="1099"/>
      <c r="I18" s="1713" t="s">
        <v>1619</v>
      </c>
      <c r="J18" s="752"/>
      <c r="K18" s="753"/>
    </row>
    <row r="19" spans="1:33" s="748" customFormat="1" ht="13.5" customHeight="1">
      <c r="A19" s="745" t="s">
        <v>360</v>
      </c>
      <c r="B19" s="746" t="s">
        <v>1620</v>
      </c>
      <c r="C19" s="21">
        <f ca="1">ROUND(D19*E19/10000,0)</f>
        <v>0</v>
      </c>
      <c r="D19" s="789">
        <f ca="1">IF(C1="",'数据-汇总表'!E5,IF(INDIRECT("'数据-取费表'!c"&amp;$K$1)="住宅",INDIRECT("'数据-取费表'!k"&amp;$K$1),0))</f>
        <v>0</v>
      </c>
      <c r="E19" s="21">
        <f>'数据-取费表'!B27</f>
        <v>160</v>
      </c>
      <c r="F19" s="749"/>
      <c r="G19" s="12"/>
      <c r="H19" s="1101"/>
      <c r="I19" s="754"/>
      <c r="J19" s="754"/>
      <c r="K19" s="755"/>
    </row>
    <row r="20" spans="1:33" s="748" customFormat="1" ht="13.5" customHeight="1">
      <c r="A20" s="745" t="s">
        <v>361</v>
      </c>
      <c r="B20" s="746" t="s">
        <v>1621</v>
      </c>
      <c r="C20" s="21">
        <f ca="1">ROUND(D20*E20/10000,0)</f>
        <v>120</v>
      </c>
      <c r="D20" s="789">
        <f ca="1">IF(C1="",'数据-汇总表'!E6,IF(INDIRECT("'数据-取费表'!c"&amp;$K$1)="住宅",INDIRECT("'数据-取费表'!s"&amp;$K$1),INDIRECT("'数据-取费表'!k"&amp;$K$1)+INDIRECT("'数据-取费表'!s"&amp;$K$1)))</f>
        <v>5979.5300000000007</v>
      </c>
      <c r="E20" s="21">
        <f>'数据-取费表'!B28</f>
        <v>200</v>
      </c>
      <c r="F20" s="749"/>
      <c r="G20" s="12"/>
      <c r="H20" s="754"/>
      <c r="I20" s="754"/>
      <c r="J20" s="754"/>
      <c r="K20" s="755"/>
    </row>
    <row r="21" spans="1:33" s="748" customFormat="1" ht="13.5" customHeight="1">
      <c r="A21" s="737" t="s">
        <v>357</v>
      </c>
      <c r="B21" s="758" t="s">
        <v>1622</v>
      </c>
      <c r="C21" s="759">
        <f ca="1">C16+C17+C18</f>
        <v>0</v>
      </c>
      <c r="D21" s="760"/>
      <c r="E21" s="267"/>
      <c r="F21" s="267"/>
      <c r="G21" s="117" t="s">
        <v>1623</v>
      </c>
      <c r="H21" s="752"/>
      <c r="I21" s="752"/>
      <c r="J21" s="752"/>
      <c r="K21" s="753"/>
    </row>
    <row r="22" spans="1:33" s="748" customFormat="1" ht="13.5" customHeight="1">
      <c r="A22" s="737" t="s">
        <v>1595</v>
      </c>
      <c r="B22" s="758" t="s">
        <v>1624</v>
      </c>
      <c r="C22" s="759">
        <f ca="1">ROUND(C21*F22,0)</f>
        <v>0</v>
      </c>
      <c r="D22" s="267"/>
      <c r="E22" s="267"/>
      <c r="F22" s="761">
        <f>'数据-取费表'!B37</f>
        <v>0.03</v>
      </c>
      <c r="G22" s="5" t="s">
        <v>1625</v>
      </c>
      <c r="H22" s="742"/>
      <c r="I22" s="742"/>
      <c r="J22" s="742"/>
      <c r="K22" s="743"/>
    </row>
    <row r="23" spans="1:33" s="748" customFormat="1" ht="13.5" customHeight="1">
      <c r="A23" s="737" t="s">
        <v>1597</v>
      </c>
      <c r="B23" s="758" t="s">
        <v>1626</v>
      </c>
      <c r="C23" s="759">
        <f ca="1">ROUND(C4*F23*F11,0)</f>
        <v>0</v>
      </c>
      <c r="D23" s="267"/>
      <c r="E23" s="267"/>
      <c r="F23" s="761">
        <f>'数据-取费表'!B38</f>
        <v>0.03</v>
      </c>
      <c r="G23" s="5" t="s">
        <v>1627</v>
      </c>
      <c r="H23" s="742"/>
      <c r="I23" s="742"/>
      <c r="J23" s="742"/>
      <c r="K23" s="743"/>
    </row>
    <row r="24" spans="1:33" s="748" customFormat="1" ht="13.5" customHeight="1">
      <c r="A24" s="737" t="s">
        <v>1628</v>
      </c>
      <c r="B24" s="758" t="s">
        <v>1629</v>
      </c>
      <c r="C24" s="266">
        <f>ROUND(F24/(1+'数据-取费表'!C42),4)</f>
        <v>2.9000000000000001E-2</v>
      </c>
      <c r="D24" s="267" t="s">
        <v>12</v>
      </c>
      <c r="E24" s="267"/>
      <c r="F24" s="761">
        <f>IF(项目基本情况!B8="出让",0,'数据-取费表'!B48+'数据-取费表'!B49)</f>
        <v>3.0499999999999999E-2</v>
      </c>
      <c r="G24" s="5" t="s">
        <v>1630</v>
      </c>
      <c r="H24" s="763"/>
      <c r="I24" s="763"/>
      <c r="J24" s="763"/>
      <c r="K24" s="55"/>
    </row>
    <row r="25" spans="1:33" s="748" customFormat="1" ht="13.5" customHeight="1">
      <c r="A25" s="737" t="s">
        <v>1631</v>
      </c>
      <c r="B25" s="760" t="s">
        <v>1632</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1633</v>
      </c>
      <c r="C26" s="1037">
        <f ca="1">ROUND(IF('数据-取费表'!B22&lt;=1,(1+C24)*F25*'数据-取费表'!B24,(1+C24)*(POWER((1+F25),'数据-取费表'!B24)-1)),4)</f>
        <v>0</v>
      </c>
      <c r="D26" s="270"/>
      <c r="E26" s="271"/>
      <c r="F26" s="272"/>
      <c r="G26" s="1714"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1634</v>
      </c>
      <c r="C27" s="1038">
        <f ca="1">ROUND(IF('数据-取费表'!B22&lt;=1,(C21+C22+C23)*F25*'数据-取费表'!B24/2,(C21+C22+C23)*(POWER((1+F25),'数据-取费表'!B24/2)-1)),0)</f>
        <v>0</v>
      </c>
      <c r="D27" s="270"/>
      <c r="E27" s="271"/>
      <c r="F27" s="272"/>
      <c r="G27" s="1714" t="str">
        <f>IF('数据-取费表'!B22&lt;=1,"（1）-（3）项×年利率×建设期÷2","（1）-（3）项×((1+年利率)^(建设期÷2)-1)")</f>
        <v>（1）-（3）项×((1+年利率)^(建设期÷2)-1)</v>
      </c>
      <c r="H27" s="752"/>
      <c r="I27" s="752"/>
      <c r="J27" s="752"/>
      <c r="K27" s="753"/>
    </row>
    <row r="28" spans="1:33" s="275" customFormat="1" ht="13.5" customHeight="1">
      <c r="A28" s="737" t="s">
        <v>1635</v>
      </c>
      <c r="B28" s="1715" t="s">
        <v>1636</v>
      </c>
      <c r="C28" s="273">
        <f ca="1">C30</f>
        <v>0</v>
      </c>
      <c r="D28" s="266">
        <f ca="1">C29</f>
        <v>0</v>
      </c>
      <c r="E28" s="268" t="s">
        <v>12</v>
      </c>
      <c r="F28" s="274">
        <f ca="1">IF(C1="",'数据-取费表'!Q16,INDIRECT("'数据-取费表'!q"&amp;$K$1))</f>
        <v>0.2</v>
      </c>
      <c r="G28" s="762"/>
      <c r="H28" s="763"/>
      <c r="I28" s="763"/>
      <c r="J28" s="763"/>
      <c r="K28" s="55"/>
    </row>
    <row r="29" spans="1:33" s="277" customFormat="1" ht="13.5" customHeight="1">
      <c r="A29" s="745" t="s">
        <v>358</v>
      </c>
      <c r="B29" s="766" t="s">
        <v>1637</v>
      </c>
      <c r="C29" s="270">
        <f ca="1">ROUND((1+C24)*F28*'数据-取费表'!B24/'数据-取费表'!B20,4)</f>
        <v>0</v>
      </c>
      <c r="D29" s="270"/>
      <c r="E29" s="271"/>
      <c r="F29" s="276"/>
      <c r="G29" s="117" t="s">
        <v>1638</v>
      </c>
      <c r="H29" s="752"/>
      <c r="I29" s="752"/>
      <c r="J29" s="752"/>
      <c r="K29" s="753"/>
    </row>
    <row r="30" spans="1:33" s="277" customFormat="1" ht="13.5" customHeight="1">
      <c r="A30" s="745" t="s">
        <v>359</v>
      </c>
      <c r="B30" s="766" t="s">
        <v>1639</v>
      </c>
      <c r="C30" s="278">
        <f ca="1">ROUND((C21+C22+C23)*F28,0)</f>
        <v>0</v>
      </c>
      <c r="D30" s="270"/>
      <c r="E30" s="271"/>
      <c r="F30" s="276"/>
      <c r="G30" s="117"/>
      <c r="H30" s="752"/>
      <c r="I30" s="752"/>
      <c r="J30" s="752"/>
      <c r="K30" s="753"/>
    </row>
    <row r="31" spans="1:33" s="748" customFormat="1" ht="13.5" customHeight="1" thickBot="1">
      <c r="A31" s="1716" t="s">
        <v>1640</v>
      </c>
      <c r="B31" s="776" t="s">
        <v>1641</v>
      </c>
      <c r="C31" s="777">
        <f>ROUND(C4*F31/(1+'数据-取费表'!C42),0)</f>
        <v>0</v>
      </c>
      <c r="D31" s="778"/>
      <c r="E31" s="779"/>
      <c r="F31" s="780">
        <f>'数据-取费表'!B41</f>
        <v>5.6000000000000001E-2</v>
      </c>
      <c r="G31" s="781" t="s">
        <v>1642</v>
      </c>
      <c r="H31" s="782"/>
      <c r="I31" s="782"/>
      <c r="J31" s="782"/>
      <c r="K31" s="783"/>
    </row>
    <row r="32" spans="1:33" s="744" customFormat="1" ht="13.5" customHeight="1" thickBot="1">
      <c r="A32" s="443" t="s">
        <v>1643</v>
      </c>
      <c r="B32" s="772"/>
      <c r="C32" s="773">
        <f ca="1">ROUND((C4-C21-C22-C23-C25-C28-C31)/(1+C24+D25+D28),0)</f>
        <v>0</v>
      </c>
      <c r="D32" s="772"/>
      <c r="E32" s="772"/>
      <c r="F32" s="772"/>
      <c r="G32" s="774" t="s">
        <v>1644</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0" zoomScaleNormal="70" zoomScaleSheetLayoutView="80" workbookViewId="0">
      <selection activeCell="J52" sqref="J52"/>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874</v>
      </c>
      <c r="B1" s="655"/>
      <c r="C1" s="1279" t="s">
        <v>3705</v>
      </c>
      <c r="D1" s="1263" t="s">
        <v>43</v>
      </c>
      <c r="E1" s="1264" t="s">
        <v>675</v>
      </c>
      <c r="F1" s="992">
        <f ca="1">J53</f>
        <v>26.67</v>
      </c>
      <c r="G1" s="1278">
        <f>MATCH(C1,'数据-取费表'!A6:A16,0)+5</f>
        <v>6</v>
      </c>
      <c r="H1" s="2446"/>
      <c r="I1" s="2447"/>
      <c r="J1" s="2447"/>
      <c r="K1" s="2448"/>
      <c r="L1" s="2447"/>
      <c r="M1" s="2447"/>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801</v>
      </c>
      <c r="B2" s="1286">
        <f ca="1">C40+J29+L46</f>
        <v>5833</v>
      </c>
      <c r="C2" s="1281" t="s">
        <v>802</v>
      </c>
      <c r="D2" s="1281"/>
      <c r="E2" s="1287"/>
      <c r="F2" s="1288"/>
      <c r="G2" s="2459"/>
      <c r="H2" s="2449"/>
      <c r="I2" s="2449"/>
      <c r="J2" s="2449"/>
      <c r="K2" s="2450"/>
      <c r="L2" s="2449"/>
      <c r="M2" s="2449"/>
    </row>
    <row r="3" spans="1:37" ht="18" customHeight="1" thickBot="1">
      <c r="A3" s="1289" t="s">
        <v>803</v>
      </c>
      <c r="B3" s="1290">
        <f ca="1">IF(ISERROR(B2*10000/F43),0,ROUND(B2*10000/F43,0))</f>
        <v>20450</v>
      </c>
      <c r="C3" s="1281" t="s">
        <v>804</v>
      </c>
      <c r="D3" s="1281"/>
      <c r="E3" s="1287"/>
      <c r="F3" s="1288"/>
      <c r="G3" s="2459"/>
      <c r="H3" s="641" t="s">
        <v>873</v>
      </c>
      <c r="I3" s="1282"/>
      <c r="J3" s="1282"/>
      <c r="K3" s="1283"/>
      <c r="L3" s="1282"/>
      <c r="M3" s="1282"/>
    </row>
    <row r="4" spans="1:37" ht="18" customHeight="1">
      <c r="A4" s="281" t="s">
        <v>684</v>
      </c>
      <c r="B4" s="282" t="s">
        <v>685</v>
      </c>
      <c r="C4" s="282" t="s">
        <v>686</v>
      </c>
      <c r="D4" s="282" t="s">
        <v>687</v>
      </c>
      <c r="E4" s="283" t="s">
        <v>688</v>
      </c>
      <c r="F4" s="284"/>
      <c r="G4" s="1284"/>
      <c r="H4" s="281" t="s">
        <v>684</v>
      </c>
      <c r="I4" s="282" t="s">
        <v>685</v>
      </c>
      <c r="J4" s="282" t="s">
        <v>686</v>
      </c>
      <c r="K4" s="282" t="s">
        <v>687</v>
      </c>
      <c r="L4" s="283" t="s">
        <v>688</v>
      </c>
      <c r="M4" s="284"/>
    </row>
    <row r="5" spans="1:37" ht="18" customHeight="1">
      <c r="A5" s="285">
        <v>1</v>
      </c>
      <c r="B5" s="286" t="s">
        <v>689</v>
      </c>
      <c r="C5" s="1000">
        <f ca="1">C6+C10+C12</f>
        <v>424</v>
      </c>
      <c r="D5" s="1265" t="s">
        <v>690</v>
      </c>
      <c r="E5" s="1001"/>
      <c r="F5" s="1002"/>
      <c r="G5" s="1284"/>
      <c r="H5" s="285">
        <v>1</v>
      </c>
      <c r="I5" s="286" t="s">
        <v>689</v>
      </c>
      <c r="J5" s="1000">
        <f ca="1">J6+J10+J12</f>
        <v>0</v>
      </c>
      <c r="K5" s="1265" t="s">
        <v>690</v>
      </c>
      <c r="L5" s="1001"/>
      <c r="M5" s="1002"/>
    </row>
    <row r="6" spans="1:37" ht="18" customHeight="1">
      <c r="A6" s="999" t="s">
        <v>398</v>
      </c>
      <c r="B6" s="3488" t="s">
        <v>691</v>
      </c>
      <c r="C6" s="1004">
        <f ca="1">ROUND(F6*F8*F7*(1-F9)/10000,0)</f>
        <v>422</v>
      </c>
      <c r="D6" s="141" t="s">
        <v>2103</v>
      </c>
      <c r="E6" s="288" t="s">
        <v>693</v>
      </c>
      <c r="F6" s="289">
        <f ca="1">INDIRECT("'数据-取费表'!u"&amp;$G$1)</f>
        <v>4.5</v>
      </c>
      <c r="G6" s="1284"/>
      <c r="H6" s="999" t="s">
        <v>398</v>
      </c>
      <c r="I6" s="3488" t="s">
        <v>691</v>
      </c>
      <c r="J6" s="287">
        <f ca="1">ROUND(M6*M8*M7*(1-M9)/10000,0)</f>
        <v>0</v>
      </c>
      <c r="K6" s="141" t="s">
        <v>2102</v>
      </c>
      <c r="L6" s="288" t="s">
        <v>693</v>
      </c>
      <c r="M6" s="289">
        <f ca="1">INDIRECT("'数据-取费表'!z"&amp;$G$1)</f>
        <v>0</v>
      </c>
    </row>
    <row r="7" spans="1:37" ht="18" customHeight="1">
      <c r="A7" s="1003"/>
      <c r="B7" s="3489"/>
      <c r="C7" s="1005"/>
      <c r="D7" s="293"/>
      <c r="E7" s="1006" t="s">
        <v>694</v>
      </c>
      <c r="F7" s="289">
        <f ca="1">IF(INDIRECT("'数据-取费表'!ah"&amp;$G$1)="",INDIRECT("'数据-取费表'!k"&amp;$G$1),INDIRECT("'数据-取费表'!ah"&amp;$G$1))</f>
        <v>2852.38</v>
      </c>
      <c r="G7" s="1284"/>
      <c r="H7" s="290"/>
      <c r="I7" s="3489"/>
      <c r="J7" s="292"/>
      <c r="K7" s="293"/>
      <c r="L7" s="288" t="s">
        <v>694</v>
      </c>
      <c r="M7" s="289">
        <f ca="1">F7</f>
        <v>2852.38</v>
      </c>
    </row>
    <row r="8" spans="1:37" ht="18" customHeight="1">
      <c r="A8" s="290"/>
      <c r="B8" s="3489"/>
      <c r="C8" s="292"/>
      <c r="D8" s="293"/>
      <c r="E8" s="288" t="s">
        <v>695</v>
      </c>
      <c r="F8" s="289">
        <f ca="1">INDIRECT("'数据-取费表'!ai"&amp;$G$1)</f>
        <v>365</v>
      </c>
      <c r="G8" s="1284"/>
      <c r="H8" s="290"/>
      <c r="I8" s="3489"/>
      <c r="J8" s="292"/>
      <c r="K8" s="293"/>
      <c r="L8" s="288" t="s">
        <v>695</v>
      </c>
      <c r="M8" s="289">
        <f ca="1">INDIRECT("'数据-取费表'!ai"&amp;$G$1)</f>
        <v>365</v>
      </c>
    </row>
    <row r="9" spans="1:37" ht="18" customHeight="1">
      <c r="A9" s="290"/>
      <c r="B9" s="3490"/>
      <c r="C9" s="292"/>
      <c r="D9" s="293"/>
      <c r="E9" s="288" t="s">
        <v>696</v>
      </c>
      <c r="F9" s="298">
        <f ca="1">INDIRECT("'数据-取费表'!w"&amp;$G$1)</f>
        <v>0.1</v>
      </c>
      <c r="G9" s="1284"/>
      <c r="H9" s="290"/>
      <c r="I9" s="3490"/>
      <c r="J9" s="292"/>
      <c r="K9" s="293"/>
      <c r="L9" s="299" t="s">
        <v>696</v>
      </c>
      <c r="M9" s="300">
        <f ca="1">INDIRECT("'数据-取费表'!ab"&amp;$G$1)</f>
        <v>0</v>
      </c>
    </row>
    <row r="10" spans="1:37" ht="18" customHeight="1">
      <c r="A10" s="999" t="s">
        <v>402</v>
      </c>
      <c r="B10" s="1266" t="s">
        <v>697</v>
      </c>
      <c r="C10" s="302">
        <f ca="1">ROUND(IF(F10="押一",C6/12*F11,IF(F10="押二",C6/12*2*F11,IF(F10="押三",C6/12*3*F11,C11*F11))),0)</f>
        <v>2</v>
      </c>
      <c r="D10" s="144" t="s">
        <v>2111</v>
      </c>
      <c r="E10" s="299" t="s">
        <v>698</v>
      </c>
      <c r="F10" s="1046" t="s">
        <v>3743</v>
      </c>
      <c r="G10" s="1284"/>
      <c r="H10" s="999" t="s">
        <v>402</v>
      </c>
      <c r="I10" s="1266" t="s">
        <v>697</v>
      </c>
      <c r="J10" s="287">
        <f ca="1">ROUND(IF(M10="押一",J6/12*M11,IF(M10="押二",J6/12*2*M11,IF(M10="押三",J6/12*3*M11,J11*M11))),0)</f>
        <v>0</v>
      </c>
      <c r="K10" s="144" t="s">
        <v>2110</v>
      </c>
      <c r="L10" s="299" t="s">
        <v>698</v>
      </c>
      <c r="M10" s="1046"/>
    </row>
    <row r="11" spans="1:37" ht="18" customHeight="1">
      <c r="A11" s="294"/>
      <c r="B11" s="1267" t="s">
        <v>676</v>
      </c>
      <c r="C11" s="898"/>
      <c r="D11" s="1268"/>
      <c r="E11" s="299" t="s">
        <v>699</v>
      </c>
      <c r="F11" s="300">
        <f ca="1">'数据-取费表'!B39</f>
        <v>1.4999999999999999E-2</v>
      </c>
      <c r="G11" s="1284"/>
      <c r="H11" s="1007"/>
      <c r="I11" s="1267" t="s">
        <v>676</v>
      </c>
      <c r="J11" s="898"/>
      <c r="K11" s="638"/>
      <c r="L11" s="299" t="s">
        <v>699</v>
      </c>
      <c r="M11" s="802">
        <f ca="1">'数据-取费表'!B39</f>
        <v>1.4999999999999999E-2</v>
      </c>
    </row>
    <row r="12" spans="1:37" ht="18" customHeight="1" thickBot="1">
      <c r="A12" s="1013" t="s">
        <v>437</v>
      </c>
      <c r="B12" s="1269" t="s">
        <v>700</v>
      </c>
      <c r="C12" s="1014"/>
      <c r="D12" s="1015"/>
      <c r="E12" s="1020"/>
      <c r="F12" s="1016"/>
      <c r="G12" s="1284"/>
      <c r="H12" s="1013" t="s">
        <v>437</v>
      </c>
      <c r="I12" s="1269" t="s">
        <v>700</v>
      </c>
      <c r="J12" s="1014"/>
      <c r="K12" s="1028"/>
      <c r="L12" s="1020"/>
      <c r="M12" s="1029"/>
    </row>
    <row r="13" spans="1:37" ht="18" customHeight="1" thickTop="1">
      <c r="A13" s="1009">
        <v>2</v>
      </c>
      <c r="B13" s="1010" t="s">
        <v>701</v>
      </c>
      <c r="C13" s="296">
        <f ca="1">ROUND(C29*F13,0)</f>
        <v>1943</v>
      </c>
      <c r="D13" s="1011" t="s">
        <v>702</v>
      </c>
      <c r="E13" s="1011" t="s">
        <v>703</v>
      </c>
      <c r="F13" s="1012">
        <f ca="1">INDIRECT("'数据-取费表'!y"&amp;$G$1)</f>
        <v>0.87</v>
      </c>
      <c r="G13" s="1284"/>
      <c r="H13" s="1009">
        <v>2</v>
      </c>
      <c r="I13" s="1010" t="s">
        <v>701</v>
      </c>
      <c r="J13" s="998">
        <f ca="1">ROUND(J14*J15,0)</f>
        <v>0</v>
      </c>
      <c r="K13" s="1017" t="s">
        <v>702</v>
      </c>
      <c r="L13" s="1291"/>
      <c r="M13" s="1292"/>
    </row>
    <row r="14" spans="1:37" ht="18" customHeight="1">
      <c r="A14" s="921" t="s">
        <v>397</v>
      </c>
      <c r="B14" s="288" t="s">
        <v>704</v>
      </c>
      <c r="C14" s="304">
        <f ca="1">INDIRECT("'数据-取费表'!m"&amp;$G$1)+INDIRECT("'数据-取费表'!t"&amp;$G$1)</f>
        <v>1426</v>
      </c>
      <c r="D14" s="1249" t="s">
        <v>705</v>
      </c>
      <c r="E14" s="1247"/>
      <c r="F14" s="305"/>
      <c r="G14" s="1284"/>
      <c r="H14" s="921" t="s">
        <v>398</v>
      </c>
      <c r="I14" s="288" t="s">
        <v>706</v>
      </c>
      <c r="J14" s="21">
        <f ca="1">C29</f>
        <v>2233</v>
      </c>
      <c r="K14" s="12"/>
      <c r="L14" s="752"/>
      <c r="M14" s="753"/>
    </row>
    <row r="15" spans="1:37" s="1296" customFormat="1" ht="18" customHeight="1" thickBot="1">
      <c r="A15" s="921" t="s">
        <v>399</v>
      </c>
      <c r="B15" s="288" t="s">
        <v>707</v>
      </c>
      <c r="C15" s="21">
        <f ca="1">ROUND(C14*F15,0)</f>
        <v>71</v>
      </c>
      <c r="D15" s="306" t="s">
        <v>708</v>
      </c>
      <c r="E15" s="306" t="s">
        <v>709</v>
      </c>
      <c r="F15" s="307">
        <f>'数据-取费表'!B33</f>
        <v>0.05</v>
      </c>
      <c r="G15" s="1295"/>
      <c r="H15" s="1019" t="s">
        <v>402</v>
      </c>
      <c r="I15" s="1020" t="s">
        <v>703</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677</v>
      </c>
      <c r="B16" s="288" t="s">
        <v>710</v>
      </c>
      <c r="C16" s="21">
        <f ca="1">ROUND(INDIRECT("'数据-取费表'!m"&amp;$G$1)*F16,0)</f>
        <v>0</v>
      </c>
      <c r="D16" s="288" t="s">
        <v>708</v>
      </c>
      <c r="E16" s="288" t="s">
        <v>709</v>
      </c>
      <c r="F16" s="308">
        <f ca="1">IF(INDIRECT("'数据-取费表'!c"&amp;$G$1)="住宅",'数据-取费表'!B34,0)</f>
        <v>0</v>
      </c>
      <c r="G16" s="1284"/>
      <c r="H16" s="1009" t="s">
        <v>393</v>
      </c>
      <c r="I16" s="1010" t="s">
        <v>711</v>
      </c>
      <c r="J16" s="296">
        <f ca="1">ROUND(J17+J22+J23+J24,0)</f>
        <v>11</v>
      </c>
      <c r="K16" s="1017" t="s">
        <v>712</v>
      </c>
      <c r="L16" s="1018"/>
      <c r="M16" s="1002"/>
    </row>
    <row r="17" spans="1:37" s="1296" customFormat="1" ht="18" customHeight="1">
      <c r="A17" s="921" t="s">
        <v>678</v>
      </c>
      <c r="B17" s="288" t="s">
        <v>713</v>
      </c>
      <c r="C17" s="21">
        <f ca="1">ROUND(F17*(F43+INDIRECT("'数据-取费表'!S"&amp;$G$1))/10000,0)</f>
        <v>57</v>
      </c>
      <c r="D17" s="288" t="s">
        <v>714</v>
      </c>
      <c r="E17" s="288" t="s">
        <v>715</v>
      </c>
      <c r="F17" s="23">
        <f>'数据-取费表'!B35</f>
        <v>200</v>
      </c>
      <c r="G17" s="1295"/>
      <c r="H17" s="921" t="s">
        <v>398</v>
      </c>
      <c r="I17" s="288" t="s">
        <v>716</v>
      </c>
      <c r="J17" s="2132">
        <f ca="1">ROUND(IF(AND(项目基本情况!B11="自然人",项目基本情况!B10="北京市"),J6*M17/(1+'数据-取费表'!C42),J18+J19+J20),2)</f>
        <v>0</v>
      </c>
      <c r="K17" s="1249" t="s">
        <v>717</v>
      </c>
      <c r="L17" s="1248" t="s">
        <v>718</v>
      </c>
      <c r="M17" s="2131" t="str">
        <f>IF(项目基本情况!B11="企业","",IF('数据-取费表'!B10="住宅",IF(M6*M7*M8/12/(1+'数据-取费表'!F30)&gt;100000,4%,2.5%),IF(M6*M7*M8/12/(1+'数据-取费表'!F30)&gt;100000,12%,7%)))</f>
        <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679</v>
      </c>
      <c r="B18" s="288" t="s">
        <v>719</v>
      </c>
      <c r="C18" s="21">
        <f ca="1">ROUND(C14*F18,0)</f>
        <v>21</v>
      </c>
      <c r="D18" s="288" t="s">
        <v>708</v>
      </c>
      <c r="E18" s="288" t="s">
        <v>709</v>
      </c>
      <c r="F18" s="308">
        <f>'数据-取费表'!B36</f>
        <v>1.4999999999999999E-2</v>
      </c>
      <c r="G18" s="1295"/>
      <c r="H18" s="921" t="s">
        <v>397</v>
      </c>
      <c r="I18" s="288" t="s">
        <v>720</v>
      </c>
      <c r="J18" s="21">
        <f ca="1">ROUND(J6*M18/(1+'数据-取费表'!C42),2)</f>
        <v>0</v>
      </c>
      <c r="K18" s="1248" t="s">
        <v>721</v>
      </c>
      <c r="L18" s="288" t="s">
        <v>709</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722</v>
      </c>
      <c r="C19" s="21">
        <f ca="1">SUM(C14:C18)</f>
        <v>1575</v>
      </c>
      <c r="D19" s="117" t="s">
        <v>723</v>
      </c>
      <c r="E19" s="1261"/>
      <c r="F19" s="23"/>
      <c r="G19" s="1284"/>
      <c r="H19" s="921" t="s">
        <v>399</v>
      </c>
      <c r="I19" s="288" t="s">
        <v>724</v>
      </c>
      <c r="J19" s="21">
        <f ca="1">IF(K19="按租金收入计税",ROUND(J6*M19/(1+'数据-取费表'!C42),2),ROUND(C29*M19*0.7,2))</f>
        <v>0</v>
      </c>
      <c r="K19" s="1270" t="s">
        <v>3333</v>
      </c>
      <c r="L19" s="288" t="s">
        <v>709</v>
      </c>
      <c r="M19" s="308">
        <f>IF(K19="按租金收入计税",'数据-取费表'!B51,'数据-取费表'!B50)</f>
        <v>0.12</v>
      </c>
    </row>
    <row r="20" spans="1:37" s="1296" customFormat="1" ht="18" customHeight="1">
      <c r="A20" s="921" t="s">
        <v>402</v>
      </c>
      <c r="B20" s="288" t="s">
        <v>725</v>
      </c>
      <c r="C20" s="21">
        <f ca="1">ROUND(C19*F20,0)</f>
        <v>47</v>
      </c>
      <c r="D20" s="309" t="s">
        <v>726</v>
      </c>
      <c r="E20" s="288" t="s">
        <v>709</v>
      </c>
      <c r="F20" s="308">
        <f>'数据-取费表'!B37</f>
        <v>0.03</v>
      </c>
      <c r="G20" s="1295"/>
      <c r="H20" s="921" t="s">
        <v>677</v>
      </c>
      <c r="I20" s="141" t="s">
        <v>727</v>
      </c>
      <c r="J20" s="22">
        <f ca="1">ROUND(M20*M21/10000,2)</f>
        <v>0</v>
      </c>
      <c r="K20" s="310" t="s">
        <v>728</v>
      </c>
      <c r="L20" s="288" t="s">
        <v>729</v>
      </c>
      <c r="M20" s="311">
        <f>'数据-取费表'!B52</f>
        <v>3</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730</v>
      </c>
      <c r="C21" s="21" t="s">
        <v>15</v>
      </c>
      <c r="D21" s="309" t="s">
        <v>731</v>
      </c>
      <c r="E21" s="288" t="s">
        <v>732</v>
      </c>
      <c r="F21" s="308">
        <f>'数据-取费表'!B38</f>
        <v>0.03</v>
      </c>
      <c r="G21" s="1295"/>
      <c r="H21" s="312"/>
      <c r="I21" s="297"/>
      <c r="J21" s="26"/>
      <c r="K21" s="313"/>
      <c r="L21" s="288" t="s">
        <v>733</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680</v>
      </c>
      <c r="B22" s="288" t="s">
        <v>734</v>
      </c>
      <c r="C22" s="21"/>
      <c r="D22" s="117" t="str">
        <f>IF(F23&lt;=1,"单利计息。","复利计息。")&amp;"建造成本、管理费用、销售费用产生的利息。"</f>
        <v>复利计息。建造成本、管理费用、销售费用产生的利息。</v>
      </c>
      <c r="E22" s="1261"/>
      <c r="F22" s="23"/>
      <c r="G22" s="1284"/>
      <c r="H22" s="921" t="s">
        <v>402</v>
      </c>
      <c r="I22" s="288" t="s">
        <v>735</v>
      </c>
      <c r="J22" s="21">
        <f ca="1">ROUND(J14*M22,2)</f>
        <v>11.17</v>
      </c>
      <c r="K22" s="1248" t="s">
        <v>736</v>
      </c>
      <c r="L22" s="288" t="s">
        <v>709</v>
      </c>
      <c r="M22" s="314">
        <f ca="1">INDIRECT("'数据-取费表'!Ak"&amp;$G$1)</f>
        <v>5.0000000000000001E-3</v>
      </c>
    </row>
    <row r="23" spans="1:37" s="1296" customFormat="1" ht="18" customHeight="1">
      <c r="A23" s="921" t="s">
        <v>397</v>
      </c>
      <c r="B23" s="288" t="s">
        <v>737</v>
      </c>
      <c r="C23" s="21">
        <f ca="1">IF('数据-取费表'!B22&lt;=1,ROUND(C19*F24*F23/2,0)+ROUND(C20*F24*F23/2,0),ROUND(C19*(POWER((1+F24),F23/2)-1),0)+ROUND(C20*(POWER((1+F24),F23/2)-1),0))</f>
        <v>84</v>
      </c>
      <c r="D23" s="132" t="str">
        <f>IF(F23&lt;=1,"(建造成本+管理费用)×利率×(建设周期÷2)","(建造成本+管理费用)×((1+利率)^(建设周期÷2)-1)")</f>
        <v>(建造成本+管理费用)×((1+利率)^(建设周期÷2)-1)</v>
      </c>
      <c r="E23" s="288" t="s">
        <v>738</v>
      </c>
      <c r="F23" s="311">
        <f>'数据-取费表'!B20</f>
        <v>3</v>
      </c>
      <c r="G23" s="1295"/>
      <c r="H23" s="921" t="s">
        <v>437</v>
      </c>
      <c r="I23" s="288" t="s">
        <v>739</v>
      </c>
      <c r="J23" s="21">
        <f ca="1">ROUND(J13*M23,2)</f>
        <v>0</v>
      </c>
      <c r="K23" s="1248" t="s">
        <v>740</v>
      </c>
      <c r="L23" s="288" t="s">
        <v>741</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742</v>
      </c>
      <c r="B24" s="288" t="s">
        <v>743</v>
      </c>
      <c r="C24" s="21">
        <f ca="1">ROUND(IF('数据-取费表'!B22&lt;=1,F21*F24*F23/2,F21*(POWER((1+F24),F23/2)-1)),4)</f>
        <v>1.6000000000000001E-3</v>
      </c>
      <c r="D24" s="132" t="str">
        <f>IF(F23&lt;=1,"销售费用×利率×(建设周期÷2)","销售费用×((1+利率)^(建设周期÷2)-1)")</f>
        <v>销售费用×((1+利率)^(建设周期÷2)-1)</v>
      </c>
      <c r="E24" s="288" t="s">
        <v>744</v>
      </c>
      <c r="F24" s="316">
        <f ca="1">'数据-取费表'!B40</f>
        <v>3.4500000000000003E-2</v>
      </c>
      <c r="G24" s="1295"/>
      <c r="H24" s="1019" t="s">
        <v>681</v>
      </c>
      <c r="I24" s="1020" t="s">
        <v>725</v>
      </c>
      <c r="J24" s="1021">
        <f ca="1">ROUND(J5*M24,2)</f>
        <v>0</v>
      </c>
      <c r="K24" s="1022" t="s">
        <v>745</v>
      </c>
      <c r="L24" s="1020" t="s">
        <v>741</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746</v>
      </c>
      <c r="B25" s="288" t="s">
        <v>747</v>
      </c>
      <c r="C25" s="21"/>
      <c r="D25" s="117" t="s">
        <v>748</v>
      </c>
      <c r="E25" s="1261"/>
      <c r="F25" s="23"/>
      <c r="G25" s="1284"/>
      <c r="H25" s="1009" t="s">
        <v>394</v>
      </c>
      <c r="I25" s="1024" t="s">
        <v>749</v>
      </c>
      <c r="J25" s="296">
        <f ca="1">J5-J16</f>
        <v>-11</v>
      </c>
      <c r="K25" s="1025" t="s">
        <v>750</v>
      </c>
      <c r="L25" s="1026"/>
      <c r="M25" s="1027"/>
    </row>
    <row r="26" spans="1:37">
      <c r="A26" s="921" t="s">
        <v>397</v>
      </c>
      <c r="B26" s="288" t="s">
        <v>751</v>
      </c>
      <c r="C26" s="21">
        <f ca="1">ROUND((C19+C20)*F26,0)</f>
        <v>324</v>
      </c>
      <c r="D26" s="309" t="s">
        <v>752</v>
      </c>
      <c r="E26" s="299" t="s">
        <v>753</v>
      </c>
      <c r="F26" s="298">
        <f ca="1">INDIRECT("'数据-取费表'!q"&amp;$G$1)</f>
        <v>0.2</v>
      </c>
      <c r="G26" s="1284"/>
      <c r="H26" s="285" t="s">
        <v>395</v>
      </c>
      <c r="I26" s="286" t="s">
        <v>754</v>
      </c>
      <c r="J26" s="287">
        <f ca="1">IF(J5&lt;&gt;0,ROUND(J25*(1-((1+M28)/(1+M26))^M27)/(M26-M28),0),0)</f>
        <v>0</v>
      </c>
      <c r="K26" s="310" t="s">
        <v>755</v>
      </c>
      <c r="L26" s="288" t="s">
        <v>756</v>
      </c>
      <c r="M26" s="298">
        <f ca="1">INDIRECT("'数据-取费表'!I"&amp;$G$1)</f>
        <v>5.5E-2</v>
      </c>
    </row>
    <row r="27" spans="1:37" ht="18" customHeight="1">
      <c r="A27" s="921" t="s">
        <v>399</v>
      </c>
      <c r="B27" s="288" t="s">
        <v>757</v>
      </c>
      <c r="C27" s="21">
        <f ca="1">ROUND(F21*F26,4)</f>
        <v>6.0000000000000001E-3</v>
      </c>
      <c r="D27" s="309" t="s">
        <v>758</v>
      </c>
      <c r="E27" s="306"/>
      <c r="F27" s="307"/>
      <c r="G27" s="1284"/>
      <c r="H27" s="290"/>
      <c r="I27" s="291"/>
      <c r="J27" s="292"/>
      <c r="K27" s="317" t="s">
        <v>759</v>
      </c>
      <c r="L27" s="288" t="s">
        <v>760</v>
      </c>
      <c r="M27" s="318">
        <f ca="1">INDIRECT("'数据-取费表'!ag"&amp;$G$1)</f>
        <v>0</v>
      </c>
    </row>
    <row r="28" spans="1:37" s="1296" customFormat="1" ht="18" customHeight="1">
      <c r="A28" s="921" t="s">
        <v>400</v>
      </c>
      <c r="B28" s="288" t="s">
        <v>761</v>
      </c>
      <c r="C28" s="21">
        <f>ROUND(F28/(1+'数据-取费表'!C42),4)</f>
        <v>5.33E-2</v>
      </c>
      <c r="D28" s="309" t="s">
        <v>762</v>
      </c>
      <c r="E28" s="288" t="s">
        <v>709</v>
      </c>
      <c r="F28" s="308">
        <f>'数据-取费表'!B41</f>
        <v>5.6000000000000001E-2</v>
      </c>
      <c r="G28" s="1295"/>
      <c r="H28" s="294"/>
      <c r="I28" s="295"/>
      <c r="J28" s="296"/>
      <c r="K28" s="313"/>
      <c r="L28" s="288" t="s">
        <v>763</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764</v>
      </c>
      <c r="C29" s="1021">
        <f ca="1">ROUND((C19+C20+C23+C26)/(1-F21-C24-C27-C28),0)</f>
        <v>2233</v>
      </c>
      <c r="D29" s="1022"/>
      <c r="E29" s="1020"/>
      <c r="F29" s="1023"/>
      <c r="G29" s="1295"/>
      <c r="H29" s="319" t="s">
        <v>396</v>
      </c>
      <c r="I29" s="320" t="s">
        <v>765</v>
      </c>
      <c r="J29" s="321">
        <f ca="1">ROUND(J26/(1+F40)^F41,0)</f>
        <v>0</v>
      </c>
      <c r="K29" s="322" t="s">
        <v>766</v>
      </c>
      <c r="L29" s="323"/>
      <c r="M29" s="324">
        <f ca="1">INDIRECT("'数据-取费表'!k"&amp;$G$1)</f>
        <v>2852.38</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711</v>
      </c>
      <c r="C30" s="296">
        <f ca="1">ROUND(C31+C36+C37+C38,0)</f>
        <v>88</v>
      </c>
      <c r="D30" s="1017" t="s">
        <v>712</v>
      </c>
      <c r="E30" s="1018"/>
      <c r="F30" s="1002"/>
      <c r="G30" s="1284"/>
      <c r="H30" s="2451"/>
      <c r="I30" s="1297"/>
      <c r="J30" s="1298"/>
      <c r="K30" s="115"/>
      <c r="L30" s="2452"/>
      <c r="M30" s="2453"/>
    </row>
    <row r="31" spans="1:37" ht="18" customHeight="1">
      <c r="A31" s="921" t="s">
        <v>398</v>
      </c>
      <c r="B31" s="288" t="s">
        <v>716</v>
      </c>
      <c r="C31" s="2132">
        <f ca="1">ROUND(IF(AND(项目基本情况!B11="自然人",项目基本情况!B10="北京市"),C6*F31/(1+'数据-取费表'!C42),C32+C33+C34),2)</f>
        <v>70.739999999999995</v>
      </c>
      <c r="D31" s="1249" t="s">
        <v>717</v>
      </c>
      <c r="E31" s="1248" t="s">
        <v>767</v>
      </c>
      <c r="F31" s="2131" t="str">
        <f>IF(项目基本情况!B11="企业","——",IF(M47="住宅",IF(F6*F7*F8/12/(1+'数据-取费表'!F30)&gt;100000,4%,2.5%),IF(F6*F7*F8/12/(1+'数据-取费表'!F30)&gt;100000,12%,7%)))</f>
        <v>——</v>
      </c>
      <c r="G31" s="1284"/>
      <c r="H31" s="2550" t="s">
        <v>2304</v>
      </c>
      <c r="I31" s="1297"/>
      <c r="J31" s="1298"/>
      <c r="K31" s="115"/>
      <c r="L31" s="2452"/>
      <c r="M31" s="2453"/>
    </row>
    <row r="32" spans="1:37" ht="18" customHeight="1">
      <c r="A32" s="921" t="s">
        <v>397</v>
      </c>
      <c r="B32" s="288" t="s">
        <v>720</v>
      </c>
      <c r="C32" s="21">
        <f ca="1">IF(项目基本情况!B11="自然人","——",ROUND(C6*F32/(1+'数据-取费表'!C42),2))</f>
        <v>22.51</v>
      </c>
      <c r="D32" s="1248" t="s">
        <v>721</v>
      </c>
      <c r="E32" s="288" t="s">
        <v>709</v>
      </c>
      <c r="F32" s="316">
        <f>'数据-取费表'!B41</f>
        <v>5.6000000000000001E-2</v>
      </c>
      <c r="G32" s="1284"/>
      <c r="H32" s="2451"/>
      <c r="I32" s="1297"/>
      <c r="J32" s="1298"/>
      <c r="K32" s="115"/>
      <c r="L32" s="2452"/>
      <c r="M32" s="2453"/>
    </row>
    <row r="33" spans="1:18" ht="18" customHeight="1">
      <c r="A33" s="921" t="s">
        <v>399</v>
      </c>
      <c r="B33" s="288" t="s">
        <v>724</v>
      </c>
      <c r="C33" s="21">
        <f ca="1">IF(项目基本情况!B11="自然人","——",IF(D33="按租金收入计税",ROUND(C6*F33/(1+'数据-取费表'!C42),2),IF(D33="按房产原值计税",ROUND(C29*F33*0.7,2),INDIRECT("'数据-取费表'!Aj"&amp;$G$1))))</f>
        <v>48.23</v>
      </c>
      <c r="D33" s="1270" t="s">
        <v>3333</v>
      </c>
      <c r="E33" s="288" t="s">
        <v>709</v>
      </c>
      <c r="F33" s="308">
        <f>IF(D33="按票据","——",IF(D33="按租金收入计税",'数据-取费表'!B51,'数据-取费表'!B50))</f>
        <v>0.12</v>
      </c>
      <c r="G33" s="1284"/>
      <c r="H33" s="2454"/>
      <c r="I33" s="1297"/>
      <c r="J33" s="1298"/>
      <c r="K33" s="2455"/>
      <c r="L33" s="2454"/>
      <c r="M33" s="2454"/>
    </row>
    <row r="34" spans="1:18" ht="18" customHeight="1">
      <c r="A34" s="999" t="s">
        <v>677</v>
      </c>
      <c r="B34" s="141" t="s">
        <v>727</v>
      </c>
      <c r="C34" s="22">
        <f ca="1">IF(项目基本情况!B11="自然人","——",ROUND(F34*F35/10000,2))</f>
        <v>0</v>
      </c>
      <c r="D34" s="310" t="s">
        <v>728</v>
      </c>
      <c r="E34" s="288" t="s">
        <v>729</v>
      </c>
      <c r="F34" s="311">
        <f>'数据-取费表'!B52</f>
        <v>3</v>
      </c>
      <c r="G34" s="1284"/>
      <c r="H34" s="2451"/>
      <c r="I34" s="1297"/>
      <c r="J34" s="1298"/>
      <c r="K34" s="2456"/>
      <c r="L34" s="2457"/>
      <c r="M34" s="2457"/>
    </row>
    <row r="35" spans="1:18" ht="18" customHeight="1">
      <c r="A35" s="1033"/>
      <c r="B35" s="1031"/>
      <c r="C35" s="26"/>
      <c r="D35" s="313"/>
      <c r="E35" s="288" t="s">
        <v>733</v>
      </c>
      <c r="F35" s="289">
        <f ca="1">INDIRECT("'数据-取费表'!r"&amp;$G$1)</f>
        <v>0</v>
      </c>
      <c r="G35" s="1284"/>
      <c r="H35" s="2451"/>
      <c r="I35" s="1297"/>
      <c r="J35" s="1298"/>
      <c r="K35" s="2455"/>
      <c r="L35" s="2454"/>
      <c r="M35" s="2454"/>
    </row>
    <row r="36" spans="1:18" ht="18" customHeight="1">
      <c r="A36" s="1032" t="s">
        <v>402</v>
      </c>
      <c r="B36" s="288" t="s">
        <v>735</v>
      </c>
      <c r="C36" s="21">
        <f ca="1">ROUND(C29*F36,2)</f>
        <v>11.17</v>
      </c>
      <c r="D36" s="1248" t="s">
        <v>768</v>
      </c>
      <c r="E36" s="288" t="s">
        <v>709</v>
      </c>
      <c r="F36" s="314">
        <f ca="1">INDIRECT("'数据-取费表'!Ak"&amp;$G$1)</f>
        <v>5.0000000000000001E-3</v>
      </c>
      <c r="G36" s="1284"/>
      <c r="H36" s="2454"/>
      <c r="I36" s="1297"/>
      <c r="J36" s="1298"/>
      <c r="K36" s="2314"/>
      <c r="L36" s="2454"/>
      <c r="M36" s="2454"/>
    </row>
    <row r="37" spans="1:18" ht="18" customHeight="1">
      <c r="A37" s="921" t="s">
        <v>437</v>
      </c>
      <c r="B37" s="288" t="s">
        <v>739</v>
      </c>
      <c r="C37" s="21">
        <f ca="1">ROUND(C13*F37,2)</f>
        <v>1.94</v>
      </c>
      <c r="D37" s="1248" t="s">
        <v>740</v>
      </c>
      <c r="E37" s="288" t="s">
        <v>741</v>
      </c>
      <c r="F37" s="315">
        <f ca="1">INDIRECT("'数据-取费表'!Al"&amp;$G$1)</f>
        <v>1E-3</v>
      </c>
      <c r="G37" s="1284"/>
      <c r="H37" s="2454"/>
      <c r="I37" s="1297"/>
      <c r="J37" s="1298"/>
      <c r="K37" s="2314"/>
      <c r="L37" s="2454"/>
      <c r="M37" s="2454"/>
    </row>
    <row r="38" spans="1:18" ht="18" customHeight="1" thickBot="1">
      <c r="A38" s="1019" t="s">
        <v>681</v>
      </c>
      <c r="B38" s="1020" t="s">
        <v>725</v>
      </c>
      <c r="C38" s="1021">
        <f ca="1">ROUND(C5*F38,2)</f>
        <v>4.24</v>
      </c>
      <c r="D38" s="1022" t="s">
        <v>745</v>
      </c>
      <c r="E38" s="1020" t="s">
        <v>741</v>
      </c>
      <c r="F38" s="1016">
        <f ca="1">INDIRECT("'数据-取费表'!Am"&amp;$G$1)</f>
        <v>0.01</v>
      </c>
      <c r="G38" s="1284"/>
      <c r="H38" s="2454"/>
      <c r="I38" s="1297"/>
      <c r="J38" s="1298"/>
      <c r="K38" s="2452"/>
      <c r="L38" s="2454"/>
      <c r="M38" s="2454"/>
    </row>
    <row r="39" spans="1:18" ht="24.6" customHeight="1" thickTop="1">
      <c r="A39" s="1009" t="s">
        <v>394</v>
      </c>
      <c r="B39" s="1024" t="s">
        <v>769</v>
      </c>
      <c r="C39" s="296">
        <f ca="1">C5-C30</f>
        <v>336</v>
      </c>
      <c r="D39" s="1025" t="s">
        <v>770</v>
      </c>
      <c r="E39" s="1026"/>
      <c r="F39" s="1027"/>
      <c r="G39" s="1284"/>
      <c r="H39" s="2454"/>
      <c r="I39" s="1297"/>
      <c r="J39" s="1298"/>
      <c r="K39" s="2452"/>
      <c r="L39" s="2454"/>
      <c r="M39" s="2454"/>
    </row>
    <row r="40" spans="1:18" ht="18" customHeight="1">
      <c r="A40" s="285" t="s">
        <v>395</v>
      </c>
      <c r="B40" s="286" t="s">
        <v>771</v>
      </c>
      <c r="C40" s="287">
        <f ca="1">ROUND(C39*(1-((1+F42)/(1+F40))^F41)/(F40-F42),0)</f>
        <v>5696</v>
      </c>
      <c r="D40" s="310" t="s">
        <v>755</v>
      </c>
      <c r="E40" s="288" t="s">
        <v>756</v>
      </c>
      <c r="F40" s="298">
        <f ca="1">INDIRECT("'数据-取费表'!I"&amp;$G$1)</f>
        <v>5.5E-2</v>
      </c>
      <c r="G40" s="1284"/>
      <c r="H40" s="1358"/>
      <c r="I40" s="1297"/>
      <c r="J40" s="1298"/>
      <c r="K40" s="2452"/>
      <c r="L40" s="1358"/>
      <c r="M40" s="1358"/>
    </row>
    <row r="41" spans="1:18" ht="18" customHeight="1">
      <c r="A41" s="290"/>
      <c r="B41" s="291"/>
      <c r="C41" s="292"/>
      <c r="D41" s="317" t="s">
        <v>772</v>
      </c>
      <c r="E41" s="288" t="s">
        <v>760</v>
      </c>
      <c r="F41" s="318">
        <f ca="1">IF(INDIRECT("'数据-取费表'!af"&amp;$G$1)=0,INDIRECT("'数据-取费表'!ae"&amp;$G$1),INDIRECT("'数据-取费表'!af"&amp;$G$1))</f>
        <v>26.67</v>
      </c>
      <c r="G41" s="1284"/>
      <c r="H41" s="115"/>
      <c r="I41" s="1297"/>
      <c r="J41" s="1298"/>
      <c r="K41" s="2314"/>
      <c r="L41" s="115"/>
      <c r="M41" s="115"/>
    </row>
    <row r="42" spans="1:18" ht="18" customHeight="1">
      <c r="A42" s="294"/>
      <c r="B42" s="295"/>
      <c r="C42" s="296"/>
      <c r="D42" s="313"/>
      <c r="E42" s="288" t="s">
        <v>763</v>
      </c>
      <c r="F42" s="298">
        <f ca="1">INDIRECT("'数据-取费表'!v"&amp;$G$1)</f>
        <v>0.02</v>
      </c>
      <c r="G42" s="1284"/>
      <c r="H42" s="115"/>
      <c r="I42" s="1297"/>
      <c r="J42" s="1298"/>
      <c r="K42" s="2314"/>
      <c r="L42" s="115"/>
      <c r="M42" s="115"/>
    </row>
    <row r="43" spans="1:18" ht="18" customHeight="1" thickBot="1">
      <c r="A43" s="319" t="s">
        <v>396</v>
      </c>
      <c r="B43" s="320" t="s">
        <v>773</v>
      </c>
      <c r="C43" s="321">
        <f ca="1">ROUND(C40*10000/F43,0)</f>
        <v>19969</v>
      </c>
      <c r="D43" s="322" t="s">
        <v>774</v>
      </c>
      <c r="E43" s="323" t="s">
        <v>775</v>
      </c>
      <c r="F43" s="324">
        <f ca="1">INDIRECT("'数据-取费表'!k"&amp;$G$1)</f>
        <v>2852.38</v>
      </c>
      <c r="G43" s="1284"/>
      <c r="H43" s="115"/>
      <c r="I43" s="115"/>
      <c r="J43" s="115"/>
      <c r="K43" s="2314"/>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58" t="s">
        <v>805</v>
      </c>
      <c r="P45" s="1358"/>
      <c r="Q45" s="1358"/>
      <c r="R45" s="1358"/>
    </row>
    <row r="46" spans="1:18" s="1284" customFormat="1" ht="13.5" thickBot="1">
      <c r="A46" s="1303" t="s">
        <v>806</v>
      </c>
      <c r="C46" s="1304">
        <f ca="1">C68-C40</f>
        <v>-5876</v>
      </c>
      <c r="D46" s="1305" t="str">
        <f>C2</f>
        <v>万元</v>
      </c>
      <c r="E46" s="1299"/>
      <c r="F46" s="1299"/>
      <c r="I46" s="1306" t="s">
        <v>807</v>
      </c>
      <c r="J46" s="1307"/>
      <c r="K46" s="1308"/>
      <c r="L46" s="1309">
        <f ca="1">IF(M47="住宅",0,IF(L48&gt;J51,L60,J60))</f>
        <v>137</v>
      </c>
      <c r="O46" s="1310" t="s">
        <v>808</v>
      </c>
      <c r="P46" s="1311" t="s">
        <v>809</v>
      </c>
      <c r="Q46" s="1312" t="s">
        <v>810</v>
      </c>
      <c r="R46" s="1312" t="s">
        <v>811</v>
      </c>
    </row>
    <row r="47" spans="1:18" s="1284" customFormat="1" ht="13.5" thickBot="1">
      <c r="A47" s="885" t="s">
        <v>684</v>
      </c>
      <c r="B47" s="917" t="s">
        <v>685</v>
      </c>
      <c r="C47" s="1047" t="s">
        <v>686</v>
      </c>
      <c r="D47" s="917" t="s">
        <v>687</v>
      </c>
      <c r="E47" s="988" t="s">
        <v>688</v>
      </c>
      <c r="F47" s="989"/>
      <c r="G47" s="673"/>
      <c r="I47" s="1313" t="s">
        <v>812</v>
      </c>
      <c r="J47" s="1314" t="s">
        <v>3706</v>
      </c>
      <c r="K47" s="1315" t="s">
        <v>813</v>
      </c>
      <c r="L47" s="1316">
        <f ca="1">INDIRECT("'数据-取费表'!d"&amp;$G$1)</f>
        <v>40</v>
      </c>
      <c r="M47" s="1280" t="str">
        <f>IF(ISNUMBER(FIND("住宅",C1)),"住宅","非住宅")</f>
        <v>非住宅</v>
      </c>
      <c r="O47" s="1317" t="s">
        <v>403</v>
      </c>
      <c r="P47" s="1318" t="s">
        <v>814</v>
      </c>
      <c r="Q47" s="1319">
        <f ca="1">C40+J29</f>
        <v>5696</v>
      </c>
      <c r="R47" s="1319" t="s">
        <v>815</v>
      </c>
    </row>
    <row r="48" spans="1:18" s="1284" customFormat="1" ht="28.5" thickBot="1">
      <c r="A48" s="1040" t="s">
        <v>438</v>
      </c>
      <c r="B48" s="286" t="s">
        <v>689</v>
      </c>
      <c r="C48" s="1260">
        <f ca="1">C49+C53+C55</f>
        <v>0</v>
      </c>
      <c r="D48" s="1042"/>
      <c r="E48" s="1043"/>
      <c r="F48" s="901"/>
      <c r="G48" s="673"/>
      <c r="H48" s="674"/>
      <c r="I48" s="1320" t="s">
        <v>816</v>
      </c>
      <c r="J48" s="1321" t="s">
        <v>3707</v>
      </c>
      <c r="K48" s="1322" t="s">
        <v>817</v>
      </c>
      <c r="L48" s="1323">
        <f ca="1">INDIRECT("'数据-取费表'!f"&amp;$G$1)</f>
        <v>26.67</v>
      </c>
      <c r="O48" s="1317" t="s">
        <v>404</v>
      </c>
      <c r="P48" s="1318" t="s">
        <v>818</v>
      </c>
      <c r="Q48" s="1319">
        <f ca="1">J60</f>
        <v>137</v>
      </c>
      <c r="R48" s="1319" t="s">
        <v>819</v>
      </c>
    </row>
    <row r="49" spans="1:18" s="1284" customFormat="1" ht="13.5" thickBot="1">
      <c r="A49" s="914" t="s">
        <v>439</v>
      </c>
      <c r="B49" s="1271" t="s">
        <v>776</v>
      </c>
      <c r="C49" s="1044">
        <f ca="1">ROUND(F49*F51*F50*(1-F52)/10000,0)</f>
        <v>0</v>
      </c>
      <c r="D49" s="985" t="s">
        <v>2104</v>
      </c>
      <c r="E49" s="1272" t="s">
        <v>777</v>
      </c>
      <c r="F49" s="990"/>
      <c r="H49" s="674"/>
      <c r="I49" s="1320" t="s">
        <v>820</v>
      </c>
      <c r="J49" s="1324">
        <f>'数据-取费表'!N19</f>
        <v>2016</v>
      </c>
      <c r="K49" s="1322" t="s">
        <v>821</v>
      </c>
      <c r="L49" s="1325"/>
      <c r="O49" s="1326" t="s">
        <v>405</v>
      </c>
      <c r="P49" s="1318" t="s">
        <v>822</v>
      </c>
      <c r="Q49" s="1319">
        <f ca="1">C29</f>
        <v>2233</v>
      </c>
      <c r="R49" s="1319" t="s">
        <v>815</v>
      </c>
    </row>
    <row r="50" spans="1:18" s="1284" customFormat="1" ht="13.5" thickBot="1">
      <c r="A50" s="915"/>
      <c r="B50" s="918"/>
      <c r="C50" s="1048"/>
      <c r="D50" s="892"/>
      <c r="E50" s="986" t="s">
        <v>694</v>
      </c>
      <c r="F50" s="987">
        <f ca="1">F7</f>
        <v>2852.38</v>
      </c>
      <c r="H50" s="674"/>
      <c r="I50" s="1320" t="s">
        <v>823</v>
      </c>
      <c r="J50" s="1327">
        <f>SUMPRODUCT((I63:I65=J47)*(J62:L62=J48)*(J63:L65))</f>
        <v>60</v>
      </c>
      <c r="K50" s="1322" t="s">
        <v>824</v>
      </c>
      <c r="L50" s="1325"/>
      <c r="M50" s="1328"/>
      <c r="O50" s="1326" t="s">
        <v>406</v>
      </c>
      <c r="P50" s="1318" t="s">
        <v>825</v>
      </c>
      <c r="Q50" s="1329">
        <f ca="1">J58</f>
        <v>0.42199999999999999</v>
      </c>
      <c r="R50" s="1319"/>
    </row>
    <row r="51" spans="1:18" s="1284" customFormat="1" ht="13.5" thickBot="1">
      <c r="A51" s="916"/>
      <c r="B51" s="918"/>
      <c r="C51" s="919"/>
      <c r="D51" s="892"/>
      <c r="E51" s="920" t="s">
        <v>695</v>
      </c>
      <c r="F51" s="289">
        <f ca="1">F8</f>
        <v>365</v>
      </c>
      <c r="I51" s="1330" t="s">
        <v>826</v>
      </c>
      <c r="J51" s="1323">
        <f>IF(J49="",J50,J49+J50-YEAR('数据-取费表'!B2))</f>
        <v>52</v>
      </c>
      <c r="K51" s="1331" t="s">
        <v>827</v>
      </c>
      <c r="L51" s="1332">
        <f ca="1">ROUND(-PV(INDIRECT("'数据-取费表'!h"&amp;$G$1),J51,(C39-C13*C76),0),0)</f>
        <v>3504</v>
      </c>
      <c r="M51" s="1333"/>
      <c r="O51" s="1326" t="s">
        <v>407</v>
      </c>
      <c r="P51" s="1318" t="s">
        <v>828</v>
      </c>
      <c r="Q51" s="1329">
        <f>J52</f>
        <v>7.4999999999999997E-2</v>
      </c>
      <c r="R51" s="1319"/>
    </row>
    <row r="52" spans="1:18" s="1284" customFormat="1" ht="13.5" thickBot="1">
      <c r="A52" s="916"/>
      <c r="B52" s="918"/>
      <c r="C52" s="919"/>
      <c r="D52" s="892"/>
      <c r="E52" s="920" t="s">
        <v>696</v>
      </c>
      <c r="F52" s="984"/>
      <c r="I52" s="1334" t="s">
        <v>829</v>
      </c>
      <c r="J52" s="3274">
        <v>7.4999999999999997E-2</v>
      </c>
      <c r="K52" s="1334" t="s">
        <v>830</v>
      </c>
      <c r="L52" s="1335"/>
      <c r="O52" s="1326" t="s">
        <v>408</v>
      </c>
      <c r="P52" s="1318" t="s">
        <v>831</v>
      </c>
      <c r="Q52" s="1319">
        <f ca="1">J53</f>
        <v>26.67</v>
      </c>
      <c r="R52" s="1319" t="s">
        <v>832</v>
      </c>
    </row>
    <row r="53" spans="1:18" s="1284" customFormat="1" ht="24.75" thickBot="1">
      <c r="A53" s="1072" t="s">
        <v>440</v>
      </c>
      <c r="B53" s="1273" t="s">
        <v>697</v>
      </c>
      <c r="C53" s="302">
        <f ca="1">ROUND(IF(F53="押一",C49/12*F11,IF(F53="押二",C49/12*2*F11,IF(F53="押三",C49/12*3*F11,C54*F11))),0)</f>
        <v>0</v>
      </c>
      <c r="D53" s="144" t="s">
        <v>2110</v>
      </c>
      <c r="E53" s="299" t="s">
        <v>698</v>
      </c>
      <c r="F53" s="1046"/>
      <c r="I53" s="1336" t="s">
        <v>833</v>
      </c>
      <c r="J53" s="1998">
        <f ca="1">IF(M47="住宅",IF(D1="——",MAX(J51,L48),MAX(J51,L48-'数据-取费表'!B24)),IF(D1="——",MIN(J51,L48),MIN(J51,L48-'数据-取费表'!B24)))</f>
        <v>26.67</v>
      </c>
      <c r="K53" s="3486" t="s">
        <v>834</v>
      </c>
      <c r="L53" s="3487"/>
      <c r="O53" s="1317" t="s">
        <v>409</v>
      </c>
      <c r="P53" s="1318" t="s">
        <v>835</v>
      </c>
      <c r="Q53" s="1319">
        <f ca="1">Q47+Q48</f>
        <v>5833</v>
      </c>
      <c r="R53" s="1319" t="s">
        <v>410</v>
      </c>
    </row>
    <row r="54" spans="1:18" s="1284" customFormat="1" ht="13.5" thickBot="1">
      <c r="A54" s="1073"/>
      <c r="B54" s="1267" t="s">
        <v>676</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836</v>
      </c>
      <c r="P54" s="1281"/>
      <c r="Q54" s="1281"/>
      <c r="R54" s="1281"/>
    </row>
    <row r="55" spans="1:18" s="1284" customFormat="1" ht="13.5" thickBot="1">
      <c r="A55" s="1013" t="s">
        <v>437</v>
      </c>
      <c r="B55" s="1269" t="s">
        <v>700</v>
      </c>
      <c r="C55" s="1014"/>
      <c r="D55" s="144"/>
      <c r="E55" s="1274"/>
      <c r="F55" s="1337"/>
      <c r="I55" s="1340" t="s">
        <v>837</v>
      </c>
      <c r="J55" s="1341">
        <f ca="1">ROUND(IF(J47="钢混",J57/J50,1-(1-2%)*(J50-J57)/J50),3)</f>
        <v>0.42199999999999999</v>
      </c>
      <c r="K55" s="1342" t="s">
        <v>838</v>
      </c>
      <c r="L55" s="1343"/>
      <c r="O55" s="1310" t="s">
        <v>808</v>
      </c>
      <c r="P55" s="1311" t="s">
        <v>809</v>
      </c>
      <c r="Q55" s="1312" t="s">
        <v>810</v>
      </c>
      <c r="R55" s="1312" t="s">
        <v>811</v>
      </c>
    </row>
    <row r="56" spans="1:18" s="1284" customFormat="1" ht="25.5" thickTop="1" thickBot="1">
      <c r="A56" s="896">
        <v>2</v>
      </c>
      <c r="B56" s="897" t="s">
        <v>701</v>
      </c>
      <c r="C56" s="218">
        <f ca="1">C13</f>
        <v>1943</v>
      </c>
      <c r="D56" s="1344"/>
      <c r="E56" s="1345"/>
      <c r="F56" s="1337"/>
      <c r="I56" s="1346" t="s">
        <v>839</v>
      </c>
      <c r="J56" s="1347" t="s">
        <v>3708</v>
      </c>
      <c r="K56" s="1320" t="s">
        <v>840</v>
      </c>
      <c r="L56" s="1323" t="str">
        <f ca="1">IF(L48&lt;J51,"——",L48-J53)</f>
        <v>——</v>
      </c>
      <c r="O56" s="1317" t="s">
        <v>403</v>
      </c>
      <c r="P56" s="1318" t="s">
        <v>814</v>
      </c>
      <c r="Q56" s="1319">
        <f ca="1">C40+J29</f>
        <v>5696</v>
      </c>
      <c r="R56" s="1319" t="s">
        <v>815</v>
      </c>
    </row>
    <row r="57" spans="1:18" s="1284" customFormat="1" ht="24.75" thickBot="1">
      <c r="A57" s="1348"/>
      <c r="B57" s="889" t="s">
        <v>764</v>
      </c>
      <c r="C57" s="224">
        <f ca="1">C29</f>
        <v>2233</v>
      </c>
      <c r="D57" s="1349"/>
      <c r="E57" s="1350"/>
      <c r="F57" s="1351"/>
      <c r="I57" s="1352" t="s">
        <v>841</v>
      </c>
      <c r="J57" s="1353">
        <f ca="1">IF(OR(M47="住宅",J51&lt;L48,J56="是"),"——",J51-L48)</f>
        <v>25.33</v>
      </c>
      <c r="K57" s="1320" t="s">
        <v>842</v>
      </c>
      <c r="L57" s="1323" t="str">
        <f ca="1">IF(L48&lt;J51,"——",IF(L55="比较法",L49,IF(L55="基准地价",L50,L51)))</f>
        <v>——</v>
      </c>
      <c r="O57" s="1317" t="s">
        <v>404</v>
      </c>
      <c r="P57" s="1318" t="s">
        <v>843</v>
      </c>
      <c r="Q57" s="1319">
        <f ca="1">L60</f>
        <v>0</v>
      </c>
      <c r="R57" s="1319" t="s">
        <v>844</v>
      </c>
    </row>
    <row r="58" spans="1:18" s="1284" customFormat="1" ht="24.75" thickBot="1">
      <c r="A58" s="301" t="s">
        <v>393</v>
      </c>
      <c r="B58" s="897" t="s">
        <v>711</v>
      </c>
      <c r="C58" s="302">
        <f ca="1">ROUND(C59+C64+C65+C66,0)</f>
        <v>13</v>
      </c>
      <c r="D58" s="899" t="s">
        <v>712</v>
      </c>
      <c r="E58" s="900"/>
      <c r="F58" s="901"/>
      <c r="I58" s="1352" t="s">
        <v>845</v>
      </c>
      <c r="J58" s="1354">
        <f ca="1">IF(J55&lt;0.4,0.4,J55)</f>
        <v>0.42199999999999999</v>
      </c>
      <c r="K58" s="1331" t="s">
        <v>846</v>
      </c>
      <c r="L58" s="1323" t="e">
        <f ca="1">ROUND(POWER(1+L52,L47-L48)*(POWER(1+L52,L48)-1)/(POWER(1+L52,L47)-1),4)</f>
        <v>#DIV/0!</v>
      </c>
      <c r="O58" s="1326" t="s">
        <v>405</v>
      </c>
      <c r="P58" s="1318" t="s">
        <v>847</v>
      </c>
      <c r="Q58" s="1319">
        <f>IF(L55="比较法",L49,IF(L55="基准地价",L50,0))</f>
        <v>0</v>
      </c>
      <c r="R58" s="1319" t="s">
        <v>815</v>
      </c>
    </row>
    <row r="59" spans="1:18" s="1284" customFormat="1" ht="24.75" thickBot="1">
      <c r="A59" s="921" t="s">
        <v>398</v>
      </c>
      <c r="B59" s="889" t="s">
        <v>716</v>
      </c>
      <c r="C59" s="2132">
        <f ca="1">ROUND(IF(AND(项目基本情况!B11="自然人",项目基本情况!B10="北京市"),C49*F59/(1+'数据-取费表'!C42),C60+C61+C62),0)</f>
        <v>0</v>
      </c>
      <c r="D59" s="902" t="s">
        <v>717</v>
      </c>
      <c r="E59" s="903" t="s">
        <v>718</v>
      </c>
      <c r="F59" s="2131" t="str">
        <f>IF(项目基本情况!B11="企业","——",IF('数据-取费表'!B10="住宅",IF(F49*F50*F51/12/(1+'数据-取费表'!F30)&gt;100000,4%,2.5%),IF(F49*F50*F51/12/(1+'数据-取费表'!F30)&gt;100000,12%,7%)))</f>
        <v>——</v>
      </c>
      <c r="I59" s="1352" t="s">
        <v>848</v>
      </c>
      <c r="J59" s="1353">
        <f ca="1">IF(OR(M47="住宅",J51&lt;L48,J56="是"),"——",ROUND(C29*J58,0))</f>
        <v>942</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849</v>
      </c>
      <c r="Q59" s="1329">
        <f>L52</f>
        <v>0</v>
      </c>
      <c r="R59" s="1319"/>
    </row>
    <row r="60" spans="1:18" s="1284" customFormat="1" ht="16.5" thickBot="1">
      <c r="A60" s="921" t="s">
        <v>397</v>
      </c>
      <c r="B60" s="889" t="s">
        <v>720</v>
      </c>
      <c r="C60" s="21">
        <f ca="1">IF(项目基本情况!B11="自然人","——",ROUND(C48*F60/(1+'数据-取费表'!C42),2))</f>
        <v>0</v>
      </c>
      <c r="D60" s="903" t="s">
        <v>721</v>
      </c>
      <c r="E60" s="889" t="s">
        <v>709</v>
      </c>
      <c r="F60" s="316">
        <f t="shared" ref="F60:F66" si="0">F32</f>
        <v>5.6000000000000001E-2</v>
      </c>
      <c r="I60" s="1355" t="s">
        <v>850</v>
      </c>
      <c r="J60" s="1356">
        <f ca="1">IF(OR(M47="住宅",J51&lt;L48,J56="是"),"0",ROUND(J59/(1+J52)^J53,0))</f>
        <v>137</v>
      </c>
      <c r="K60" s="1357" t="s">
        <v>851</v>
      </c>
      <c r="L60" s="1356">
        <f ca="1">IF(OR(M47="住宅",L48&lt;J51),0,ROUND(L57*(L58/L59-1),0))</f>
        <v>0</v>
      </c>
      <c r="O60" s="1326" t="s">
        <v>407</v>
      </c>
      <c r="P60" s="1318" t="s">
        <v>852</v>
      </c>
      <c r="Q60" s="1319" t="e">
        <f ca="1">L58</f>
        <v>#DIV/0!</v>
      </c>
      <c r="R60" s="1319" t="s">
        <v>853</v>
      </c>
    </row>
    <row r="61" spans="1:18" s="1284" customFormat="1" ht="13.5" thickBot="1">
      <c r="A61" s="921" t="s">
        <v>778</v>
      </c>
      <c r="B61" s="889" t="s">
        <v>779</v>
      </c>
      <c r="C61" s="21">
        <f ca="1">IF(项目基本情况!B11="自然人","——",IF(D61="按租金收入计税",ROUND(C49*F61/(1+'数据-取费表'!C42),2),IF(D61="按房产原值计税",ROUND(C57*F61*0.7,2),INDIRECT("'数据-取费表'!Aj"&amp;$G$1))))</f>
        <v>0</v>
      </c>
      <c r="D61" s="1270" t="s">
        <v>3333</v>
      </c>
      <c r="E61" s="889" t="s">
        <v>780</v>
      </c>
      <c r="F61" s="308">
        <f t="shared" si="0"/>
        <v>0.12</v>
      </c>
      <c r="I61" s="1358"/>
      <c r="J61" s="1358"/>
      <c r="K61" s="1358"/>
      <c r="L61" s="1358"/>
      <c r="O61" s="1326" t="s">
        <v>408</v>
      </c>
      <c r="P61" s="1318" t="str">
        <f>K59</f>
        <v>建筑物剩余耐用年限下的土地年期修正系数Kn</v>
      </c>
      <c r="Q61" s="1319" t="e">
        <f ca="1">L59</f>
        <v>#DIV/0!</v>
      </c>
      <c r="R61" s="1319" t="s">
        <v>854</v>
      </c>
    </row>
    <row r="62" spans="1:18" s="1284" customFormat="1" ht="13.5" thickBot="1">
      <c r="A62" s="921" t="s">
        <v>781</v>
      </c>
      <c r="B62" s="888" t="s">
        <v>782</v>
      </c>
      <c r="C62" s="22">
        <f ca="1">IF(项目基本情况!B11="自然人","——",ROUND(F62*F63/10000,2))</f>
        <v>0</v>
      </c>
      <c r="D62" s="904" t="s">
        <v>783</v>
      </c>
      <c r="E62" s="889" t="s">
        <v>784</v>
      </c>
      <c r="F62" s="311">
        <f t="shared" si="0"/>
        <v>3</v>
      </c>
      <c r="I62" s="1359" t="s">
        <v>855</v>
      </c>
      <c r="J62" s="604" t="s">
        <v>856</v>
      </c>
      <c r="K62" s="604" t="s">
        <v>857</v>
      </c>
      <c r="L62" s="604" t="s">
        <v>858</v>
      </c>
      <c r="M62" s="1360" t="s">
        <v>859</v>
      </c>
      <c r="O62" s="1317" t="s">
        <v>409</v>
      </c>
      <c r="P62" s="1318" t="s">
        <v>860</v>
      </c>
      <c r="Q62" s="1319">
        <f ca="1">Q56+Q57</f>
        <v>5696</v>
      </c>
      <c r="R62" s="1319" t="s">
        <v>410</v>
      </c>
    </row>
    <row r="63" spans="1:18" s="1284" customFormat="1" ht="13.5" thickBot="1">
      <c r="A63" s="312"/>
      <c r="B63" s="895"/>
      <c r="C63" s="26"/>
      <c r="D63" s="905"/>
      <c r="E63" s="889" t="s">
        <v>785</v>
      </c>
      <c r="F63" s="289">
        <f t="shared" ca="1" si="0"/>
        <v>0</v>
      </c>
      <c r="I63" s="1359" t="s">
        <v>861</v>
      </c>
      <c r="J63" s="604">
        <v>70</v>
      </c>
      <c r="K63" s="604">
        <v>50</v>
      </c>
      <c r="L63" s="604">
        <v>80</v>
      </c>
      <c r="M63" s="1361">
        <v>0.02</v>
      </c>
      <c r="O63" s="1302" t="s">
        <v>862</v>
      </c>
      <c r="P63" s="1281"/>
      <c r="Q63" s="1281"/>
      <c r="R63" s="1281"/>
    </row>
    <row r="64" spans="1:18" s="1284" customFormat="1" ht="13.5" thickBot="1">
      <c r="A64" s="921" t="s">
        <v>786</v>
      </c>
      <c r="B64" s="889" t="s">
        <v>787</v>
      </c>
      <c r="C64" s="21">
        <f ca="1">ROUND(C57*F64,2)</f>
        <v>11.17</v>
      </c>
      <c r="D64" s="903" t="s">
        <v>788</v>
      </c>
      <c r="E64" s="889" t="s">
        <v>780</v>
      </c>
      <c r="F64" s="314">
        <f t="shared" ca="1" si="0"/>
        <v>5.0000000000000001E-3</v>
      </c>
      <c r="I64" s="1359" t="s">
        <v>863</v>
      </c>
      <c r="J64" s="604">
        <v>50</v>
      </c>
      <c r="K64" s="604">
        <v>35</v>
      </c>
      <c r="L64" s="604">
        <v>60</v>
      </c>
      <c r="M64" s="1360">
        <v>0</v>
      </c>
      <c r="O64" s="1310" t="s">
        <v>808</v>
      </c>
      <c r="P64" s="1311" t="s">
        <v>809</v>
      </c>
      <c r="Q64" s="1312" t="s">
        <v>810</v>
      </c>
      <c r="R64" s="1312" t="s">
        <v>811</v>
      </c>
    </row>
    <row r="65" spans="1:18" s="1284" customFormat="1" ht="13.5" thickBot="1">
      <c r="A65" s="921" t="s">
        <v>789</v>
      </c>
      <c r="B65" s="889" t="s">
        <v>739</v>
      </c>
      <c r="C65" s="21">
        <f ca="1">ROUND(C56*F65,2)</f>
        <v>1.94</v>
      </c>
      <c r="D65" s="903" t="s">
        <v>740</v>
      </c>
      <c r="E65" s="889" t="s">
        <v>741</v>
      </c>
      <c r="F65" s="315">
        <f t="shared" ca="1" si="0"/>
        <v>1E-3</v>
      </c>
      <c r="I65" s="1359" t="s">
        <v>864</v>
      </c>
      <c r="J65" s="604">
        <v>40</v>
      </c>
      <c r="K65" s="604">
        <v>30</v>
      </c>
      <c r="L65" s="604">
        <v>50</v>
      </c>
      <c r="M65" s="1361">
        <v>0.02</v>
      </c>
      <c r="O65" s="1317" t="s">
        <v>403</v>
      </c>
      <c r="P65" s="1318" t="s">
        <v>865</v>
      </c>
      <c r="Q65" s="1319">
        <f ca="1">C40+J29</f>
        <v>5696</v>
      </c>
      <c r="R65" s="1319" t="s">
        <v>815</v>
      </c>
    </row>
    <row r="66" spans="1:18" s="1284" customFormat="1" ht="16.5" thickBot="1">
      <c r="A66" s="921" t="s">
        <v>790</v>
      </c>
      <c r="B66" s="889" t="s">
        <v>725</v>
      </c>
      <c r="C66" s="21">
        <f ca="1">ROUND(C48*F66,2)</f>
        <v>0</v>
      </c>
      <c r="D66" s="903" t="s">
        <v>791</v>
      </c>
      <c r="E66" s="889" t="s">
        <v>709</v>
      </c>
      <c r="F66" s="298">
        <f t="shared" ca="1" si="0"/>
        <v>0.01</v>
      </c>
      <c r="O66" s="1317" t="s">
        <v>404</v>
      </c>
      <c r="P66" s="1318" t="s">
        <v>843</v>
      </c>
      <c r="Q66" s="1319">
        <f ca="1">L60</f>
        <v>0</v>
      </c>
      <c r="R66" s="1319" t="s">
        <v>866</v>
      </c>
    </row>
    <row r="67" spans="1:18" s="1284" customFormat="1" ht="16.5" thickBot="1">
      <c r="A67" s="896" t="s">
        <v>394</v>
      </c>
      <c r="B67" s="906" t="s">
        <v>749</v>
      </c>
      <c r="C67" s="302">
        <f ca="1">C48-C58</f>
        <v>-13</v>
      </c>
      <c r="D67" s="902" t="s">
        <v>750</v>
      </c>
      <c r="E67" s="907"/>
      <c r="F67" s="908"/>
      <c r="O67" s="1326" t="s">
        <v>405</v>
      </c>
      <c r="P67" s="1318" t="s">
        <v>847</v>
      </c>
      <c r="Q67" s="1362">
        <f ca="1">L51</f>
        <v>3504</v>
      </c>
      <c r="R67" s="1319" t="s">
        <v>867</v>
      </c>
    </row>
    <row r="68" spans="1:18" s="1284" customFormat="1" ht="16.5" thickBot="1">
      <c r="A68" s="886" t="s">
        <v>395</v>
      </c>
      <c r="B68" s="887" t="s">
        <v>771</v>
      </c>
      <c r="C68" s="287">
        <f ca="1">ROUND(C67*(1-((1+F70)/(1+F68))^F69)/(F68-F70),0)</f>
        <v>-180</v>
      </c>
      <c r="D68" s="904" t="s">
        <v>755</v>
      </c>
      <c r="E68" s="889" t="s">
        <v>756</v>
      </c>
      <c r="F68" s="298">
        <f ca="1">F40</f>
        <v>5.5E-2</v>
      </c>
      <c r="O68" s="1326" t="s">
        <v>406</v>
      </c>
      <c r="P68" s="1363" t="s">
        <v>868</v>
      </c>
      <c r="Q68" s="1319">
        <f ca="1">ROUND(Q69-Q70*Q71,0)</f>
        <v>190</v>
      </c>
      <c r="R68" s="1319" t="s">
        <v>414</v>
      </c>
    </row>
    <row r="69" spans="1:18" s="1284" customFormat="1" ht="13.5" thickBot="1">
      <c r="A69" s="890"/>
      <c r="B69" s="891"/>
      <c r="C69" s="292"/>
      <c r="D69" s="909" t="s">
        <v>759</v>
      </c>
      <c r="E69" s="889" t="s">
        <v>760</v>
      </c>
      <c r="F69" s="318">
        <f ca="1">F41</f>
        <v>26.67</v>
      </c>
      <c r="O69" s="1326" t="s">
        <v>411</v>
      </c>
      <c r="P69" s="1363" t="s">
        <v>869</v>
      </c>
      <c r="Q69" s="1319">
        <f ca="1">C39</f>
        <v>336</v>
      </c>
      <c r="R69" s="1319" t="s">
        <v>815</v>
      </c>
    </row>
    <row r="70" spans="1:18" s="1284" customFormat="1" ht="13.5" thickBot="1">
      <c r="A70" s="893"/>
      <c r="B70" s="894"/>
      <c r="C70" s="296"/>
      <c r="D70" s="905"/>
      <c r="E70" s="889" t="s">
        <v>763</v>
      </c>
      <c r="F70" s="984"/>
      <c r="O70" s="1326" t="s">
        <v>412</v>
      </c>
      <c r="P70" s="1363" t="s">
        <v>870</v>
      </c>
      <c r="Q70" s="1319">
        <f ca="1">C13</f>
        <v>1943</v>
      </c>
      <c r="R70" s="1319" t="s">
        <v>815</v>
      </c>
    </row>
    <row r="71" spans="1:18" s="1284" customFormat="1" ht="13.5" thickBot="1">
      <c r="A71" s="910" t="s">
        <v>396</v>
      </c>
      <c r="B71" s="911" t="s">
        <v>773</v>
      </c>
      <c r="C71" s="321">
        <f ca="1">ROUND(C68*10000/F71,0)</f>
        <v>-631</v>
      </c>
      <c r="D71" s="912" t="s">
        <v>774</v>
      </c>
      <c r="E71" s="913" t="s">
        <v>775</v>
      </c>
      <c r="F71" s="324">
        <f ca="1">F43</f>
        <v>2852.38</v>
      </c>
      <c r="O71" s="1326" t="s">
        <v>413</v>
      </c>
      <c r="P71" s="1363" t="s">
        <v>871</v>
      </c>
      <c r="Q71" s="1329">
        <f ca="1">C76</f>
        <v>7.4999999999999997E-2</v>
      </c>
      <c r="R71" s="1319"/>
    </row>
    <row r="72" spans="1:18" s="1284" customFormat="1" ht="13.5" thickBot="1">
      <c r="B72" s="677"/>
      <c r="C72" s="677"/>
      <c r="O72" s="1326" t="s">
        <v>407</v>
      </c>
      <c r="P72" s="1318" t="s">
        <v>849</v>
      </c>
      <c r="Q72" s="1329">
        <f>L52</f>
        <v>0</v>
      </c>
      <c r="R72" s="1319"/>
    </row>
    <row r="73" spans="1:18" ht="16.5" thickBot="1">
      <c r="A73" s="1284"/>
      <c r="B73" s="677"/>
      <c r="C73" s="677"/>
      <c r="D73" s="1284"/>
      <c r="E73" s="1284"/>
      <c r="F73" s="1284"/>
      <c r="O73" s="1326" t="s">
        <v>408</v>
      </c>
      <c r="P73" s="1318" t="s">
        <v>852</v>
      </c>
      <c r="Q73" s="1319" t="e">
        <f ca="1">L58</f>
        <v>#DIV/0!</v>
      </c>
      <c r="R73" s="1319" t="s">
        <v>853</v>
      </c>
    </row>
    <row r="74" spans="1:18" ht="13.5" thickBot="1">
      <c r="A74" s="1284"/>
      <c r="B74" s="259" t="s">
        <v>872</v>
      </c>
      <c r="C74" s="1365"/>
      <c r="D74" s="1284"/>
      <c r="E74" s="1284"/>
      <c r="F74" s="1284"/>
      <c r="O74" s="1326" t="s">
        <v>415</v>
      </c>
      <c r="P74" s="1318" t="str">
        <f>K59</f>
        <v>建筑物剩余耐用年限下的土地年期修正系数Kn</v>
      </c>
      <c r="Q74" s="1319" t="e">
        <f ca="1">L59</f>
        <v>#DIV/0!</v>
      </c>
      <c r="R74" s="1319" t="s">
        <v>854</v>
      </c>
    </row>
    <row r="75" spans="1:18" ht="13.5" thickBot="1">
      <c r="A75" s="1284"/>
      <c r="B75" s="325" t="s">
        <v>792</v>
      </c>
      <c r="C75" s="326">
        <f ca="1">ROUND(C13*C76,0)</f>
        <v>146</v>
      </c>
      <c r="D75" s="1284"/>
      <c r="E75" s="1284"/>
      <c r="F75" s="1284"/>
      <c r="K75" s="1301"/>
      <c r="L75" s="1284"/>
      <c r="O75" s="1317" t="s">
        <v>409</v>
      </c>
      <c r="P75" s="1318" t="s">
        <v>835</v>
      </c>
      <c r="Q75" s="1319">
        <f ca="1">Q65+Q66</f>
        <v>5696</v>
      </c>
      <c r="R75" s="1319" t="s">
        <v>410</v>
      </c>
    </row>
    <row r="76" spans="1:18">
      <c r="B76" s="327" t="s">
        <v>793</v>
      </c>
      <c r="C76" s="328">
        <f ca="1">INDIRECT("'数据-取费表'!j"&amp;$G$1)</f>
        <v>7.4999999999999997E-2</v>
      </c>
      <c r="I76" s="1284"/>
      <c r="J76" s="1284"/>
      <c r="K76" s="1301"/>
      <c r="L76" s="1284"/>
    </row>
    <row r="77" spans="1:18">
      <c r="B77" s="329" t="s">
        <v>794</v>
      </c>
      <c r="C77" s="330"/>
      <c r="I77" s="1284"/>
      <c r="J77" s="1284"/>
      <c r="K77" s="1301"/>
      <c r="L77" s="1284"/>
    </row>
    <row r="78" spans="1:18">
      <c r="B78" s="256" t="s">
        <v>795</v>
      </c>
      <c r="C78" s="331"/>
    </row>
    <row r="79" spans="1:18">
      <c r="B79" s="325" t="s">
        <v>796</v>
      </c>
      <c r="C79" s="260">
        <f ca="1">1-C80</f>
        <v>0.56499999999999995</v>
      </c>
    </row>
    <row r="80" spans="1:18">
      <c r="B80" s="325" t="s">
        <v>797</v>
      </c>
      <c r="C80" s="260">
        <f ca="1">ROUND(C75/C39,3)</f>
        <v>0.435</v>
      </c>
    </row>
    <row r="81" spans="2:3">
      <c r="B81" s="256" t="s">
        <v>798</v>
      </c>
      <c r="C81" s="224"/>
    </row>
    <row r="82" spans="2:3">
      <c r="B82" s="259" t="s">
        <v>799</v>
      </c>
      <c r="C82" s="261">
        <f ca="1">1-C83</f>
        <v>0.65900000000000003</v>
      </c>
    </row>
    <row r="83" spans="2:3">
      <c r="B83" s="259" t="s">
        <v>800</v>
      </c>
      <c r="C83" s="260">
        <f ca="1">ROUND(C13/C40,3)</f>
        <v>0.34100000000000003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5"/>
    <col min="36" max="16384" width="12.625" style="1553"/>
  </cols>
  <sheetData>
    <row r="1" spans="1:12" ht="21.75" customHeight="1" thickBot="1">
      <c r="A1" s="1513" t="s">
        <v>1259</v>
      </c>
      <c r="B1" s="638"/>
      <c r="C1" s="1612" t="s">
        <v>3742</v>
      </c>
      <c r="D1" s="638"/>
      <c r="E1" s="638"/>
      <c r="F1" s="1613" t="s">
        <v>1260</v>
      </c>
      <c r="G1" s="1445"/>
      <c r="H1" s="1613" t="str">
        <f>IF(G1="现房","——","估价对象范围")</f>
        <v>估价对象范围</v>
      </c>
      <c r="I1" s="1614"/>
    </row>
    <row r="2" spans="1:12" ht="21.75" customHeight="1" thickBot="1">
      <c r="A2" s="3400" t="str">
        <f>项目基本情况!S2</f>
        <v>北京市朝阳区清林东路4号6号楼负2层B202、负3层B302商业用房房地产</v>
      </c>
      <c r="B2" s="3401"/>
      <c r="C2" s="3401"/>
      <c r="D2" s="3401"/>
      <c r="E2" s="3401"/>
      <c r="F2" s="3401"/>
      <c r="G2" s="3401"/>
      <c r="H2" s="3401"/>
      <c r="I2" s="3402"/>
    </row>
    <row r="3" spans="1:12" ht="12.75">
      <c r="A3" s="3404" t="s">
        <v>1261</v>
      </c>
      <c r="B3" s="3405"/>
      <c r="C3" s="3405"/>
      <c r="D3" s="3405"/>
      <c r="E3" s="3405"/>
      <c r="F3" s="3405"/>
      <c r="G3" s="3405"/>
      <c r="H3" s="3405"/>
      <c r="I3" s="3405"/>
    </row>
    <row r="4" spans="1:12" ht="14.25">
      <c r="A4" s="1616" t="s">
        <v>1262</v>
      </c>
      <c r="B4" s="1617" t="s">
        <v>1263</v>
      </c>
      <c r="C4" s="1618" t="s">
        <v>3740</v>
      </c>
      <c r="D4" s="1618" t="s">
        <v>3738</v>
      </c>
      <c r="E4" s="3409" t="s">
        <v>1264</v>
      </c>
      <c r="F4" s="3410"/>
      <c r="G4" s="3410"/>
      <c r="H4" s="3410"/>
      <c r="I4" s="3411"/>
      <c r="K4" s="132" t="str">
        <f>IF(ISNUMBER(FIND("比较法",'结果表-地下3层'!C4)),"比较法",IF(ISNUMBER(FIND("成本法",'结果表-地下3层'!C4)),"成本法",IF(ISNUMBER(FIND("假设开发法",'结果表-地下3层'!C4)),"假设开发法",IF(ISNUMBER(FIND("收益法",'结果表-地下3层'!C4)),"收益法","基准地价系数修正法"))))</f>
        <v>成本法</v>
      </c>
      <c r="L4" s="132" t="str">
        <f>IF(ISNUMBER(FIND("比较法",'结果表-地下3层'!D4)),"比较法",IF(ISNUMBER(FIND("成本法",'结果表-地下3层'!D4)),"成本法",IF(ISNUMBER(FIND("假设开发法",'结果表-地下3层'!D4)),"假设开发法",IF(ISNUMBER(FIND("收益法",'结果表-地下3层'!D4)),"收益法","基准地价系数修正法"))))</f>
        <v>收益法</v>
      </c>
    </row>
    <row r="5" spans="1:12" ht="12.75">
      <c r="A5" s="3380" t="s">
        <v>1265</v>
      </c>
      <c r="B5" s="3367">
        <v>25</v>
      </c>
      <c r="C5" s="3406"/>
      <c r="D5" s="3403"/>
      <c r="E5" s="117" t="s">
        <v>1266</v>
      </c>
      <c r="F5" s="1619"/>
      <c r="G5" s="1619"/>
      <c r="H5" s="1619"/>
      <c r="I5" s="1273"/>
    </row>
    <row r="6" spans="1:12" ht="12.75">
      <c r="A6" s="3380"/>
      <c r="B6" s="3367"/>
      <c r="C6" s="3408"/>
      <c r="D6" s="3403"/>
      <c r="E6" s="117" t="s">
        <v>1267</v>
      </c>
      <c r="F6" s="1619"/>
      <c r="G6" s="1619"/>
      <c r="H6" s="1619"/>
      <c r="I6" s="1273"/>
    </row>
    <row r="7" spans="1:12" ht="12.75">
      <c r="A7" s="3380"/>
      <c r="B7" s="3367"/>
      <c r="C7" s="3407"/>
      <c r="D7" s="3403"/>
      <c r="E7" s="117" t="s">
        <v>1268</v>
      </c>
      <c r="F7" s="1619"/>
      <c r="G7" s="1619"/>
      <c r="H7" s="1619"/>
      <c r="I7" s="1273"/>
    </row>
    <row r="8" spans="1:12" ht="12.75">
      <c r="A8" s="3380" t="s">
        <v>1269</v>
      </c>
      <c r="B8" s="3367">
        <v>15</v>
      </c>
      <c r="C8" s="3406"/>
      <c r="D8" s="3403"/>
      <c r="E8" s="117" t="s">
        <v>1270</v>
      </c>
      <c r="F8" s="1619"/>
      <c r="G8" s="1619"/>
      <c r="H8" s="1619"/>
      <c r="I8" s="1273"/>
    </row>
    <row r="9" spans="1:12" ht="12.75">
      <c r="A9" s="3380"/>
      <c r="B9" s="3367"/>
      <c r="C9" s="3407"/>
      <c r="D9" s="3403"/>
      <c r="E9" s="117" t="s">
        <v>1271</v>
      </c>
      <c r="F9" s="1619"/>
      <c r="G9" s="1619"/>
      <c r="H9" s="1619"/>
      <c r="I9" s="1273"/>
    </row>
    <row r="10" spans="1:12" ht="12.75">
      <c r="A10" s="3380" t="s">
        <v>1272</v>
      </c>
      <c r="B10" s="3367">
        <v>15</v>
      </c>
      <c r="C10" s="3406"/>
      <c r="D10" s="3403"/>
      <c r="E10" s="117" t="s">
        <v>1273</v>
      </c>
      <c r="F10" s="1619"/>
      <c r="G10" s="1619"/>
      <c r="H10" s="1619"/>
      <c r="I10" s="1273"/>
    </row>
    <row r="11" spans="1:12" ht="12.75">
      <c r="A11" s="3380"/>
      <c r="B11" s="3367"/>
      <c r="C11" s="3407"/>
      <c r="D11" s="3403"/>
      <c r="E11" s="117" t="s">
        <v>1274</v>
      </c>
      <c r="F11" s="1619"/>
      <c r="G11" s="1619"/>
      <c r="H11" s="1619"/>
      <c r="I11" s="1273"/>
    </row>
    <row r="12" spans="1:12" ht="12.75">
      <c r="A12" s="3380" t="s">
        <v>1275</v>
      </c>
      <c r="B12" s="3367">
        <v>15</v>
      </c>
      <c r="C12" s="3406"/>
      <c r="D12" s="3403"/>
      <c r="E12" s="117" t="s">
        <v>1276</v>
      </c>
      <c r="F12" s="1619"/>
      <c r="G12" s="1619"/>
      <c r="H12" s="1619"/>
      <c r="I12" s="1273"/>
    </row>
    <row r="13" spans="1:12" ht="12.75">
      <c r="A13" s="3380"/>
      <c r="B13" s="3367"/>
      <c r="C13" s="3407"/>
      <c r="D13" s="3403"/>
      <c r="E13" s="117" t="s">
        <v>1277</v>
      </c>
      <c r="F13" s="1619"/>
      <c r="G13" s="1619"/>
      <c r="H13" s="1619"/>
      <c r="I13" s="1273"/>
    </row>
    <row r="14" spans="1:12" ht="12.75">
      <c r="A14" s="3380" t="s">
        <v>1278</v>
      </c>
      <c r="B14" s="3367">
        <v>30</v>
      </c>
      <c r="C14" s="3406">
        <v>5</v>
      </c>
      <c r="D14" s="3403">
        <v>5</v>
      </c>
      <c r="E14" s="117" t="s">
        <v>1279</v>
      </c>
      <c r="F14" s="1619"/>
      <c r="G14" s="1619"/>
      <c r="H14" s="1619"/>
      <c r="I14" s="1273"/>
    </row>
    <row r="15" spans="1:12" ht="12.75">
      <c r="A15" s="3380"/>
      <c r="B15" s="3367"/>
      <c r="C15" s="3408"/>
      <c r="D15" s="3403"/>
      <c r="E15" s="117" t="s">
        <v>1280</v>
      </c>
      <c r="F15" s="1619"/>
      <c r="G15" s="1619"/>
      <c r="H15" s="1619"/>
      <c r="I15" s="1273"/>
    </row>
    <row r="16" spans="1:12" ht="12.75">
      <c r="A16" s="3380"/>
      <c r="B16" s="3367"/>
      <c r="C16" s="3407"/>
      <c r="D16" s="3403"/>
      <c r="E16" s="117" t="s">
        <v>1281</v>
      </c>
      <c r="F16" s="1619"/>
      <c r="G16" s="1619"/>
      <c r="H16" s="1619"/>
      <c r="I16" s="1273"/>
    </row>
    <row r="17" spans="1:36" ht="15">
      <c r="A17" s="1620" t="s">
        <v>1282</v>
      </c>
      <c r="B17" s="54"/>
      <c r="C17" s="118">
        <f>SUM(C5:C16)</f>
        <v>5</v>
      </c>
      <c r="D17" s="118">
        <f>SUM(D5:D16)</f>
        <v>5</v>
      </c>
      <c r="E17" s="115"/>
      <c r="F17" s="115"/>
      <c r="G17" s="115"/>
      <c r="H17" s="115"/>
      <c r="I17" s="115"/>
      <c r="K17" s="288"/>
      <c r="L17" s="288" t="s">
        <v>1283</v>
      </c>
      <c r="M17" s="288" t="s">
        <v>1284</v>
      </c>
    </row>
    <row r="18" spans="1:36" ht="31.9" customHeight="1" thickBot="1">
      <c r="A18" s="1621" t="s">
        <v>1285</v>
      </c>
      <c r="B18" s="1534"/>
      <c r="C18" s="119">
        <f>ROUND(C17/SUM(C17:D17),2)</f>
        <v>0.5</v>
      </c>
      <c r="D18" s="119">
        <f>1-C18</f>
        <v>0.5</v>
      </c>
      <c r="E18" s="3390" t="s">
        <v>2125</v>
      </c>
      <c r="F18" s="3391"/>
      <c r="G18" s="3391"/>
      <c r="H18" s="3391"/>
      <c r="I18" s="3391"/>
      <c r="J18" s="3144">
        <v>45192</v>
      </c>
      <c r="K18" s="288" t="s">
        <v>1286</v>
      </c>
      <c r="L18" s="288">
        <f>IF(C1="",'数据-汇总表'!E3,SUMIF(项目类型,C1,'数据-汇总表'!E17:E26)+SUMIF(项目类型,C1,'数据-汇总表'!I17:I26))</f>
        <v>3127.15</v>
      </c>
      <c r="M18" s="288">
        <f>IF(C1="",'数据-汇总表'!E3,SUMIF(项目类型,C1,'数据-汇总表'!E17:E26))</f>
        <v>3127.15</v>
      </c>
    </row>
    <row r="19" spans="1:36" ht="15">
      <c r="A19" s="1622" t="s">
        <v>1287</v>
      </c>
      <c r="B19" s="1623" t="s">
        <v>1288</v>
      </c>
      <c r="C19" s="120">
        <f ca="1">SUMIF(INDIRECT("'"&amp;C4&amp;"'"&amp;"!A:A"),'结果表-地下3层'!B19,INDIRECT("'"&amp;C4&amp;"'"&amp;"!B:B"))</f>
        <v>3904</v>
      </c>
      <c r="D19" s="121">
        <f ca="1">SUMIF(INDIRECT("'"&amp;D4&amp;"'"&amp;"!A:A"),'结果表-地下3层'!B19,INDIRECT("'"&amp;D4&amp;"'"&amp;"!B:B"))</f>
        <v>4219</v>
      </c>
      <c r="E19" s="1622" t="s">
        <v>1289</v>
      </c>
      <c r="F19" s="1623" t="s">
        <v>1288</v>
      </c>
      <c r="G19" s="122">
        <f ca="1">ROUND(C19*$C$18+D19*$D$18,0)</f>
        <v>4062</v>
      </c>
      <c r="H19" s="1624" t="s">
        <v>1290</v>
      </c>
      <c r="I19" s="115"/>
      <c r="J19" s="676">
        <v>4086</v>
      </c>
      <c r="K19" s="288" t="s">
        <v>1291</v>
      </c>
      <c r="L19" s="288">
        <f>IF(C1="",'数据-汇总表'!D3,SUMIF(项目类型,C1,'数据-汇总表'!D17:D26)+SUMIF(项目类型,C1,'数据-汇总表'!H17:H27))</f>
        <v>0</v>
      </c>
      <c r="M19" s="288">
        <f>IF(C1="",'数据-汇总表'!D3,SUMIF(项目类型,C1,'数据-汇总表'!D17:D26))</f>
        <v>0</v>
      </c>
    </row>
    <row r="20" spans="1:36" ht="15">
      <c r="A20" s="1625"/>
      <c r="B20" s="43" t="s">
        <v>1292</v>
      </c>
      <c r="C20" s="123">
        <f ca="1">SUMIF(INDIRECT("'"&amp;C4&amp;"'"&amp;"!A:A"),'结果表-地下3层'!B20,INDIRECT("'"&amp;C4&amp;"'"&amp;"!B:B"))</f>
        <v>12484</v>
      </c>
      <c r="D20" s="124">
        <f ca="1">SUMIF(INDIRECT("'"&amp;D4&amp;"'"&amp;"!A:A"),'结果表-地下3层'!B20,INDIRECT("'"&amp;D4&amp;"'"&amp;"!B:B"))</f>
        <v>13492</v>
      </c>
      <c r="E20" s="1625"/>
      <c r="F20" s="43" t="s">
        <v>1292</v>
      </c>
      <c r="G20" s="125">
        <f ca="1">ROUND(C20*$C$18+D20*$D$18,0)</f>
        <v>12988</v>
      </c>
      <c r="H20" s="753" t="s">
        <v>1293</v>
      </c>
      <c r="I20" s="115"/>
      <c r="J20" s="676">
        <v>13066</v>
      </c>
    </row>
    <row r="21" spans="1:36" ht="15" customHeight="1" thickBot="1">
      <c r="A21" s="443"/>
      <c r="B21" s="93" t="s">
        <v>1294</v>
      </c>
      <c r="C21" s="670" t="e">
        <f ca="1">ROUND(C19*10000/L19,0)</f>
        <v>#DIV/0!</v>
      </c>
      <c r="D21" s="671" t="e">
        <f ca="1">ROUND(D19*10000/L19,0)</f>
        <v>#DIV/0!</v>
      </c>
      <c r="E21" s="443"/>
      <c r="F21" s="93" t="s">
        <v>1294</v>
      </c>
      <c r="G21" s="126" t="e">
        <f ca="1">ROUND(G19*10000/L19,0)</f>
        <v>#DIV/0!</v>
      </c>
      <c r="H21" s="1626" t="s">
        <v>1293</v>
      </c>
      <c r="I21" s="115"/>
    </row>
    <row r="22" spans="1:36" ht="15" thickBot="1">
      <c r="A22" s="1556" t="s">
        <v>1295</v>
      </c>
      <c r="B22" s="1627"/>
      <c r="C22" s="1628"/>
      <c r="D22" s="672">
        <f ca="1">IF(C19&lt;D19,D19/C19-1,C19/D19-1)</f>
        <v>8.0686475409835978E-2</v>
      </c>
      <c r="E22" s="115"/>
      <c r="F22" s="115"/>
      <c r="G22" s="115"/>
      <c r="H22" s="115"/>
      <c r="I22" s="115"/>
    </row>
    <row r="23" spans="1:36" ht="13.5" thickBot="1">
      <c r="A23" s="638"/>
      <c r="B23" s="638"/>
      <c r="C23" s="638"/>
      <c r="D23" s="638"/>
      <c r="E23" s="115"/>
      <c r="F23" s="115"/>
      <c r="G23" s="115"/>
      <c r="H23" s="115"/>
      <c r="I23" s="115"/>
    </row>
    <row r="24" spans="1:36" ht="14.25">
      <c r="A24" s="3374" t="s">
        <v>1296</v>
      </c>
      <c r="B24" s="1623" t="s">
        <v>1288</v>
      </c>
      <c r="C24" s="122">
        <f>IF(B30=0,0,D30)</f>
        <v>0</v>
      </c>
      <c r="D24" s="1629"/>
      <c r="E24" s="115"/>
      <c r="F24" s="115"/>
      <c r="G24" s="115"/>
      <c r="H24" s="115"/>
      <c r="I24" s="115"/>
    </row>
    <row r="25" spans="1:36" ht="14.25">
      <c r="A25" s="3375"/>
      <c r="B25" s="43" t="s">
        <v>1292</v>
      </c>
      <c r="C25" s="127">
        <f>IF(B30=0,0,C30)</f>
        <v>0</v>
      </c>
      <c r="D25" s="1630"/>
      <c r="E25" s="115"/>
      <c r="F25" s="115"/>
      <c r="G25" s="115"/>
      <c r="H25" s="115"/>
      <c r="I25" s="115"/>
    </row>
    <row r="26" spans="1:36" ht="13.5" customHeight="1">
      <c r="A26" s="1631" t="s">
        <v>1297</v>
      </c>
      <c r="B26" s="128" t="s">
        <v>1298</v>
      </c>
      <c r="C26" s="128" t="s">
        <v>1299</v>
      </c>
      <c r="D26" s="129" t="s">
        <v>1300</v>
      </c>
      <c r="E26" s="115"/>
      <c r="F26" s="115"/>
      <c r="G26" s="115"/>
      <c r="H26" s="115"/>
      <c r="I26" s="115"/>
    </row>
    <row r="27" spans="1:36" ht="14.25">
      <c r="A27" s="1631"/>
      <c r="B27" s="128">
        <v>0</v>
      </c>
      <c r="C27" s="128">
        <v>0</v>
      </c>
      <c r="D27" s="129">
        <f>ROUND(C27*B27/10000,0)</f>
        <v>0</v>
      </c>
      <c r="E27" s="115"/>
      <c r="F27" s="115"/>
      <c r="G27" s="115"/>
      <c r="H27" s="115"/>
      <c r="I27" s="115"/>
    </row>
    <row r="28" spans="1:36" ht="14.25">
      <c r="A28" s="1631"/>
      <c r="B28" s="128"/>
      <c r="C28" s="128"/>
      <c r="D28" s="129"/>
      <c r="E28" s="115"/>
      <c r="F28" s="115"/>
      <c r="G28" s="115"/>
      <c r="H28" s="115"/>
      <c r="I28" s="115"/>
    </row>
    <row r="29" spans="1:36" ht="14.25">
      <c r="A29" s="1631"/>
      <c r="B29" s="128"/>
      <c r="C29" s="128"/>
      <c r="D29" s="129"/>
      <c r="E29" s="115"/>
      <c r="F29" s="115"/>
      <c r="G29" s="115"/>
      <c r="H29" s="115"/>
      <c r="I29" s="115"/>
    </row>
    <row r="30" spans="1:36" ht="15" thickBot="1">
      <c r="A30" s="128" t="s">
        <v>1301</v>
      </c>
      <c r="B30" s="128"/>
      <c r="C30" s="128"/>
      <c r="D30" s="128"/>
      <c r="E30" s="2119" t="s">
        <v>2126</v>
      </c>
      <c r="F30" s="115"/>
      <c r="G30" s="115"/>
      <c r="H30" s="115"/>
      <c r="I30" s="115"/>
    </row>
    <row r="31" spans="1:36" s="2125" customFormat="1" ht="26.45" customHeight="1" thickTop="1" thickBot="1">
      <c r="A31" s="2120"/>
      <c r="B31" s="2121"/>
      <c r="C31" s="2121"/>
      <c r="D31" s="2121"/>
      <c r="E31" s="2121"/>
      <c r="F31" s="2121"/>
      <c r="G31" s="2121"/>
      <c r="H31" s="2121"/>
      <c r="I31" s="2122" t="s">
        <v>2127</v>
      </c>
      <c r="J31" s="244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2" t="s">
        <v>1302</v>
      </c>
      <c r="B32" s="1527"/>
      <c r="C32" s="130">
        <f ca="1">IF(D32="总价",G19-C24,G20-C25)</f>
        <v>4062</v>
      </c>
      <c r="D32" s="1633" t="s">
        <v>3731</v>
      </c>
      <c r="E32" s="115"/>
      <c r="F32" s="115"/>
      <c r="G32" s="115"/>
      <c r="H32" s="115"/>
      <c r="I32" s="115"/>
    </row>
    <row r="33" spans="1:15" ht="15">
      <c r="A33" s="733" t="s">
        <v>1303</v>
      </c>
      <c r="B33" s="117"/>
      <c r="C33" s="1634" t="s">
        <v>3732</v>
      </c>
      <c r="D33" s="1635" t="s">
        <v>3729</v>
      </c>
      <c r="E33" s="1636" t="s">
        <v>1304</v>
      </c>
      <c r="F33" s="1637" t="str">
        <f>IF(D32="楼面单价","取值（单价）","取值（总价）")</f>
        <v>取值（总价）</v>
      </c>
      <c r="G33" s="115"/>
      <c r="H33" s="115"/>
      <c r="I33" s="115"/>
    </row>
    <row r="34" spans="1:15" ht="15">
      <c r="A34" s="1638"/>
      <c r="B34" s="1639" t="s">
        <v>1305</v>
      </c>
      <c r="C34" s="134">
        <f ca="1">IF(C33="自定义",F34,C32-C35)</f>
        <v>2019</v>
      </c>
      <c r="D34" s="801">
        <f ca="1">IF(C33="自定义",ROUND(C34/C32,3),IF(C33="收益比率",SUMIF(INDIRECT("'"&amp;D33&amp;"'"&amp;"!b:b"),"土地收益比率",INDIRECT("'"&amp;D33&amp;"'"&amp;"!c:c")),SUMIF(INDIRECT("'"&amp;D33&amp;"'"&amp;"!b:b"),"土地成本比率",INDIRECT("'"&amp;D33&amp;"'"&amp;"!c:c"))))</f>
        <v>0.497</v>
      </c>
      <c r="E34" s="1640" t="s">
        <v>1306</v>
      </c>
      <c r="F34" s="1236"/>
      <c r="G34" s="115"/>
      <c r="H34" s="115"/>
      <c r="I34" s="115"/>
    </row>
    <row r="35" spans="1:15" ht="15.75" thickBot="1">
      <c r="A35" s="1641"/>
      <c r="B35" s="1642" t="s">
        <v>1307</v>
      </c>
      <c r="C35" s="1083">
        <f ca="1">IF(C33="自定义",F35,ROUND(C32*D35,0))</f>
        <v>2043</v>
      </c>
      <c r="D35" s="1084">
        <f ca="1">IF(C33="自定义",ROUND(C35/C32,3),IF(C33="收益比率",SUMIF(INDIRECT("'"&amp;D33&amp;"'"&amp;"!b:b"),"建筑物收益比率",INDIRECT("'"&amp;D33&amp;"'"&amp;"!c:c")),SUMIF(INDIRECT("'"&amp;D33&amp;"'"&amp;"!b:b"),"建筑物成本比率",INDIRECT("'"&amp;D33&amp;"'"&amp;"!c:c"))))</f>
        <v>0.503</v>
      </c>
      <c r="E35" s="1643" t="s">
        <v>1308</v>
      </c>
      <c r="F35" s="140"/>
      <c r="G35" s="115"/>
      <c r="H35" s="115"/>
      <c r="I35" s="115"/>
    </row>
    <row r="36" spans="1:15" ht="15.75" thickBot="1">
      <c r="A36" s="3394" t="s">
        <v>1309</v>
      </c>
      <c r="B36" s="1644" t="s">
        <v>1310</v>
      </c>
      <c r="C36" s="131"/>
      <c r="D36" s="1645"/>
      <c r="E36" s="1559"/>
      <c r="F36" s="1646"/>
      <c r="G36" s="115"/>
      <c r="H36" s="115"/>
      <c r="I36" s="115"/>
    </row>
    <row r="37" spans="1:15" ht="15.75" thickBot="1">
      <c r="A37" s="3395"/>
      <c r="B37" s="1547" t="s">
        <v>1311</v>
      </c>
      <c r="C37" s="133"/>
      <c r="D37" s="1064"/>
      <c r="E37" s="1064"/>
      <c r="F37" s="1646"/>
      <c r="G37" s="115"/>
      <c r="H37" s="115"/>
      <c r="I37" s="115"/>
    </row>
    <row r="38" spans="1:15" ht="15.75" thickBot="1">
      <c r="A38" s="3396"/>
      <c r="B38" s="1647" t="s">
        <v>1312</v>
      </c>
      <c r="C38" s="633"/>
      <c r="D38" s="1648" t="s">
        <v>1313</v>
      </c>
      <c r="E38" s="1064"/>
      <c r="F38" s="1646"/>
      <c r="G38" s="115"/>
      <c r="H38" s="115"/>
      <c r="I38" s="115"/>
    </row>
    <row r="39" spans="1:15" ht="15">
      <c r="A39" s="1625" t="s">
        <v>1314</v>
      </c>
      <c r="B39" s="1649" t="s">
        <v>1315</v>
      </c>
      <c r="C39" s="1650" t="s">
        <v>1316</v>
      </c>
      <c r="D39" s="1650" t="s">
        <v>1317</v>
      </c>
      <c r="E39" s="1651" t="s">
        <v>1318</v>
      </c>
      <c r="F39" s="1646"/>
      <c r="G39" s="115"/>
      <c r="H39" s="115"/>
      <c r="I39" s="115"/>
    </row>
    <row r="40" spans="1:15" ht="14.25">
      <c r="A40" s="1652" t="s">
        <v>1319</v>
      </c>
      <c r="B40" s="135"/>
      <c r="C40" s="136"/>
      <c r="D40" s="136"/>
      <c r="E40" s="137"/>
      <c r="F40" s="1646"/>
      <c r="G40" s="115"/>
      <c r="H40" s="115"/>
      <c r="I40" s="115"/>
    </row>
    <row r="41" spans="1:15" ht="14.25">
      <c r="A41" s="1652" t="s">
        <v>1320</v>
      </c>
      <c r="B41" s="135"/>
      <c r="C41" s="136"/>
      <c r="D41" s="136"/>
      <c r="E41" s="137"/>
      <c r="F41" s="1646"/>
      <c r="G41" s="115"/>
      <c r="H41" s="115"/>
      <c r="I41" s="115"/>
    </row>
    <row r="42" spans="1:15" ht="15" thickBot="1">
      <c r="A42" s="1653"/>
      <c r="B42" s="138"/>
      <c r="C42" s="139"/>
      <c r="D42" s="139"/>
      <c r="E42" s="140"/>
      <c r="F42" s="1646"/>
      <c r="G42" s="115"/>
      <c r="H42" s="115"/>
      <c r="I42" s="115"/>
    </row>
    <row r="43" spans="1:15" ht="12.75">
      <c r="A43" s="1459"/>
      <c r="B43" s="1459"/>
      <c r="C43" s="1459"/>
      <c r="D43" s="1459"/>
      <c r="E43" s="1459"/>
      <c r="F43" s="1654"/>
      <c r="G43" s="1654"/>
      <c r="H43" s="1654"/>
      <c r="I43" s="1655"/>
    </row>
    <row r="44" spans="1:15" ht="18.75">
      <c r="A44" s="1456" t="s">
        <v>1321</v>
      </c>
      <c r="B44" s="1656"/>
      <c r="C44" s="1656"/>
      <c r="D44" s="1657"/>
      <c r="E44" s="1657"/>
      <c r="F44" s="1658"/>
      <c r="G44" s="1658"/>
      <c r="H44" s="1658"/>
      <c r="I44" s="1658"/>
      <c r="J44" s="1659" t="s">
        <v>1322</v>
      </c>
      <c r="K44" s="4"/>
      <c r="L44" s="4"/>
      <c r="M44" s="4"/>
      <c r="N44" s="4"/>
      <c r="O44" s="4"/>
    </row>
    <row r="45" spans="1:15" ht="14.25" customHeight="1" thickBot="1">
      <c r="A45" s="3371" t="s">
        <v>1323</v>
      </c>
      <c r="B45" s="3372"/>
      <c r="C45" s="3373"/>
      <c r="D45" s="141">
        <f ca="1">ROUND(H101*F45,0)</f>
        <v>4062</v>
      </c>
      <c r="E45" s="142" t="s">
        <v>1324</v>
      </c>
      <c r="F45" s="143">
        <v>1</v>
      </c>
      <c r="G45" s="144" t="s">
        <v>1325</v>
      </c>
      <c r="H45" s="115"/>
      <c r="I45" s="115"/>
      <c r="J45" s="3453" t="s">
        <v>1326</v>
      </c>
      <c r="K45" s="3453"/>
      <c r="L45" s="3453"/>
      <c r="M45" s="3453"/>
      <c r="N45" s="3453"/>
      <c r="O45" s="3453"/>
    </row>
    <row r="46" spans="1:15" ht="14.25" customHeight="1">
      <c r="A46" s="3368" t="s">
        <v>1327</v>
      </c>
      <c r="B46" s="3369"/>
      <c r="C46" s="3369"/>
      <c r="D46" s="3369"/>
      <c r="E46" s="3369"/>
      <c r="F46" s="3369"/>
      <c r="G46" s="3370"/>
      <c r="H46" s="1660"/>
      <c r="I46" s="145"/>
      <c r="J46" s="2293">
        <v>1</v>
      </c>
      <c r="K46" s="3434" t="s">
        <v>1328</v>
      </c>
      <c r="L46" s="3434"/>
      <c r="M46" s="3454"/>
      <c r="N46" s="3454"/>
      <c r="O46" s="3454"/>
    </row>
    <row r="47" spans="1:15" ht="12" customHeight="1">
      <c r="A47" s="146" t="s">
        <v>1329</v>
      </c>
      <c r="B47" s="147"/>
      <c r="C47" s="148"/>
      <c r="D47" s="1017" t="s">
        <v>1330</v>
      </c>
      <c r="E47" s="288" t="s">
        <v>1331</v>
      </c>
      <c r="F47" s="149" t="s">
        <v>1332</v>
      </c>
      <c r="G47" s="2316" t="s">
        <v>1333</v>
      </c>
      <c r="H47" s="2317"/>
      <c r="I47" s="145"/>
      <c r="J47" s="2293">
        <v>2</v>
      </c>
      <c r="K47" s="3434" t="s">
        <v>1334</v>
      </c>
      <c r="L47" s="3434"/>
      <c r="M47" s="3455">
        <f>'数据-取费表'!B2</f>
        <v>45418</v>
      </c>
      <c r="N47" s="3455"/>
      <c r="O47" s="3455"/>
    </row>
    <row r="48" spans="1:15" ht="25.5">
      <c r="A48" s="3399" t="s">
        <v>1335</v>
      </c>
      <c r="B48" s="3382"/>
      <c r="C48" s="3382"/>
      <c r="D48" s="12" t="b">
        <f>IF(H48="情况1",0,IF(H48="情况2",D52,IF(H48="情况3",D53,IF(H48="情况4",D54))))</f>
        <v>0</v>
      </c>
      <c r="E48" s="1248" t="str">
        <f>IF(H48="情况4","(销售额-原购置价)×税（费）率","销售额×税（费）率")</f>
        <v>销售额×税（费）率</v>
      </c>
      <c r="F48" s="2318">
        <f>IF(H48="情况1","免征",'数据-取费表'!B41)</f>
        <v>5.6000000000000001E-2</v>
      </c>
      <c r="G48" s="2319" t="s">
        <v>1336</v>
      </c>
      <c r="H48" s="2320"/>
      <c r="I48" s="1660"/>
      <c r="J48" s="2293">
        <v>3</v>
      </c>
      <c r="K48" s="3434" t="s">
        <v>1337</v>
      </c>
      <c r="L48" s="3434"/>
      <c r="M48" s="3456">
        <f ca="1">H101</f>
        <v>4062</v>
      </c>
      <c r="N48" s="3456"/>
      <c r="O48" s="3456"/>
    </row>
    <row r="49" spans="1:35" ht="25.5" customHeight="1">
      <c r="A49" s="2144" t="s">
        <v>1338</v>
      </c>
      <c r="B49" s="3366" t="s">
        <v>1339</v>
      </c>
      <c r="C49" s="3366"/>
      <c r="D49" s="1470">
        <v>0</v>
      </c>
      <c r="E49" s="310" t="s">
        <v>1340</v>
      </c>
      <c r="F49" s="2224" t="s">
        <v>28</v>
      </c>
      <c r="G49" s="3440"/>
      <c r="H49" s="2126" t="s">
        <v>2128</v>
      </c>
      <c r="I49" s="2127"/>
      <c r="J49" s="2293">
        <v>4</v>
      </c>
      <c r="K49" s="3434" t="str">
        <f>IF(项目基本情况!E8="房地产抵押价值","房地产抵押价值","抵押担保权已注销时的房地产抵押价值")</f>
        <v>抵押担保权已注销时的房地产抵押价值</v>
      </c>
      <c r="L49" s="3434"/>
      <c r="M49" s="3456" t="str">
        <f>IF(项目基本情况!E8="房地产抵押价值",H107,H109)</f>
        <v>——</v>
      </c>
      <c r="N49" s="3456"/>
      <c r="O49" s="3456"/>
    </row>
    <row r="50" spans="1:35" ht="25.5" customHeight="1">
      <c r="A50" s="2321"/>
      <c r="B50" s="3366" t="s">
        <v>1341</v>
      </c>
      <c r="C50" s="3366"/>
      <c r="D50" s="2181"/>
      <c r="E50" s="317"/>
      <c r="F50" s="2224"/>
      <c r="G50" s="3441"/>
      <c r="H50" s="2128" t="s">
        <v>2129</v>
      </c>
      <c r="I50" s="2127"/>
      <c r="J50" s="3453" t="s">
        <v>1342</v>
      </c>
      <c r="K50" s="3453"/>
      <c r="L50" s="3453"/>
      <c r="M50" s="3453"/>
      <c r="N50" s="3453"/>
      <c r="O50" s="3453"/>
    </row>
    <row r="51" spans="1:35" ht="20.45" customHeight="1">
      <c r="A51" s="2322"/>
      <c r="B51" s="3366" t="s">
        <v>1343</v>
      </c>
      <c r="C51" s="3366"/>
      <c r="D51" s="1017"/>
      <c r="E51" s="313"/>
      <c r="F51" s="2224"/>
      <c r="G51" s="3442"/>
      <c r="H51" s="2128" t="s">
        <v>2130</v>
      </c>
      <c r="I51" s="2127"/>
      <c r="J51" s="2294" t="s">
        <v>1344</v>
      </c>
      <c r="K51" s="3434" t="s">
        <v>1345</v>
      </c>
      <c r="L51" s="3434"/>
      <c r="M51" s="2294" t="s">
        <v>1346</v>
      </c>
      <c r="N51" s="2294" t="s">
        <v>1347</v>
      </c>
      <c r="O51" s="2294" t="s">
        <v>1348</v>
      </c>
    </row>
    <row r="52" spans="1:35" ht="24" customHeight="1">
      <c r="A52" s="2145" t="s">
        <v>1349</v>
      </c>
      <c r="B52" s="3366" t="s">
        <v>1350</v>
      </c>
      <c r="C52" s="3366"/>
      <c r="D52" s="1017">
        <f ca="1">ROUND(D45*'数据-取费表'!B41/(1+'数据-取费表'!C42),0)</f>
        <v>217</v>
      </c>
      <c r="E52" s="1248" t="s">
        <v>1351</v>
      </c>
      <c r="F52" s="2323">
        <f>'数据-取费表'!B41</f>
        <v>5.6000000000000001E-2</v>
      </c>
      <c r="G52" s="2324"/>
      <c r="H52" s="2314"/>
      <c r="I52" s="1661"/>
      <c r="J52" s="2293">
        <v>1</v>
      </c>
      <c r="K52" s="3435" t="s">
        <v>1352</v>
      </c>
      <c r="L52" s="3435"/>
      <c r="M52" s="2295" t="b">
        <f>D48</f>
        <v>0</v>
      </c>
      <c r="N52" s="2293" t="str">
        <f>E48</f>
        <v>销售额×税（费）率</v>
      </c>
      <c r="O52" s="2296">
        <f>F48</f>
        <v>5.6000000000000001E-2</v>
      </c>
    </row>
    <row r="53" spans="1:35" ht="12" customHeight="1">
      <c r="A53" s="2145" t="s">
        <v>1353</v>
      </c>
      <c r="B53" s="3392" t="s">
        <v>2285</v>
      </c>
      <c r="C53" s="3393"/>
      <c r="D53" s="1017">
        <f ca="1">ROUND(D45*'数据-取费表'!B41/(1+'数据-取费表'!C42),0)</f>
        <v>217</v>
      </c>
      <c r="E53" s="1248" t="s">
        <v>1351</v>
      </c>
      <c r="F53" s="2323">
        <f>'数据-取费表'!B41</f>
        <v>5.6000000000000001E-2</v>
      </c>
      <c r="G53" s="2324"/>
      <c r="H53" s="2314"/>
      <c r="I53" s="1661"/>
      <c r="J53" s="2293">
        <v>2</v>
      </c>
      <c r="K53" s="3435" t="s">
        <v>1354</v>
      </c>
      <c r="L53" s="3435"/>
      <c r="M53" s="2295">
        <f t="shared" ref="M53:O54" ca="1" si="0">D55</f>
        <v>2</v>
      </c>
      <c r="N53" s="2293" t="str">
        <f t="shared" si="0"/>
        <v>销售额×税（费）率</v>
      </c>
      <c r="O53" s="2296" t="str">
        <f t="shared" si="0"/>
        <v>免征</v>
      </c>
    </row>
    <row r="54" spans="1:35" ht="12" customHeight="1">
      <c r="A54" s="2145" t="s">
        <v>1355</v>
      </c>
      <c r="B54" s="3392" t="s">
        <v>2286</v>
      </c>
      <c r="C54" s="3393"/>
      <c r="D54" s="1017">
        <f ca="1">C68</f>
        <v>217</v>
      </c>
      <c r="E54" s="313" t="s">
        <v>1356</v>
      </c>
      <c r="F54" s="2323">
        <f>'数据-取费表'!B41</f>
        <v>5.6000000000000001E-2</v>
      </c>
      <c r="G54" s="2324"/>
      <c r="H54" s="2325"/>
      <c r="I54" s="1661"/>
      <c r="J54" s="2293">
        <v>3</v>
      </c>
      <c r="K54" s="3435" t="s">
        <v>1357</v>
      </c>
      <c r="L54" s="3435"/>
      <c r="M54" s="2295">
        <f t="shared" ca="1" si="0"/>
        <v>2300</v>
      </c>
      <c r="N54" s="2293" t="str">
        <f t="shared" si="0"/>
        <v>增值额×税（费）率</v>
      </c>
      <c r="O54" s="2297" t="str">
        <f t="shared" si="0"/>
        <v>免征</v>
      </c>
    </row>
    <row r="55" spans="1:35" ht="24" customHeight="1">
      <c r="A55" s="3381" t="s">
        <v>1358</v>
      </c>
      <c r="B55" s="3382"/>
      <c r="C55" s="3382"/>
      <c r="D55" s="12">
        <f ca="1">IF(H55="个人住宅",0,ROUND(D45*I55,0))</f>
        <v>2</v>
      </c>
      <c r="E55" s="1248" t="s">
        <v>1359</v>
      </c>
      <c r="F55" s="2323" t="str">
        <f>IF(H55="正常",I55,"免征")</f>
        <v>免征</v>
      </c>
      <c r="G55" s="2324"/>
      <c r="H55" s="2320"/>
      <c r="I55" s="151">
        <f>'数据-取费表'!B49</f>
        <v>5.0000000000000001E-4</v>
      </c>
      <c r="J55" s="2293">
        <f>IF(H59="非个人房产","",4)</f>
        <v>4</v>
      </c>
      <c r="K55" s="3435" t="str">
        <f>IF(H59="非个人房产","——","个人所得税")</f>
        <v>个人所得税</v>
      </c>
      <c r="L55" s="3435"/>
      <c r="M55" s="2298">
        <f ca="1">D59</f>
        <v>39</v>
      </c>
      <c r="N55" s="1875" t="str">
        <f>E59</f>
        <v>差额计税</v>
      </c>
      <c r="O55" s="2299">
        <f>F59</f>
        <v>0.01</v>
      </c>
    </row>
    <row r="56" spans="1:35" ht="24.75">
      <c r="A56" s="3381" t="s">
        <v>1360</v>
      </c>
      <c r="B56" s="3382"/>
      <c r="C56" s="3382"/>
      <c r="D56" s="12">
        <f ca="1">IF(H56="个人住宅",D57,D58)</f>
        <v>2300</v>
      </c>
      <c r="E56" s="1248" t="s">
        <v>1361</v>
      </c>
      <c r="F56" s="2323" t="str">
        <f>IF(H56="正常",F58,"免征")</f>
        <v>免征</v>
      </c>
      <c r="G56" s="2326" t="s">
        <v>1362</v>
      </c>
      <c r="H56" s="2327"/>
      <c r="I56" s="1662"/>
      <c r="J56" s="2293" t="str">
        <f>IF(项目基本情况!K6="上海银行",IF(J55="",4,J55+1),"")</f>
        <v/>
      </c>
      <c r="K56" s="3458" t="str">
        <f>IF(项目基本情况!K6="上海银行","其他处置费用","")</f>
        <v/>
      </c>
      <c r="L56" s="3459"/>
      <c r="M56" s="2295" t="str">
        <f>IF(项目基本情况!K6="上海银行",M69,"")</f>
        <v/>
      </c>
      <c r="N56" s="3458" t="str">
        <f>IF(项目基本情况!K6="上海银行","包含处置中涉及的律师、诉讼、拍卖、评估等费用","")</f>
        <v/>
      </c>
      <c r="O56" s="3461"/>
    </row>
    <row r="57" spans="1:35" ht="12.75">
      <c r="A57" s="2145" t="s">
        <v>1338</v>
      </c>
      <c r="B57" s="3392" t="s">
        <v>1363</v>
      </c>
      <c r="C57" s="3393"/>
      <c r="D57" s="1470">
        <v>0</v>
      </c>
      <c r="E57" s="310" t="s">
        <v>1340</v>
      </c>
      <c r="F57" s="288"/>
      <c r="G57" s="2324"/>
      <c r="H57" s="2328"/>
      <c r="I57" s="1662"/>
      <c r="J57" s="3435">
        <f>IF(AND(J55="",J56=""),4,IF(项目基本情况!K6="上海银行",'结果表-地下3层'!J56+1,'结果表-地下3层'!J55+1))</f>
        <v>5</v>
      </c>
      <c r="K57" s="3435" t="s">
        <v>1364</v>
      </c>
      <c r="L57" s="2300" t="s">
        <v>1365</v>
      </c>
      <c r="M57" s="2301"/>
      <c r="N57" s="2302">
        <f ca="1">SUMIF(M52:M56,"&lt;9e307")</f>
        <v>2341</v>
      </c>
      <c r="O57" s="2303"/>
      <c r="P57" s="2445" t="e">
        <f ca="1">N57/M49</f>
        <v>#VALUE!</v>
      </c>
    </row>
    <row r="58" spans="1:35" ht="24.75">
      <c r="A58" s="2145" t="s">
        <v>1349</v>
      </c>
      <c r="B58" s="3392" t="s">
        <v>1366</v>
      </c>
      <c r="C58" s="3366"/>
      <c r="D58" s="12">
        <f ca="1">IF(H58="转让取得",C81,C97)</f>
        <v>2300</v>
      </c>
      <c r="E58" s="1248" t="s">
        <v>1361</v>
      </c>
      <c r="F58" s="288" t="s">
        <v>28</v>
      </c>
      <c r="G58" s="2324"/>
      <c r="H58" s="2327"/>
      <c r="I58" s="1662"/>
      <c r="J58" s="3435"/>
      <c r="K58" s="3435"/>
      <c r="L58" s="2300" t="s">
        <v>1367</v>
      </c>
      <c r="M58" s="2304"/>
      <c r="N58" s="2305" t="str">
        <f ca="1">NUMBERSTRING(INT(N57*10000),2)&amp;"元整"</f>
        <v>贰仟叁佰肆拾壹万元整</v>
      </c>
      <c r="O58" s="2306"/>
    </row>
    <row r="59" spans="1:35" ht="24.75" thickBot="1">
      <c r="A59" s="3438" t="s">
        <v>1368</v>
      </c>
      <c r="B59" s="3439"/>
      <c r="C59" s="3439"/>
      <c r="D59" s="2329">
        <f ca="1">IF(H59="非个人房产","——",IF(H59="个人住宅（满五唯一有凭证）",0,IF(H59="个人其他（无凭证）",ROUND(D45*F59,0),ROUND(C67*F59,0))))</f>
        <v>39</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1362</v>
      </c>
      <c r="H59" s="2130"/>
      <c r="I59" s="2129" t="s">
        <v>2131</v>
      </c>
      <c r="J59" s="3436">
        <f>J57+1</f>
        <v>6</v>
      </c>
      <c r="K59" s="3435" t="s">
        <v>1369</v>
      </c>
      <c r="L59" s="2293" t="s">
        <v>1365</v>
      </c>
      <c r="M59" s="2307"/>
      <c r="N59" s="2308" t="e">
        <f ca="1">M49-N57</f>
        <v>#VALUE!</v>
      </c>
      <c r="O59" s="2309"/>
    </row>
    <row r="60" spans="1:35" ht="12" customHeight="1">
      <c r="A60" s="1663"/>
      <c r="B60" s="638"/>
      <c r="C60" s="638"/>
      <c r="D60" s="638"/>
      <c r="E60" s="1458"/>
      <c r="F60" s="1662"/>
      <c r="G60" s="1662"/>
      <c r="H60" s="145"/>
      <c r="I60" s="115"/>
      <c r="J60" s="3437"/>
      <c r="K60" s="3435"/>
      <c r="L60" s="2300" t="s">
        <v>1367</v>
      </c>
      <c r="M60" s="2304"/>
      <c r="N60" s="2305" t="e">
        <f ca="1">NUMBERSTRING(INT(N59*10000),2)&amp;"元整"</f>
        <v>#VALUE!</v>
      </c>
      <c r="O60" s="2306"/>
    </row>
    <row r="61" spans="1:35" ht="13.5" thickBot="1">
      <c r="A61" s="3379" t="s">
        <v>1370</v>
      </c>
      <c r="B61" s="3379"/>
      <c r="C61" s="3379"/>
      <c r="D61" s="3379"/>
      <c r="E61" s="3379"/>
      <c r="F61" s="1662"/>
      <c r="G61" s="1662"/>
      <c r="H61" s="145"/>
      <c r="I61" s="115"/>
      <c r="J61" s="2293">
        <f>J59+1</f>
        <v>7</v>
      </c>
      <c r="K61" s="3435" t="s">
        <v>1371</v>
      </c>
      <c r="L61" s="3435"/>
      <c r="M61" s="2310"/>
      <c r="N61" s="2311" t="e">
        <f ca="1">ROUND(N59*10000/'数据-汇总表'!E3,0)</f>
        <v>#VALUE!</v>
      </c>
      <c r="O61" s="2312"/>
    </row>
    <row r="62" spans="1:35" ht="12.75">
      <c r="A62" s="3397" t="s">
        <v>1372</v>
      </c>
      <c r="B62" s="3398"/>
      <c r="C62" s="1857"/>
      <c r="D62" s="1857" t="s">
        <v>1373</v>
      </c>
      <c r="E62" s="152" t="s">
        <v>1374</v>
      </c>
      <c r="F62" s="1662"/>
      <c r="G62" s="1662"/>
      <c r="H62" s="145"/>
      <c r="I62" s="115"/>
    </row>
    <row r="63" spans="1:35" ht="12.75">
      <c r="A63" s="159" t="s">
        <v>330</v>
      </c>
      <c r="B63" s="153" t="s">
        <v>1375</v>
      </c>
      <c r="C63" s="2333">
        <f ca="1">ROUND((C64+C65)/(1+'数据-取费表'!C42),0)</f>
        <v>3869</v>
      </c>
      <c r="D63" s="153"/>
      <c r="E63" s="154"/>
      <c r="F63" s="1662"/>
      <c r="G63" s="1662"/>
      <c r="H63" s="145"/>
      <c r="I63" s="115"/>
      <c r="J63" s="3460" t="s">
        <v>1376</v>
      </c>
      <c r="K63" s="1237" t="s">
        <v>1377</v>
      </c>
      <c r="L63" s="1237" t="e">
        <f>IF(M49&gt;10000,M49*0.5%,IF(AND(M49&gt;1000,M49&lt;=10000),M49*1%,IF(AND(M49&gt;100,M49&lt;=1000),M49*3%,IF(AND(M49&gt;10,M49&lt;=100),M49*5%,M49*8%))))</f>
        <v>#VALUE!</v>
      </c>
      <c r="M63" s="288" t="e">
        <f>ROUND(L63,1)</f>
        <v>#VALUE!</v>
      </c>
      <c r="N63" s="2313"/>
      <c r="Z63" s="1615"/>
      <c r="AI63" s="1553"/>
    </row>
    <row r="64" spans="1:35" ht="14.25" customHeight="1">
      <c r="A64" s="155" t="s">
        <v>325</v>
      </c>
      <c r="B64" s="156" t="s">
        <v>1378</v>
      </c>
      <c r="C64" s="2334">
        <f ca="1">D45</f>
        <v>4062</v>
      </c>
      <c r="D64" s="156" t="s">
        <v>26</v>
      </c>
      <c r="E64" s="158"/>
      <c r="F64" s="1662"/>
      <c r="G64" s="1662"/>
      <c r="H64" s="145"/>
      <c r="I64" s="115"/>
      <c r="J64" s="3460"/>
      <c r="K64" s="1237" t="s">
        <v>1379</v>
      </c>
      <c r="L64" s="1237"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14" t="s">
        <v>1380</v>
      </c>
      <c r="Z64" s="1615"/>
      <c r="AI64" s="1553"/>
    </row>
    <row r="65" spans="1:35" ht="14.25" customHeight="1">
      <c r="A65" s="155" t="s">
        <v>326</v>
      </c>
      <c r="B65" s="156" t="s">
        <v>1381</v>
      </c>
      <c r="C65" s="2335"/>
      <c r="D65" s="156"/>
      <c r="E65" s="158"/>
      <c r="F65" s="1662"/>
      <c r="G65" s="1662"/>
      <c r="H65" s="145"/>
      <c r="I65" s="115"/>
      <c r="J65" s="3460"/>
      <c r="K65" s="1237" t="s">
        <v>1382</v>
      </c>
      <c r="L65" s="1237" t="e">
        <f>IF(M49&gt;1000,M49*0.1%,IF(AND(M49&gt;500,M49&lt;=1000),M49*0.5%,IF(AND(M49&gt;50,M49&lt;=500),M49*1%,IF(AND(M49&gt;1,M49&lt;=50),M49*1.5%))))</f>
        <v>#VALUE!</v>
      </c>
      <c r="M65" s="288" t="e">
        <f t="shared" si="1"/>
        <v>#VALUE!</v>
      </c>
      <c r="N65" s="2314" t="s">
        <v>1380</v>
      </c>
      <c r="Z65" s="1615"/>
      <c r="AI65" s="1553"/>
    </row>
    <row r="66" spans="1:35" ht="14.25" customHeight="1">
      <c r="A66" s="159" t="s">
        <v>327</v>
      </c>
      <c r="B66" s="160" t="s">
        <v>1383</v>
      </c>
      <c r="C66" s="2336"/>
      <c r="D66" s="160" t="s">
        <v>26</v>
      </c>
      <c r="E66" s="1243" t="s">
        <v>668</v>
      </c>
      <c r="F66" s="1662"/>
      <c r="G66" s="1662"/>
      <c r="H66" s="145"/>
      <c r="I66" s="115"/>
      <c r="J66" s="3460"/>
      <c r="K66" s="1237" t="s">
        <v>1384</v>
      </c>
      <c r="L66" s="1237" t="e">
        <f>M49*0.5%</f>
        <v>#VALUE!</v>
      </c>
      <c r="M66" s="288" t="e">
        <f>IF(L66&gt;0.5,0.5,ROUND(L66,0))</f>
        <v>#VALUE!</v>
      </c>
      <c r="N66" s="2314" t="s">
        <v>1385</v>
      </c>
      <c r="Z66" s="1615"/>
      <c r="AI66" s="1553"/>
    </row>
    <row r="67" spans="1:35" ht="14.25" customHeight="1">
      <c r="A67" s="159" t="s">
        <v>328</v>
      </c>
      <c r="B67" s="160" t="s">
        <v>1386</v>
      </c>
      <c r="C67" s="2337">
        <f ca="1">C63-C66</f>
        <v>3869</v>
      </c>
      <c r="D67" s="156" t="s">
        <v>26</v>
      </c>
      <c r="E67" s="158"/>
      <c r="F67" s="1662"/>
      <c r="G67" s="1662"/>
      <c r="H67" s="145"/>
      <c r="I67" s="115"/>
      <c r="J67" s="3460"/>
      <c r="K67" s="1237" t="s">
        <v>1387</v>
      </c>
      <c r="L67" s="1237"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13"/>
      <c r="Z67" s="1615"/>
      <c r="AI67" s="1553"/>
    </row>
    <row r="68" spans="1:35" ht="14.25" customHeight="1" thickBot="1">
      <c r="A68" s="162" t="s">
        <v>329</v>
      </c>
      <c r="B68" s="163" t="s">
        <v>1388</v>
      </c>
      <c r="C68" s="2338">
        <f ca="1">IF(C67&lt;=0,0,ROUND(C67*D68,0))</f>
        <v>217</v>
      </c>
      <c r="D68" s="2339">
        <f>'数据-取费表'!B41</f>
        <v>5.6000000000000001E-2</v>
      </c>
      <c r="E68" s="164"/>
      <c r="F68" s="1662"/>
      <c r="G68" s="1662"/>
      <c r="H68" s="145"/>
      <c r="I68" s="115"/>
      <c r="J68" s="3460"/>
      <c r="K68" s="1237" t="s">
        <v>1389</v>
      </c>
      <c r="L68" s="1237" t="e">
        <f>IF(M49&gt;10000,M49*0.5%,IF(AND(M49&gt;5000,M49&lt;=10000),M49*1%,IF(AND(M49&gt;1000,M49&lt;=5000),M49*2%,IF(AND(M49&gt;200,M49&lt;=1000),M49*3%,M49*5%))))</f>
        <v>#VALUE!</v>
      </c>
      <c r="M68" s="288" t="e">
        <f>ROUND(L68,1)</f>
        <v>#VALUE!</v>
      </c>
      <c r="N68" s="2313"/>
      <c r="Z68" s="1615"/>
      <c r="AI68" s="1553"/>
    </row>
    <row r="69" spans="1:35" ht="16.5" customHeight="1">
      <c r="A69" s="1664"/>
      <c r="B69" s="1665"/>
      <c r="C69" s="1666"/>
      <c r="D69" s="1667"/>
      <c r="E69" s="1668"/>
      <c r="F69" s="1458"/>
      <c r="G69" s="1458"/>
      <c r="H69" s="1459"/>
      <c r="I69" s="638"/>
      <c r="J69" s="3460"/>
      <c r="K69" s="1237" t="s">
        <v>1390</v>
      </c>
      <c r="L69" s="1237"/>
      <c r="M69" s="288" t="e">
        <f>ROUND(SUM(M63:M68),0)</f>
        <v>#VALUE!</v>
      </c>
      <c r="N69" s="2315" t="e">
        <f>M69/M49</f>
        <v>#VALUE!</v>
      </c>
      <c r="Z69" s="1615"/>
      <c r="AI69" s="1553"/>
    </row>
    <row r="70" spans="1:35" s="634" customFormat="1" ht="15" thickBot="1">
      <c r="A70" s="3421" t="s">
        <v>1391</v>
      </c>
      <c r="B70" s="3422"/>
      <c r="C70" s="3422"/>
      <c r="D70" s="3422"/>
      <c r="E70" s="3422"/>
      <c r="F70" s="3422"/>
      <c r="G70" s="3422"/>
      <c r="H70" s="3422"/>
      <c r="I70" s="1669"/>
      <c r="J70" s="453"/>
      <c r="K70" s="453"/>
      <c r="L70" s="453"/>
      <c r="M70" s="453"/>
      <c r="N70" s="1670"/>
      <c r="O70" s="1670"/>
      <c r="P70" s="1670"/>
      <c r="Q70" s="1670"/>
      <c r="R70" s="1670"/>
      <c r="S70" s="1670"/>
      <c r="T70" s="1670"/>
      <c r="U70" s="1670"/>
      <c r="V70" s="1670"/>
      <c r="W70" s="1670"/>
      <c r="X70" s="1670"/>
      <c r="Y70" s="1670"/>
      <c r="Z70" s="1670"/>
      <c r="AA70" s="1671"/>
      <c r="AB70" s="1671"/>
      <c r="AC70" s="1671"/>
      <c r="AD70" s="1671"/>
      <c r="AE70" s="1671"/>
      <c r="AF70" s="1671"/>
      <c r="AG70" s="1671"/>
      <c r="AH70" s="1671"/>
      <c r="AI70" s="1671"/>
    </row>
    <row r="71" spans="1:35" s="634" customFormat="1" ht="14.25">
      <c r="A71" s="3397" t="s">
        <v>1372</v>
      </c>
      <c r="B71" s="3398"/>
      <c r="C71" s="1857"/>
      <c r="D71" s="1857" t="s">
        <v>1373</v>
      </c>
      <c r="E71" s="165" t="s">
        <v>1374</v>
      </c>
      <c r="F71" s="166"/>
      <c r="G71" s="166"/>
      <c r="H71" s="167"/>
      <c r="I71" s="1672"/>
      <c r="J71" s="453"/>
      <c r="K71" s="453"/>
      <c r="L71" s="453"/>
      <c r="M71" s="453"/>
      <c r="N71" s="1670"/>
      <c r="O71" s="1670"/>
      <c r="P71" s="1670"/>
      <c r="Q71" s="1670"/>
      <c r="R71" s="1670"/>
      <c r="S71" s="1670"/>
      <c r="T71" s="1670"/>
      <c r="U71" s="1670"/>
      <c r="V71" s="1670"/>
      <c r="W71" s="1670"/>
      <c r="X71" s="1670"/>
      <c r="Y71" s="1670"/>
      <c r="Z71" s="1670"/>
      <c r="AA71" s="1671"/>
      <c r="AB71" s="1671"/>
      <c r="AC71" s="1671"/>
      <c r="AD71" s="1671"/>
      <c r="AE71" s="1671"/>
      <c r="AF71" s="1671"/>
      <c r="AG71" s="1671"/>
      <c r="AH71" s="1671"/>
      <c r="AI71" s="1671"/>
    </row>
    <row r="72" spans="1:35" s="634" customFormat="1" ht="14.25">
      <c r="A72" s="159" t="s">
        <v>330</v>
      </c>
      <c r="B72" s="160" t="s">
        <v>1392</v>
      </c>
      <c r="C72" s="2337">
        <f ca="1">ROUND(D45/(1+'数据-取费表'!C42),0)</f>
        <v>3869</v>
      </c>
      <c r="D72" s="156" t="s">
        <v>26</v>
      </c>
      <c r="E72" s="1249"/>
      <c r="F72" s="1247"/>
      <c r="G72" s="1247"/>
      <c r="H72" s="168"/>
      <c r="I72" s="1672"/>
      <c r="J72" s="453"/>
      <c r="K72" s="453"/>
      <c r="L72" s="453"/>
      <c r="M72" s="453"/>
      <c r="N72" s="1670"/>
      <c r="O72" s="1670"/>
      <c r="P72" s="1670"/>
      <c r="Q72" s="1670"/>
      <c r="R72" s="1670"/>
      <c r="S72" s="1670"/>
      <c r="T72" s="1670"/>
      <c r="U72" s="1670"/>
      <c r="V72" s="1670"/>
      <c r="W72" s="1670"/>
      <c r="X72" s="1670"/>
      <c r="Y72" s="1670"/>
      <c r="Z72" s="1670"/>
      <c r="AA72" s="1671"/>
      <c r="AB72" s="1671"/>
      <c r="AC72" s="1671"/>
      <c r="AD72" s="1671"/>
      <c r="AE72" s="1671"/>
      <c r="AF72" s="1671"/>
      <c r="AG72" s="1671"/>
      <c r="AH72" s="1671"/>
      <c r="AI72" s="1671"/>
    </row>
    <row r="73" spans="1:35" s="634" customFormat="1" ht="14.25">
      <c r="A73" s="159" t="s">
        <v>327</v>
      </c>
      <c r="B73" s="149" t="s">
        <v>1393</v>
      </c>
      <c r="C73" s="2337">
        <f ca="1">C74+C78</f>
        <v>23</v>
      </c>
      <c r="D73" s="156" t="s">
        <v>26</v>
      </c>
      <c r="E73" s="1249"/>
      <c r="F73" s="1247"/>
      <c r="G73" s="1247"/>
      <c r="H73" s="168"/>
      <c r="I73" s="1672"/>
      <c r="J73" s="1670"/>
      <c r="K73" s="1670"/>
      <c r="L73" s="1670"/>
      <c r="M73" s="1670"/>
      <c r="N73" s="1670"/>
      <c r="O73" s="1670"/>
      <c r="P73" s="1670"/>
      <c r="Q73" s="1670"/>
      <c r="R73" s="1670"/>
      <c r="S73" s="1670"/>
      <c r="T73" s="1670"/>
      <c r="U73" s="1670"/>
      <c r="V73" s="1670"/>
      <c r="W73" s="1670"/>
      <c r="X73" s="1670"/>
      <c r="Y73" s="1670"/>
      <c r="Z73" s="1670"/>
      <c r="AA73" s="1671"/>
      <c r="AB73" s="1671"/>
      <c r="AC73" s="1671"/>
      <c r="AD73" s="1671"/>
      <c r="AE73" s="1671"/>
      <c r="AF73" s="1671"/>
      <c r="AG73" s="1671"/>
      <c r="AH73" s="1671"/>
      <c r="AI73" s="1671"/>
    </row>
    <row r="74" spans="1:35" s="634" customFormat="1" ht="24">
      <c r="A74" s="155" t="s">
        <v>325</v>
      </c>
      <c r="B74" s="156" t="s">
        <v>1394</v>
      </c>
      <c r="C74" s="156">
        <f>ROUND(IF(G77="2016年5月1日后购买",C75/(1+'数据-取费表'!C42)+C76+C77,C75+C76+C77),0)</f>
        <v>0</v>
      </c>
      <c r="D74" s="156" t="s">
        <v>26</v>
      </c>
      <c r="E74" s="1249"/>
      <c r="F74" s="1247"/>
      <c r="G74" s="1247"/>
      <c r="H74" s="168"/>
      <c r="I74" s="1672"/>
      <c r="J74" s="1670"/>
      <c r="K74" s="1670"/>
      <c r="L74" s="1670"/>
      <c r="M74" s="1670"/>
      <c r="N74" s="1670"/>
      <c r="O74" s="1670"/>
      <c r="P74" s="1670"/>
      <c r="Q74" s="1670"/>
      <c r="R74" s="1670"/>
      <c r="S74" s="1670"/>
      <c r="T74" s="1670"/>
      <c r="U74" s="1670"/>
      <c r="V74" s="1670"/>
      <c r="W74" s="1670"/>
      <c r="X74" s="1670"/>
      <c r="Y74" s="1670"/>
      <c r="Z74" s="1670"/>
      <c r="AA74" s="1671"/>
      <c r="AB74" s="1671"/>
      <c r="AC74" s="1671"/>
      <c r="AD74" s="1671"/>
      <c r="AE74" s="1671"/>
      <c r="AF74" s="1671"/>
      <c r="AG74" s="1671"/>
      <c r="AH74" s="1671"/>
      <c r="AI74" s="1671"/>
    </row>
    <row r="75" spans="1:35" s="634" customFormat="1" ht="14.25">
      <c r="A75" s="155" t="s">
        <v>331</v>
      </c>
      <c r="B75" s="156" t="s">
        <v>1395</v>
      </c>
      <c r="C75" s="2340"/>
      <c r="D75" s="156" t="s">
        <v>26</v>
      </c>
      <c r="E75" s="170" t="s">
        <v>1396</v>
      </c>
      <c r="F75" s="2341"/>
      <c r="G75" s="170" t="s">
        <v>1397</v>
      </c>
      <c r="H75" s="2342"/>
      <c r="I75" s="1673"/>
      <c r="J75" s="1670"/>
      <c r="K75" s="1670"/>
      <c r="L75" s="1670"/>
      <c r="M75" s="1670"/>
      <c r="N75" s="1670"/>
      <c r="O75" s="1670"/>
      <c r="P75" s="1670"/>
      <c r="Q75" s="1670"/>
      <c r="R75" s="1670"/>
      <c r="S75" s="1670"/>
      <c r="T75" s="1670"/>
      <c r="U75" s="1670"/>
      <c r="V75" s="1670"/>
      <c r="W75" s="1670"/>
      <c r="X75" s="1670"/>
      <c r="Y75" s="1670"/>
      <c r="Z75" s="1670"/>
      <c r="AA75" s="1671"/>
      <c r="AB75" s="1671"/>
      <c r="AC75" s="1671"/>
      <c r="AD75" s="1671"/>
      <c r="AE75" s="1671"/>
      <c r="AF75" s="1671"/>
      <c r="AG75" s="1671"/>
      <c r="AH75" s="1671"/>
      <c r="AI75" s="1671"/>
    </row>
    <row r="76" spans="1:35" s="634" customFormat="1" ht="24.75" customHeight="1">
      <c r="A76" s="155" t="s">
        <v>332</v>
      </c>
      <c r="B76" s="171" t="s">
        <v>1398</v>
      </c>
      <c r="C76" s="156">
        <f>IF(F75="购房发票",ROUND(C75*H75*D76,0),0)</f>
        <v>0</v>
      </c>
      <c r="D76" s="2343">
        <v>0.05</v>
      </c>
      <c r="E76" s="3392" t="s">
        <v>1399</v>
      </c>
      <c r="F76" s="3366"/>
      <c r="G76" s="3366"/>
      <c r="H76" s="3420"/>
      <c r="I76" s="1672"/>
      <c r="J76" s="1670"/>
      <c r="K76" s="1670"/>
      <c r="L76" s="1670"/>
      <c r="M76" s="1670"/>
      <c r="N76" s="1670"/>
      <c r="O76" s="1670"/>
      <c r="P76" s="1670"/>
      <c r="Q76" s="1670"/>
      <c r="R76" s="1670"/>
      <c r="S76" s="1670"/>
      <c r="T76" s="1670"/>
      <c r="U76" s="1670"/>
      <c r="V76" s="1670"/>
      <c r="W76" s="1670"/>
      <c r="X76" s="1670"/>
      <c r="Y76" s="1670"/>
      <c r="Z76" s="1670"/>
      <c r="AA76" s="1671"/>
      <c r="AB76" s="1671"/>
      <c r="AC76" s="1671"/>
      <c r="AD76" s="1671"/>
      <c r="AE76" s="1671"/>
      <c r="AF76" s="1671"/>
      <c r="AG76" s="1671"/>
      <c r="AH76" s="1671"/>
      <c r="AI76" s="1671"/>
    </row>
    <row r="77" spans="1:35" s="634" customFormat="1" ht="24.75" customHeight="1">
      <c r="A77" s="155" t="s">
        <v>333</v>
      </c>
      <c r="B77" s="156" t="s">
        <v>1400</v>
      </c>
      <c r="C77" s="156">
        <f>ROUND(IF(G77="个人住宅",0,IF(G77="2016年5月1日前购买",C75*D77,C75*D77/(1+'数据-取费表'!C42))),0)</f>
        <v>0</v>
      </c>
      <c r="D77" s="2344">
        <f>'数据-取费表'!B48+'数据-取费表'!B49</f>
        <v>3.0499999999999999E-2</v>
      </c>
      <c r="E77" s="12" t="s">
        <v>1401</v>
      </c>
      <c r="F77" s="172"/>
      <c r="G77" s="1674"/>
      <c r="H77" s="2143" t="str">
        <f>IF(G77="个人买卖住房","免征印花税"," ")</f>
        <v xml:space="preserve"> </v>
      </c>
      <c r="I77" s="1672"/>
      <c r="J77" s="1670"/>
      <c r="K77" s="1670"/>
      <c r="L77" s="1670"/>
      <c r="M77" s="1670"/>
      <c r="N77" s="1670"/>
      <c r="O77" s="1670"/>
      <c r="P77" s="1670"/>
      <c r="Q77" s="1670"/>
      <c r="R77" s="1670"/>
      <c r="S77" s="1670"/>
      <c r="T77" s="1670"/>
      <c r="U77" s="1670"/>
      <c r="V77" s="1670"/>
      <c r="W77" s="1670"/>
      <c r="X77" s="1670"/>
      <c r="Y77" s="1670"/>
      <c r="Z77" s="1670"/>
      <c r="AA77" s="1671"/>
      <c r="AB77" s="1671"/>
      <c r="AC77" s="1671"/>
      <c r="AD77" s="1671"/>
      <c r="AE77" s="1671"/>
      <c r="AF77" s="1671"/>
      <c r="AG77" s="1671"/>
      <c r="AH77" s="1671"/>
      <c r="AI77" s="1671"/>
    </row>
    <row r="78" spans="1:35" s="634" customFormat="1" ht="24.75" customHeight="1">
      <c r="A78" s="155" t="s">
        <v>326</v>
      </c>
      <c r="B78" s="156" t="s">
        <v>1402</v>
      </c>
      <c r="C78" s="2345">
        <f ca="1">ROUND(D45*D78/(1+'数据-取费表'!C42),0)</f>
        <v>23</v>
      </c>
      <c r="D78" s="2346">
        <f>'数据-取费表'!B43</f>
        <v>6.000000000000001E-3</v>
      </c>
      <c r="E78" s="3376" t="s">
        <v>1403</v>
      </c>
      <c r="F78" s="3377"/>
      <c r="G78" s="3377"/>
      <c r="H78" s="3386"/>
      <c r="I78" s="1675"/>
      <c r="J78" s="1670"/>
      <c r="K78" s="1670"/>
      <c r="L78" s="1670"/>
      <c r="M78" s="1670"/>
      <c r="N78" s="1670"/>
      <c r="O78" s="1670"/>
      <c r="P78" s="1670"/>
      <c r="Q78" s="1670"/>
      <c r="R78" s="1670"/>
      <c r="S78" s="1670"/>
      <c r="T78" s="1670"/>
      <c r="U78" s="1670"/>
      <c r="V78" s="1670"/>
      <c r="W78" s="1670"/>
      <c r="X78" s="1670"/>
      <c r="Y78" s="1670"/>
      <c r="Z78" s="1670"/>
      <c r="AA78" s="1671"/>
      <c r="AB78" s="1671"/>
      <c r="AC78" s="1671"/>
      <c r="AD78" s="1671"/>
      <c r="AE78" s="1671"/>
      <c r="AF78" s="1671"/>
      <c r="AG78" s="1671"/>
      <c r="AH78" s="1671"/>
      <c r="AI78" s="1671"/>
    </row>
    <row r="79" spans="1:35" s="634" customFormat="1" ht="14.25">
      <c r="A79" s="159" t="s">
        <v>328</v>
      </c>
      <c r="B79" s="160" t="s">
        <v>1404</v>
      </c>
      <c r="C79" s="2337">
        <f ca="1">C72-C73</f>
        <v>3846</v>
      </c>
      <c r="D79" s="156" t="s">
        <v>26</v>
      </c>
      <c r="E79" s="1249"/>
      <c r="F79" s="1247"/>
      <c r="G79" s="1247"/>
      <c r="H79" s="168"/>
      <c r="I79" s="1672"/>
      <c r="J79" s="1670"/>
      <c r="K79" s="1670"/>
      <c r="L79" s="1670"/>
      <c r="M79" s="1670"/>
      <c r="N79" s="1670"/>
      <c r="O79" s="1670"/>
      <c r="P79" s="1670"/>
      <c r="Q79" s="1670"/>
      <c r="R79" s="1670"/>
      <c r="S79" s="1670"/>
      <c r="T79" s="1670"/>
      <c r="U79" s="1670"/>
      <c r="V79" s="1670"/>
      <c r="W79" s="1670"/>
      <c r="X79" s="1670"/>
      <c r="Y79" s="1670"/>
      <c r="Z79" s="1670"/>
      <c r="AA79" s="1671"/>
      <c r="AB79" s="1671"/>
      <c r="AC79" s="1671"/>
      <c r="AD79" s="1671"/>
      <c r="AE79" s="1671"/>
      <c r="AF79" s="1671"/>
      <c r="AG79" s="1671"/>
      <c r="AH79" s="1671"/>
      <c r="AI79" s="1671"/>
    </row>
    <row r="80" spans="1:35" s="634" customFormat="1" ht="24">
      <c r="A80" s="159" t="s">
        <v>335</v>
      </c>
      <c r="B80" s="160" t="s">
        <v>1405</v>
      </c>
      <c r="C80" s="2347">
        <f ca="1">IF(C79&lt;=0,0,C79/C73)</f>
        <v>167.21739130434781</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2"/>
      <c r="J80" s="1670"/>
      <c r="K80" s="1670"/>
      <c r="L80" s="1670"/>
      <c r="M80" s="1670"/>
      <c r="N80" s="1670"/>
      <c r="O80" s="1670"/>
      <c r="P80" s="1670"/>
      <c r="Q80" s="1670"/>
      <c r="R80" s="1670"/>
      <c r="S80" s="1670"/>
      <c r="T80" s="1670"/>
      <c r="U80" s="1670"/>
      <c r="V80" s="1670"/>
      <c r="W80" s="1670"/>
      <c r="X80" s="1670"/>
      <c r="Y80" s="1670"/>
      <c r="Z80" s="1670"/>
      <c r="AA80" s="1671"/>
      <c r="AB80" s="1671"/>
      <c r="AC80" s="1671"/>
      <c r="AD80" s="1671"/>
      <c r="AE80" s="1671"/>
      <c r="AF80" s="1671"/>
      <c r="AG80" s="1671"/>
      <c r="AH80" s="1671"/>
      <c r="AI80" s="1671"/>
    </row>
    <row r="81" spans="1:35" s="634" customFormat="1" ht="24.75" thickBot="1">
      <c r="A81" s="162" t="s">
        <v>336</v>
      </c>
      <c r="B81" s="163" t="s">
        <v>1406</v>
      </c>
      <c r="C81" s="2348">
        <f ca="1">ROUND(IF(C79&lt;=0,0,IF(C80&gt;=200%,C79*60%-C73*35%,IF(C80&gt;=100%,C79*50%-C73*15%,IF(C80&gt;=50%,C79*40%-C73*5%,IF(C80&lt;50%,C79*30%,0))))),0)</f>
        <v>2300</v>
      </c>
      <c r="D81" s="234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2"/>
      <c r="J81" s="1670"/>
      <c r="K81" s="1670"/>
      <c r="L81" s="1670"/>
      <c r="M81" s="1670"/>
      <c r="N81" s="1670"/>
      <c r="O81" s="1670"/>
      <c r="P81" s="1670"/>
      <c r="Q81" s="1670"/>
      <c r="R81" s="1670"/>
      <c r="S81" s="1670"/>
      <c r="T81" s="1670"/>
      <c r="U81" s="1670"/>
      <c r="V81" s="1670"/>
      <c r="W81" s="1670"/>
      <c r="X81" s="1670"/>
      <c r="Y81" s="1670"/>
      <c r="Z81" s="1670"/>
      <c r="AA81" s="1671"/>
      <c r="AB81" s="1671"/>
      <c r="AC81" s="1671"/>
      <c r="AD81" s="1671"/>
      <c r="AE81" s="1671"/>
      <c r="AF81" s="1671"/>
      <c r="AG81" s="1671"/>
      <c r="AH81" s="1671"/>
      <c r="AI81" s="1671"/>
    </row>
    <row r="82" spans="1:35" s="634" customFormat="1" ht="7.5" customHeight="1">
      <c r="A82" s="4"/>
      <c r="B82" s="639"/>
      <c r="C82" s="4"/>
      <c r="D82" s="4"/>
      <c r="E82" s="639"/>
      <c r="F82" s="639"/>
      <c r="G82" s="639"/>
      <c r="H82" s="640"/>
      <c r="I82" s="1675"/>
      <c r="J82" s="1670"/>
      <c r="K82" s="1670"/>
      <c r="L82" s="1670"/>
      <c r="M82" s="1670"/>
      <c r="N82" s="1670"/>
      <c r="O82" s="1670"/>
      <c r="P82" s="1670"/>
      <c r="Q82" s="1670"/>
      <c r="R82" s="1670"/>
      <c r="S82" s="1670"/>
      <c r="T82" s="1670"/>
      <c r="U82" s="1670"/>
      <c r="V82" s="1670"/>
      <c r="W82" s="1670"/>
      <c r="X82" s="1670"/>
      <c r="Y82" s="1670"/>
      <c r="Z82" s="1670"/>
      <c r="AA82" s="1671"/>
      <c r="AB82" s="1671"/>
      <c r="AC82" s="1671"/>
      <c r="AD82" s="1671"/>
      <c r="AE82" s="1671"/>
      <c r="AF82" s="1671"/>
      <c r="AG82" s="1671"/>
      <c r="AH82" s="1671"/>
      <c r="AI82" s="1671"/>
    </row>
    <row r="83" spans="1:35" s="634" customFormat="1" ht="15" thickBot="1">
      <c r="A83" s="3421" t="s">
        <v>1407</v>
      </c>
      <c r="B83" s="3422"/>
      <c r="C83" s="3422"/>
      <c r="D83" s="3422"/>
      <c r="E83" s="3422"/>
      <c r="F83" s="3422"/>
      <c r="G83" s="3422"/>
      <c r="H83" s="3422"/>
      <c r="I83" s="1673"/>
      <c r="J83" s="1670"/>
      <c r="K83" s="1670"/>
      <c r="L83" s="1670"/>
      <c r="M83" s="1670"/>
      <c r="N83" s="1670"/>
      <c r="O83" s="1670"/>
      <c r="P83" s="1670"/>
      <c r="Q83" s="1670"/>
      <c r="R83" s="1670"/>
      <c r="S83" s="1670"/>
      <c r="T83" s="1670"/>
      <c r="U83" s="1670"/>
      <c r="V83" s="1670"/>
      <c r="W83" s="1670"/>
      <c r="X83" s="1670"/>
      <c r="Y83" s="1670"/>
      <c r="Z83" s="1670"/>
      <c r="AA83" s="1671"/>
      <c r="AB83" s="1671"/>
      <c r="AC83" s="1671"/>
      <c r="AD83" s="1671"/>
      <c r="AE83" s="1671"/>
      <c r="AF83" s="1671"/>
      <c r="AG83" s="1671"/>
      <c r="AH83" s="1671"/>
      <c r="AI83" s="1671"/>
    </row>
    <row r="84" spans="1:35" s="634" customFormat="1" ht="14.25">
      <c r="A84" s="3397" t="s">
        <v>1372</v>
      </c>
      <c r="B84" s="3398"/>
      <c r="C84" s="1857"/>
      <c r="D84" s="1857" t="s">
        <v>1373</v>
      </c>
      <c r="E84" s="165" t="s">
        <v>1374</v>
      </c>
      <c r="F84" s="166"/>
      <c r="G84" s="166"/>
      <c r="H84" s="177"/>
      <c r="I84" s="1673"/>
      <c r="J84" s="1670"/>
      <c r="K84" s="1670"/>
      <c r="L84" s="1670"/>
      <c r="M84" s="1670"/>
      <c r="N84" s="1670"/>
      <c r="O84" s="1670"/>
      <c r="P84" s="1670"/>
      <c r="Q84" s="1670"/>
      <c r="R84" s="1670"/>
      <c r="S84" s="1670"/>
      <c r="T84" s="1670"/>
      <c r="U84" s="1670"/>
      <c r="V84" s="1670"/>
      <c r="W84" s="1670"/>
      <c r="X84" s="1670"/>
      <c r="Y84" s="1670"/>
      <c r="Z84" s="1670"/>
      <c r="AA84" s="1671"/>
      <c r="AB84" s="1671"/>
      <c r="AC84" s="1671"/>
      <c r="AD84" s="1671"/>
      <c r="AE84" s="1671"/>
      <c r="AF84" s="1671"/>
      <c r="AG84" s="1671"/>
      <c r="AH84" s="1671"/>
      <c r="AI84" s="1671"/>
    </row>
    <row r="85" spans="1:35" s="634" customFormat="1" ht="14.25">
      <c r="A85" s="159" t="s">
        <v>330</v>
      </c>
      <c r="B85" s="160" t="s">
        <v>1392</v>
      </c>
      <c r="C85" s="2337">
        <f ca="1">ROUND(D45/(1+'数据-取费表'!C42),0)</f>
        <v>3869</v>
      </c>
      <c r="D85" s="156" t="s">
        <v>26</v>
      </c>
      <c r="E85" s="1249"/>
      <c r="F85" s="1247"/>
      <c r="G85" s="1247"/>
      <c r="H85" s="178"/>
      <c r="I85" s="1673"/>
      <c r="J85" s="1670"/>
      <c r="K85" s="1670"/>
      <c r="L85" s="1670"/>
      <c r="M85" s="1670"/>
      <c r="N85" s="1670"/>
      <c r="O85" s="1670"/>
      <c r="P85" s="1670"/>
      <c r="Q85" s="1670"/>
      <c r="R85" s="1670"/>
      <c r="S85" s="1670"/>
      <c r="T85" s="1670"/>
      <c r="U85" s="1670"/>
      <c r="V85" s="1670"/>
      <c r="W85" s="1670"/>
      <c r="X85" s="1670"/>
      <c r="Y85" s="1670"/>
      <c r="Z85" s="1670"/>
      <c r="AA85" s="1671"/>
      <c r="AB85" s="1671"/>
      <c r="AC85" s="1671"/>
      <c r="AD85" s="1671"/>
      <c r="AE85" s="1671"/>
      <c r="AF85" s="1671"/>
      <c r="AG85" s="1671"/>
      <c r="AH85" s="1671"/>
      <c r="AI85" s="1671"/>
    </row>
    <row r="86" spans="1:35" s="634" customFormat="1" ht="14.25">
      <c r="A86" s="159" t="s">
        <v>327</v>
      </c>
      <c r="B86" s="149" t="s">
        <v>1393</v>
      </c>
      <c r="C86" s="2337">
        <f ca="1">IF(H88="仅含出让金",C87+C90+C91+C92+C93+C94,C87+C91+C92+C93+C94)</f>
        <v>23</v>
      </c>
      <c r="D86" s="2350"/>
      <c r="E86" s="1249"/>
      <c r="F86" s="1247"/>
      <c r="G86" s="1247"/>
      <c r="H86" s="178"/>
      <c r="I86" s="1673"/>
      <c r="J86" s="1670"/>
      <c r="K86" s="1670"/>
      <c r="L86" s="1670"/>
      <c r="M86" s="1670"/>
      <c r="N86" s="1670"/>
      <c r="O86" s="1670"/>
      <c r="P86" s="1670"/>
      <c r="Q86" s="1670"/>
      <c r="R86" s="1670"/>
      <c r="S86" s="1670"/>
      <c r="T86" s="1670"/>
      <c r="U86" s="1670"/>
      <c r="V86" s="1670"/>
      <c r="W86" s="1670"/>
      <c r="X86" s="1670"/>
      <c r="Y86" s="1670"/>
      <c r="Z86" s="1670"/>
      <c r="AA86" s="1671"/>
      <c r="AB86" s="1671"/>
      <c r="AC86" s="1671"/>
      <c r="AD86" s="1671"/>
      <c r="AE86" s="1671"/>
      <c r="AF86" s="1671"/>
      <c r="AG86" s="1671"/>
      <c r="AH86" s="1671"/>
      <c r="AI86" s="1671"/>
    </row>
    <row r="87" spans="1:35" s="634" customFormat="1" ht="14.25">
      <c r="A87" s="155" t="s">
        <v>325</v>
      </c>
      <c r="B87" s="156" t="s">
        <v>1408</v>
      </c>
      <c r="C87" s="2345">
        <f>C88+C89</f>
        <v>0</v>
      </c>
      <c r="D87" s="2346"/>
      <c r="E87" s="2139"/>
      <c r="F87" s="2140"/>
      <c r="G87" s="2140"/>
      <c r="H87" s="2141"/>
      <c r="I87" s="1673"/>
      <c r="J87" s="1670"/>
      <c r="K87" s="1670"/>
      <c r="L87" s="1670"/>
      <c r="M87" s="1670"/>
      <c r="N87" s="1670"/>
      <c r="O87" s="1670"/>
      <c r="P87" s="1670"/>
      <c r="Q87" s="1670"/>
      <c r="R87" s="1670"/>
      <c r="S87" s="1670"/>
      <c r="T87" s="1670"/>
      <c r="U87" s="1670"/>
      <c r="V87" s="1670"/>
      <c r="W87" s="1670"/>
      <c r="X87" s="1670"/>
      <c r="Y87" s="1670"/>
      <c r="Z87" s="1670"/>
      <c r="AA87" s="1671"/>
      <c r="AB87" s="1671"/>
      <c r="AC87" s="1671"/>
      <c r="AD87" s="1671"/>
      <c r="AE87" s="1671"/>
      <c r="AF87" s="1671"/>
      <c r="AG87" s="1671"/>
      <c r="AH87" s="1671"/>
      <c r="AI87" s="1671"/>
    </row>
    <row r="88" spans="1:35" s="634" customFormat="1" ht="14.25">
      <c r="A88" s="155" t="s">
        <v>331</v>
      </c>
      <c r="B88" s="156" t="s">
        <v>1409</v>
      </c>
      <c r="C88" s="2351"/>
      <c r="D88" s="2346"/>
      <c r="E88" s="179" t="s">
        <v>1410</v>
      </c>
      <c r="F88" s="2140"/>
      <c r="G88" s="180" t="s">
        <v>1411</v>
      </c>
      <c r="H88" s="1676"/>
      <c r="I88" s="1673"/>
      <c r="J88" s="2291" t="s">
        <v>2282</v>
      </c>
      <c r="K88" s="1670"/>
      <c r="L88" s="1670"/>
      <c r="M88" s="1670"/>
      <c r="N88" s="1670"/>
      <c r="O88" s="1670"/>
      <c r="P88" s="1670"/>
      <c r="Q88" s="1670"/>
      <c r="R88" s="1670"/>
      <c r="S88" s="1670"/>
      <c r="T88" s="1670"/>
      <c r="U88" s="1670"/>
      <c r="V88" s="1670"/>
      <c r="W88" s="1670"/>
      <c r="X88" s="1670"/>
      <c r="Y88" s="1670"/>
      <c r="Z88" s="1670"/>
      <c r="AA88" s="1671"/>
      <c r="AB88" s="1671"/>
      <c r="AC88" s="1671"/>
      <c r="AD88" s="1671"/>
      <c r="AE88" s="1671"/>
      <c r="AF88" s="1671"/>
      <c r="AG88" s="1671"/>
      <c r="AH88" s="1671"/>
      <c r="AI88" s="1671"/>
    </row>
    <row r="89" spans="1:35" s="634" customFormat="1" ht="14.25">
      <c r="A89" s="155" t="s">
        <v>332</v>
      </c>
      <c r="B89" s="156" t="s">
        <v>1400</v>
      </c>
      <c r="C89" s="2345">
        <f>ROUND(C88*D89,0)</f>
        <v>0</v>
      </c>
      <c r="D89" s="2346">
        <f>'数据-取费表'!B48+'数据-取费表'!B49</f>
        <v>3.0499999999999999E-2</v>
      </c>
      <c r="E89" s="179" t="s">
        <v>1412</v>
      </c>
      <c r="F89" s="2140"/>
      <c r="G89" s="2140"/>
      <c r="H89" s="2141"/>
      <c r="I89" s="1673"/>
      <c r="J89" s="1670"/>
      <c r="K89" s="1670"/>
      <c r="L89" s="1670"/>
      <c r="M89" s="1670"/>
      <c r="N89" s="1670"/>
      <c r="O89" s="1670"/>
      <c r="P89" s="1670"/>
      <c r="Q89" s="1670"/>
      <c r="R89" s="1670"/>
      <c r="S89" s="1670"/>
      <c r="T89" s="1670"/>
      <c r="U89" s="1670"/>
      <c r="V89" s="1670"/>
      <c r="W89" s="1670"/>
      <c r="X89" s="1670"/>
      <c r="Y89" s="1670"/>
      <c r="Z89" s="1670"/>
      <c r="AA89" s="1671"/>
      <c r="AB89" s="1671"/>
      <c r="AC89" s="1671"/>
      <c r="AD89" s="1671"/>
      <c r="AE89" s="1671"/>
      <c r="AF89" s="1671"/>
      <c r="AG89" s="1671"/>
      <c r="AH89" s="1671"/>
      <c r="AI89" s="1671"/>
    </row>
    <row r="90" spans="1:35" s="634" customFormat="1" ht="14.25">
      <c r="A90" s="155" t="s">
        <v>326</v>
      </c>
      <c r="B90" s="156" t="s">
        <v>1413</v>
      </c>
      <c r="C90" s="2351"/>
      <c r="D90" s="2346"/>
      <c r="E90" s="179" t="str">
        <f>IF(H88="-","土地取得成本中已包含该笔费用"," ")</f>
        <v xml:space="preserve"> </v>
      </c>
      <c r="F90" s="2140"/>
      <c r="G90" s="3462" t="s">
        <v>2123</v>
      </c>
      <c r="H90" s="3463"/>
      <c r="I90" s="1673"/>
      <c r="J90" s="2291" t="s">
        <v>2283</v>
      </c>
      <c r="K90" s="1670"/>
      <c r="L90" s="1670"/>
      <c r="M90" s="1670"/>
      <c r="N90" s="1670"/>
      <c r="O90" s="1670"/>
      <c r="P90" s="1670"/>
      <c r="Q90" s="1670"/>
      <c r="R90" s="1670"/>
      <c r="S90" s="1670"/>
      <c r="T90" s="1670"/>
      <c r="U90" s="1670"/>
      <c r="V90" s="1670"/>
      <c r="W90" s="1670"/>
      <c r="X90" s="1670"/>
      <c r="Y90" s="1670"/>
      <c r="Z90" s="1670"/>
      <c r="AA90" s="1671"/>
      <c r="AB90" s="1671"/>
      <c r="AC90" s="1671"/>
      <c r="AD90" s="1671"/>
      <c r="AE90" s="1671"/>
      <c r="AF90" s="1671"/>
      <c r="AG90" s="1671"/>
      <c r="AH90" s="1671"/>
      <c r="AI90" s="1671"/>
    </row>
    <row r="91" spans="1:35" s="634" customFormat="1" ht="27.75" customHeight="1">
      <c r="A91" s="155" t="s">
        <v>1414</v>
      </c>
      <c r="B91" s="156" t="s">
        <v>1415</v>
      </c>
      <c r="C91" s="2345">
        <f>IF(H91="——",'成本法-地下2层'!C33,I91)</f>
        <v>0</v>
      </c>
      <c r="D91" s="2346"/>
      <c r="E91" s="3376" t="s">
        <v>1416</v>
      </c>
      <c r="F91" s="3377"/>
      <c r="G91" s="3377"/>
      <c r="H91" s="1677"/>
      <c r="I91" s="1678"/>
      <c r="J91" s="1670"/>
      <c r="K91" s="1670"/>
      <c r="L91" s="1670"/>
      <c r="M91" s="1670"/>
      <c r="N91" s="1670"/>
      <c r="O91" s="1670"/>
      <c r="P91" s="1670"/>
      <c r="Q91" s="1670"/>
      <c r="R91" s="1670"/>
      <c r="S91" s="1670"/>
      <c r="T91" s="1670"/>
      <c r="U91" s="1670"/>
      <c r="V91" s="1670"/>
      <c r="W91" s="1670"/>
      <c r="X91" s="1670"/>
      <c r="Y91" s="1670"/>
      <c r="Z91" s="1670"/>
      <c r="AA91" s="1671"/>
      <c r="AB91" s="1671"/>
      <c r="AC91" s="1671"/>
      <c r="AD91" s="1671"/>
      <c r="AE91" s="1671"/>
      <c r="AF91" s="1671"/>
      <c r="AG91" s="1671"/>
      <c r="AH91" s="1671"/>
      <c r="AI91" s="1671"/>
    </row>
    <row r="92" spans="1:35" s="634" customFormat="1" ht="25.5" customHeight="1">
      <c r="A92" s="155" t="s">
        <v>1417</v>
      </c>
      <c r="B92" s="156" t="s">
        <v>1418</v>
      </c>
      <c r="C92" s="2345">
        <f>ROUND((C87+C90+C91)*D92,0)</f>
        <v>0</v>
      </c>
      <c r="D92" s="2352"/>
      <c r="E92" s="3376" t="s">
        <v>1419</v>
      </c>
      <c r="F92" s="3377"/>
      <c r="G92" s="3377"/>
      <c r="H92" s="3386"/>
      <c r="I92" s="1673"/>
      <c r="J92" s="2292" t="s">
        <v>2284</v>
      </c>
      <c r="K92" s="1670"/>
      <c r="L92" s="1670"/>
      <c r="M92" s="1670"/>
      <c r="N92" s="1670"/>
      <c r="O92" s="1670"/>
      <c r="P92" s="1670"/>
      <c r="Q92" s="1670"/>
      <c r="R92" s="1670"/>
      <c r="S92" s="1670"/>
      <c r="T92" s="1670"/>
      <c r="U92" s="1670"/>
      <c r="V92" s="1670"/>
      <c r="W92" s="1670"/>
      <c r="X92" s="1670"/>
      <c r="Y92" s="1670"/>
      <c r="Z92" s="1670"/>
      <c r="AA92" s="1671"/>
      <c r="AB92" s="1671"/>
      <c r="AC92" s="1671"/>
      <c r="AD92" s="1671"/>
      <c r="AE92" s="1671"/>
      <c r="AF92" s="1671"/>
      <c r="AG92" s="1671"/>
      <c r="AH92" s="1671"/>
      <c r="AI92" s="1671"/>
    </row>
    <row r="93" spans="1:35" s="634" customFormat="1" ht="25.5" customHeight="1">
      <c r="A93" s="155" t="s">
        <v>1420</v>
      </c>
      <c r="B93" s="156" t="s">
        <v>1402</v>
      </c>
      <c r="C93" s="2345">
        <f ca="1">ROUND(D45*D93/(1+'数据-取费表'!C42),0)</f>
        <v>23</v>
      </c>
      <c r="D93" s="2346">
        <f>'数据-取费表'!B43</f>
        <v>6.000000000000001E-3</v>
      </c>
      <c r="E93" s="3376" t="s">
        <v>1403</v>
      </c>
      <c r="F93" s="3377"/>
      <c r="G93" s="3377"/>
      <c r="H93" s="3386"/>
      <c r="I93" s="1673"/>
      <c r="J93" s="1670"/>
      <c r="K93" s="1670"/>
      <c r="L93" s="1670"/>
      <c r="M93" s="1670"/>
      <c r="N93" s="1670"/>
      <c r="O93" s="1670"/>
      <c r="P93" s="1670"/>
      <c r="Q93" s="1670"/>
      <c r="R93" s="1670"/>
      <c r="S93" s="1670"/>
      <c r="T93" s="1670"/>
      <c r="U93" s="1670"/>
      <c r="V93" s="1670"/>
      <c r="W93" s="1670"/>
      <c r="X93" s="1670"/>
      <c r="Y93" s="1670"/>
      <c r="Z93" s="1670"/>
      <c r="AA93" s="1671"/>
      <c r="AB93" s="1671"/>
      <c r="AC93" s="1671"/>
      <c r="AD93" s="1671"/>
      <c r="AE93" s="1671"/>
      <c r="AF93" s="1671"/>
      <c r="AG93" s="1671"/>
      <c r="AH93" s="1671"/>
      <c r="AI93" s="1671"/>
    </row>
    <row r="94" spans="1:35" s="634" customFormat="1" ht="36.75" customHeight="1">
      <c r="A94" s="155" t="s">
        <v>1421</v>
      </c>
      <c r="B94" s="156" t="s">
        <v>1422</v>
      </c>
      <c r="C94" s="2351">
        <f>ROUND((C87+C90+C91)*D94,0)</f>
        <v>0</v>
      </c>
      <c r="D94" s="2346">
        <v>0.2</v>
      </c>
      <c r="E94" s="3387" t="s">
        <v>1423</v>
      </c>
      <c r="F94" s="3388"/>
      <c r="G94" s="3388"/>
      <c r="H94" s="3389"/>
      <c r="I94" s="1673"/>
      <c r="J94" s="1670"/>
      <c r="K94" s="1670"/>
      <c r="L94" s="1670"/>
      <c r="M94" s="1670"/>
      <c r="N94" s="1670"/>
      <c r="O94" s="1670"/>
      <c r="P94" s="1670"/>
      <c r="Q94" s="1670"/>
      <c r="R94" s="1670"/>
      <c r="S94" s="1670"/>
      <c r="T94" s="1670"/>
      <c r="U94" s="1670"/>
      <c r="V94" s="1670"/>
      <c r="W94" s="1670"/>
      <c r="X94" s="1670"/>
      <c r="Y94" s="1670"/>
      <c r="Z94" s="1670"/>
      <c r="AA94" s="1671"/>
      <c r="AB94" s="1671"/>
      <c r="AC94" s="1671"/>
      <c r="AD94" s="1671"/>
      <c r="AE94" s="1671"/>
      <c r="AF94" s="1671"/>
      <c r="AG94" s="1671"/>
      <c r="AH94" s="1671"/>
      <c r="AI94" s="1671"/>
    </row>
    <row r="95" spans="1:35" s="634" customFormat="1" ht="14.25">
      <c r="A95" s="159" t="s">
        <v>328</v>
      </c>
      <c r="B95" s="160" t="s">
        <v>1404</v>
      </c>
      <c r="C95" s="2337">
        <f ca="1">ROUND(C85-C86,0)</f>
        <v>3846</v>
      </c>
      <c r="D95" s="156" t="s">
        <v>26</v>
      </c>
      <c r="E95" s="1249"/>
      <c r="F95" s="1247"/>
      <c r="G95" s="1247"/>
      <c r="H95" s="178"/>
      <c r="I95" s="1673"/>
      <c r="J95" s="1670"/>
      <c r="K95" s="1670"/>
      <c r="L95" s="1670"/>
      <c r="M95" s="1670"/>
      <c r="N95" s="1670"/>
      <c r="O95" s="1670"/>
      <c r="P95" s="1670"/>
      <c r="Q95" s="1670"/>
      <c r="R95" s="1670"/>
      <c r="S95" s="1670"/>
      <c r="T95" s="1670"/>
      <c r="U95" s="1670"/>
      <c r="V95" s="1670"/>
      <c r="W95" s="1670"/>
      <c r="X95" s="1670"/>
      <c r="Y95" s="1670"/>
      <c r="Z95" s="1670"/>
      <c r="AA95" s="1671"/>
      <c r="AB95" s="1671"/>
      <c r="AC95" s="1671"/>
      <c r="AD95" s="1671"/>
      <c r="AE95" s="1671"/>
      <c r="AF95" s="1671"/>
      <c r="AG95" s="1671"/>
      <c r="AH95" s="1671"/>
      <c r="AI95" s="1671"/>
    </row>
    <row r="96" spans="1:35" s="634" customFormat="1" ht="24">
      <c r="A96" s="159" t="s">
        <v>335</v>
      </c>
      <c r="B96" s="160" t="s">
        <v>1405</v>
      </c>
      <c r="C96" s="2347">
        <f ca="1">IF(C95&lt;=0,0,C95/C86)</f>
        <v>167.21739130434781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3"/>
      <c r="J96" s="1670"/>
      <c r="K96" s="1670"/>
      <c r="L96" s="1670"/>
      <c r="M96" s="1670"/>
      <c r="N96" s="1670"/>
      <c r="O96" s="1670"/>
      <c r="P96" s="1670"/>
      <c r="Q96" s="1670"/>
      <c r="R96" s="1670"/>
      <c r="S96" s="1670"/>
      <c r="T96" s="1670"/>
      <c r="U96" s="1670"/>
      <c r="V96" s="1670"/>
      <c r="W96" s="1670"/>
      <c r="X96" s="1670"/>
      <c r="Y96" s="1670"/>
      <c r="Z96" s="1670"/>
      <c r="AA96" s="1671"/>
      <c r="AB96" s="1671"/>
      <c r="AC96" s="1671"/>
      <c r="AD96" s="1671"/>
      <c r="AE96" s="1671"/>
      <c r="AF96" s="1671"/>
      <c r="AG96" s="1671"/>
      <c r="AH96" s="1671"/>
      <c r="AI96" s="1671"/>
    </row>
    <row r="97" spans="1:35" s="634" customFormat="1" ht="24.75" thickBot="1">
      <c r="A97" s="162" t="s">
        <v>336</v>
      </c>
      <c r="B97" s="163" t="s">
        <v>1406</v>
      </c>
      <c r="C97" s="2348">
        <f ca="1">ROUND(IF(C95&lt;=0,0,IF(C96&gt;=200%,C95*60%-C86*35%,IF(C96&gt;=100%,C95*50%-C86*15%,IF(C96&gt;=50%,C95*40%-C86*5%,IF(C96&lt;50%,C95*30%,0))))),0)</f>
        <v>2300</v>
      </c>
      <c r="D97" s="234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3"/>
      <c r="J97" s="1670"/>
      <c r="K97" s="1670"/>
      <c r="L97" s="1670"/>
      <c r="M97" s="1670"/>
      <c r="N97" s="1670"/>
      <c r="O97" s="1670"/>
      <c r="P97" s="1670"/>
      <c r="Q97" s="1670"/>
      <c r="R97" s="1670"/>
      <c r="S97" s="1670"/>
      <c r="T97" s="1670"/>
      <c r="U97" s="1670"/>
      <c r="V97" s="1670"/>
      <c r="W97" s="1670"/>
      <c r="X97" s="1670"/>
      <c r="Y97" s="1670"/>
      <c r="Z97" s="1670"/>
      <c r="AA97" s="1671"/>
      <c r="AB97" s="1671"/>
      <c r="AC97" s="1671"/>
      <c r="AD97" s="1671"/>
      <c r="AE97" s="1671"/>
      <c r="AF97" s="1671"/>
      <c r="AG97" s="1671"/>
      <c r="AH97" s="1671"/>
      <c r="AI97" s="1671"/>
    </row>
    <row r="98" spans="1:35" ht="21.75" customHeight="1">
      <c r="A98" s="1663"/>
      <c r="B98" s="638"/>
      <c r="C98" s="638"/>
      <c r="D98" s="638"/>
      <c r="E98" s="1458"/>
      <c r="F98" s="1458"/>
      <c r="G98" s="1458"/>
      <c r="H98" s="1459"/>
      <c r="I98" s="115"/>
    </row>
    <row r="99" spans="1:35" ht="21.75" customHeight="1" thickBot="1">
      <c r="A99" s="1456" t="s">
        <v>1424</v>
      </c>
      <c r="B99" s="638"/>
      <c r="C99" s="638"/>
      <c r="D99" s="638"/>
      <c r="E99" s="1458"/>
      <c r="F99" s="1458"/>
      <c r="G99" s="1458"/>
      <c r="H99" s="1459"/>
      <c r="I99" s="115"/>
    </row>
    <row r="100" spans="1:35" ht="18.75" customHeight="1">
      <c r="A100" s="3358" t="s">
        <v>1425</v>
      </c>
      <c r="B100" s="3359"/>
      <c r="C100" s="3359"/>
      <c r="D100" s="3378"/>
      <c r="E100" s="3359" t="s">
        <v>1426</v>
      </c>
      <c r="F100" s="3359"/>
      <c r="G100" s="3359"/>
      <c r="H100" s="3378"/>
      <c r="I100" s="115"/>
    </row>
    <row r="101" spans="1:35" ht="18.75" customHeight="1">
      <c r="A101" s="3443" t="s">
        <v>1427</v>
      </c>
      <c r="B101" s="3444"/>
      <c r="C101" s="2354" t="str">
        <f>C4</f>
        <v>成本法-地下3层</v>
      </c>
      <c r="D101" s="2355" t="str">
        <f>D4</f>
        <v>收益法-地下3层</v>
      </c>
      <c r="E101" s="3457" t="s">
        <v>1428</v>
      </c>
      <c r="F101" s="3413"/>
      <c r="G101" s="1679" t="s">
        <v>1429</v>
      </c>
      <c r="H101" s="2364">
        <f ca="1">H118</f>
        <v>4062</v>
      </c>
      <c r="I101" s="115"/>
    </row>
    <row r="102" spans="1:35" ht="18.75" customHeight="1">
      <c r="A102" s="3415" t="s">
        <v>1430</v>
      </c>
      <c r="B102" s="2353" t="s">
        <v>1429</v>
      </c>
      <c r="C102" s="2354">
        <f ca="1">IF(D32="楼面单价",ROUND(C19,0),C19)</f>
        <v>3904</v>
      </c>
      <c r="D102" s="2355">
        <f ca="1">IF(D32="楼面单价",ROUND(D19,0),D19)</f>
        <v>4219</v>
      </c>
      <c r="E102" s="3457"/>
      <c r="F102" s="3413"/>
      <c r="G102" s="1679" t="s">
        <v>1431</v>
      </c>
      <c r="H102" s="2324">
        <f ca="1">I118</f>
        <v>12989</v>
      </c>
      <c r="I102" s="115"/>
    </row>
    <row r="103" spans="1:35" ht="42.75" customHeight="1">
      <c r="A103" s="3415"/>
      <c r="B103" s="2353" t="s">
        <v>1431</v>
      </c>
      <c r="C103" s="2356">
        <f ca="1">C20</f>
        <v>12484</v>
      </c>
      <c r="D103" s="2357">
        <f ca="1">D20</f>
        <v>13492</v>
      </c>
      <c r="E103" s="3451" t="s">
        <v>1432</v>
      </c>
      <c r="F103" s="3452"/>
      <c r="G103" s="1680" t="s">
        <v>1433</v>
      </c>
      <c r="H103" s="2364">
        <f>IF(D36="正常操作",H104+H105+H106,H105+H106)</f>
        <v>0</v>
      </c>
      <c r="I103" s="115"/>
    </row>
    <row r="104" spans="1:35" ht="18.75" customHeight="1">
      <c r="A104" s="3415" t="s">
        <v>1434</v>
      </c>
      <c r="B104" s="2358" t="s">
        <v>1429</v>
      </c>
      <c r="C104" s="2359">
        <f ca="1">H118</f>
        <v>4062</v>
      </c>
      <c r="D104" s="2360"/>
      <c r="E104" s="1547" t="s">
        <v>1435</v>
      </c>
      <c r="F104" s="1540"/>
      <c r="G104" s="1680" t="s">
        <v>1433</v>
      </c>
      <c r="H104" s="2365">
        <f>IF(D36="同一抵押权人同一抵押物续贷",C36&amp;"（续贷，未扣减，详见特别提示）",C36)</f>
        <v>0</v>
      </c>
      <c r="I104" s="115"/>
    </row>
    <row r="105" spans="1:35" ht="18.75" customHeight="1" thickBot="1">
      <c r="A105" s="3416"/>
      <c r="B105" s="2361" t="s">
        <v>1431</v>
      </c>
      <c r="C105" s="2362">
        <f ca="1">I118</f>
        <v>12989</v>
      </c>
      <c r="D105" s="2363"/>
      <c r="E105" s="1547" t="s">
        <v>1436</v>
      </c>
      <c r="F105" s="1540"/>
      <c r="G105" s="1680" t="s">
        <v>1433</v>
      </c>
      <c r="H105" s="2366">
        <f>C37</f>
        <v>0</v>
      </c>
      <c r="I105" s="115"/>
    </row>
    <row r="106" spans="1:35" ht="18.75" customHeight="1">
      <c r="A106" s="638" t="s">
        <v>1437</v>
      </c>
      <c r="B106" s="638"/>
      <c r="C106" s="638"/>
      <c r="D106" s="638"/>
      <c r="E106" s="1681" t="s">
        <v>1438</v>
      </c>
      <c r="F106" s="1540"/>
      <c r="G106" s="1680" t="s">
        <v>1433</v>
      </c>
      <c r="H106" s="2366">
        <f>C38</f>
        <v>0</v>
      </c>
      <c r="I106" s="115"/>
    </row>
    <row r="107" spans="1:35" ht="18.75" customHeight="1">
      <c r="A107" s="115"/>
      <c r="B107" s="115"/>
      <c r="C107" s="115"/>
      <c r="D107" s="115"/>
      <c r="E107" s="3412" t="str">
        <f>IF(项目基本情况!E8="已注销","——","3.房地产抵押价值")</f>
        <v>3.房地产抵押价值</v>
      </c>
      <c r="F107" s="3413"/>
      <c r="G107" s="1679" t="s">
        <v>1429</v>
      </c>
      <c r="H107" s="2364">
        <f ca="1">IF(E107="——","——",H101-H103)</f>
        <v>4062</v>
      </c>
      <c r="I107" s="115"/>
    </row>
    <row r="108" spans="1:35" ht="18.75" customHeight="1">
      <c r="A108" s="115"/>
      <c r="B108" s="115"/>
      <c r="C108" s="115"/>
      <c r="D108" s="115"/>
      <c r="E108" s="3412"/>
      <c r="F108" s="3413"/>
      <c r="G108" s="1679" t="s">
        <v>1431</v>
      </c>
      <c r="H108" s="2324">
        <f ca="1">IF(H107=H101,H102,ROUND(H107*10000/'数据-汇总表'!E3,0))</f>
        <v>12989</v>
      </c>
      <c r="I108" s="115"/>
    </row>
    <row r="109" spans="1:35" ht="18.75" customHeight="1">
      <c r="A109" s="115"/>
      <c r="B109" s="115"/>
      <c r="C109" s="115"/>
      <c r="D109" s="115"/>
      <c r="E109" s="3412" t="str">
        <f>IF(项目基本情况!E8="已注销及未注销","4.抵押担保权已注销时的房地产抵押价值",IF(项目基本情况!E8="已注销","3.抵押担保权已注销时的房地产抵押价值","——"))</f>
        <v>——</v>
      </c>
      <c r="F109" s="3413"/>
      <c r="G109" s="1679" t="s">
        <v>1429</v>
      </c>
      <c r="H109" s="2367" t="str">
        <f>IF(E109="——","——",H101-H105-H106)</f>
        <v>——</v>
      </c>
      <c r="I109" s="115"/>
    </row>
    <row r="110" spans="1:35" ht="18.75" customHeight="1">
      <c r="A110" s="115"/>
      <c r="B110" s="115"/>
      <c r="C110" s="115"/>
      <c r="D110" s="115"/>
      <c r="E110" s="3412"/>
      <c r="F110" s="3413"/>
      <c r="G110" s="1679" t="s">
        <v>1431</v>
      </c>
      <c r="H110" s="2324" t="str">
        <f>IF(H109="——","——",ROUND(H109*10000/'数据-汇总表'!E3,0))</f>
        <v>——</v>
      </c>
      <c r="I110" s="115"/>
    </row>
    <row r="111" spans="1:35" ht="18.75" customHeight="1">
      <c r="A111" s="115"/>
      <c r="B111" s="115"/>
      <c r="C111" s="115"/>
      <c r="D111" s="115"/>
      <c r="E111" s="3445" t="str">
        <f>IF(项目基本情况!E9="抵押净值",IF(OR(项目基本情况!E8="已注销",项目基本情况!E8="房地产抵押价值"),"4.抵押净值","5.抵押净值"),"——")</f>
        <v>——</v>
      </c>
      <c r="F111" s="3414"/>
      <c r="G111" s="1679" t="s">
        <v>1429</v>
      </c>
      <c r="H111" s="2364" t="str">
        <f>IF(E111="——","——",N59)</f>
        <v>——</v>
      </c>
      <c r="I111" s="115"/>
    </row>
    <row r="112" spans="1:35" ht="18.75" customHeight="1" thickBot="1">
      <c r="A112" s="115"/>
      <c r="B112" s="115"/>
      <c r="C112" s="115"/>
      <c r="D112" s="115"/>
      <c r="E112" s="3446"/>
      <c r="F112" s="3447"/>
      <c r="G112" s="1682" t="s">
        <v>1431</v>
      </c>
      <c r="H112" s="2368" t="str">
        <f>IF(E111="——","——",N61)</f>
        <v>——</v>
      </c>
      <c r="I112" s="115"/>
    </row>
    <row r="113" spans="1:27" ht="18.75" customHeight="1">
      <c r="A113" s="115"/>
      <c r="B113" s="115"/>
      <c r="C113" s="115"/>
      <c r="D113" s="115"/>
      <c r="E113" s="3417" t="s">
        <v>1437</v>
      </c>
      <c r="F113" s="3417"/>
      <c r="G113" s="3417"/>
      <c r="H113" s="3417"/>
      <c r="I113" s="115"/>
    </row>
    <row r="114" spans="1:27" ht="3.75" customHeight="1">
      <c r="A114" s="638"/>
      <c r="B114" s="638"/>
      <c r="C114" s="638"/>
      <c r="D114" s="638"/>
      <c r="E114" s="1663"/>
      <c r="F114" s="1663"/>
      <c r="G114" s="1663"/>
      <c r="H114" s="1663"/>
      <c r="I114" s="638"/>
    </row>
    <row r="115" spans="1:27" ht="18.75" customHeight="1">
      <c r="A115" s="3427" t="s">
        <v>1439</v>
      </c>
      <c r="B115" s="3428"/>
      <c r="C115" s="3428"/>
      <c r="D115" s="3428"/>
      <c r="E115" s="3428"/>
      <c r="F115" s="3428"/>
      <c r="G115" s="3428"/>
      <c r="H115" s="3428"/>
      <c r="I115" s="3429"/>
    </row>
    <row r="116" spans="1:27" ht="27" customHeight="1">
      <c r="A116" s="3380" t="s">
        <v>1440</v>
      </c>
      <c r="B116" s="3418" t="s">
        <v>3733</v>
      </c>
      <c r="C116" s="3418" t="s">
        <v>3734</v>
      </c>
      <c r="D116" s="3432" t="s">
        <v>1441</v>
      </c>
      <c r="E116" s="3433"/>
      <c r="F116" s="3426" t="s">
        <v>3735</v>
      </c>
      <c r="G116" s="3426"/>
      <c r="H116" s="3380" t="s">
        <v>1442</v>
      </c>
      <c r="I116" s="3380"/>
    </row>
    <row r="117" spans="1:27" ht="18.75" customHeight="1">
      <c r="A117" s="3380"/>
      <c r="B117" s="3419"/>
      <c r="C117" s="3419"/>
      <c r="D117" s="2142" t="s">
        <v>1443</v>
      </c>
      <c r="E117" s="2142" t="s">
        <v>1444</v>
      </c>
      <c r="F117" s="2142" t="s">
        <v>1443</v>
      </c>
      <c r="G117" s="2142" t="s">
        <v>1445</v>
      </c>
      <c r="H117" s="2142" t="s">
        <v>1443</v>
      </c>
      <c r="I117" s="2142" t="s">
        <v>1445</v>
      </c>
    </row>
    <row r="118" spans="1:27" ht="24.75" customHeight="1">
      <c r="A118" s="2369" t="str">
        <f>项目基本情况!S2</f>
        <v>北京市朝阳区清林东路4号6号楼负2层B202、负3层B302商业用房房地产</v>
      </c>
      <c r="B118" s="2142">
        <f>M18</f>
        <v>3127.15</v>
      </c>
      <c r="C118" s="2142">
        <f>M19</f>
        <v>0</v>
      </c>
      <c r="D118" s="2142">
        <f ca="1">ROUND(IF(D32="总价",C34,E118*B118/10000),0)</f>
        <v>2019</v>
      </c>
      <c r="E118" s="2142">
        <f ca="1">ROUND(IF(C33="自定义",IF(D32="楼面单价",C34,D118*10000/B118),I118-G118),0)</f>
        <v>6456</v>
      </c>
      <c r="F118" s="2142">
        <f ca="1">ROUND(IF(D32="总价",C35,G118*B118/10000),0)</f>
        <v>2043</v>
      </c>
      <c r="G118" s="2142">
        <f ca="1">ROUND(IF(D32="楼面单价",C35,F118*10000/B118),0)</f>
        <v>6533</v>
      </c>
      <c r="H118" s="2142">
        <f ca="1">ROUND(IF(D32="总价",C32,I118*B118/10000),0)</f>
        <v>4062</v>
      </c>
      <c r="I118" s="2142">
        <f ca="1">ROUND(IF(D32="楼面单价",C32,H118*10000/B118),0)</f>
        <v>12989</v>
      </c>
    </row>
    <row r="119" spans="1:27" ht="18.75" customHeight="1">
      <c r="A119" s="3380" t="s">
        <v>1446</v>
      </c>
      <c r="B119" s="3380"/>
      <c r="C119" s="3380"/>
      <c r="D119" s="3423" t="str">
        <f ca="1">NUMBERSTRING(INT(D118*10000),2)&amp;"元整"</f>
        <v>贰仟零壹拾玖万元整</v>
      </c>
      <c r="E119" s="3425"/>
      <c r="F119" s="3423" t="str">
        <f ca="1">NUMBERSTRING(INT(F118*10000),2)&amp;"元整"</f>
        <v>贰仟零肆拾叁万元整</v>
      </c>
      <c r="G119" s="3425"/>
      <c r="H119" s="3423" t="str">
        <f ca="1">NUMBERSTRING(INT(H118*10000),2)&amp;"元整"</f>
        <v>肆仟零陆拾贰万元整</v>
      </c>
      <c r="I119" s="3425"/>
    </row>
    <row r="120" spans="1:27" ht="18.75" customHeight="1">
      <c r="A120" s="3448" t="str">
        <f>IF(项目基本情况!B9="房地产市场价值","",MID(E103,3,LEN(E103)-2))</f>
        <v>估价师知悉的法定优先受偿款</v>
      </c>
      <c r="B120" s="3449"/>
      <c r="C120" s="3450"/>
      <c r="D120" s="3448">
        <f>H103</f>
        <v>0</v>
      </c>
      <c r="E120" s="3449"/>
      <c r="F120" s="3449"/>
      <c r="G120" s="3449"/>
      <c r="H120" s="3449"/>
      <c r="I120" s="3450"/>
      <c r="J120" s="1615"/>
      <c r="K120" s="1615" t="str">
        <f>IF(D120=0,"故，本次评估不存在"&amp;A120,"故，本次评估"&amp;A120&amp;"为人民币"&amp;D120&amp;"万元整。")</f>
        <v>故，本次评估不存在估价师知悉的法定优先受偿款</v>
      </c>
      <c r="L120" s="1615"/>
      <c r="M120" s="1615"/>
      <c r="N120" s="1615"/>
      <c r="O120" s="1615"/>
      <c r="P120" s="1615"/>
      <c r="Q120" s="1615"/>
      <c r="R120" s="1615"/>
      <c r="S120" s="1615"/>
    </row>
    <row r="121" spans="1:27" ht="18.75" customHeight="1">
      <c r="A121" s="3423" t="s">
        <v>1446</v>
      </c>
      <c r="B121" s="3424"/>
      <c r="C121" s="3425"/>
      <c r="D121" s="3423" t="str">
        <f>IF(D120=0,"零元整",NUMBERSTRING(INT(D120*10000),2)&amp;"元整")</f>
        <v>零元整</v>
      </c>
      <c r="E121" s="3424"/>
      <c r="F121" s="3424"/>
      <c r="G121" s="3424"/>
      <c r="H121" s="3424"/>
      <c r="I121" s="3425"/>
      <c r="AA121" s="676"/>
    </row>
    <row r="122" spans="1:27" ht="18.75" customHeight="1">
      <c r="A122" s="3414" t="str">
        <f>IF(项目基本情况!B9="房地产市场价值","",MID(E107,3,LEN(E107)-2))</f>
        <v>房地产抵押价值</v>
      </c>
      <c r="B122" s="3414"/>
      <c r="C122" s="3414"/>
      <c r="D122" s="3448">
        <f ca="1">H107</f>
        <v>4062</v>
      </c>
      <c r="E122" s="3449"/>
      <c r="F122" s="3449"/>
      <c r="G122" s="3449"/>
      <c r="H122" s="3449"/>
      <c r="I122" s="3450"/>
      <c r="AA122" s="676"/>
    </row>
    <row r="123" spans="1:27" ht="18.75" customHeight="1">
      <c r="A123" s="3380" t="s">
        <v>1446</v>
      </c>
      <c r="B123" s="3380"/>
      <c r="C123" s="3380"/>
      <c r="D123" s="3423" t="str">
        <f ca="1">NUMBERSTRING(INT(D122*10000),2)&amp;"元整"</f>
        <v>肆仟零陆拾贰万元整</v>
      </c>
      <c r="E123" s="3424"/>
      <c r="F123" s="3424"/>
      <c r="G123" s="3424"/>
      <c r="H123" s="3424"/>
      <c r="I123" s="3425"/>
      <c r="AA123" s="676"/>
    </row>
    <row r="124" spans="1:27" ht="18.75" customHeight="1">
      <c r="A124" s="3414" t="str">
        <f>IF(项目基本情况!B9="房地产市场价值","",MID(E109,3,LEN(E109)-2))</f>
        <v/>
      </c>
      <c r="B124" s="3414"/>
      <c r="C124" s="3414"/>
      <c r="D124" s="3448" t="str">
        <f>H109</f>
        <v>——</v>
      </c>
      <c r="E124" s="3449"/>
      <c r="F124" s="3449"/>
      <c r="G124" s="3449"/>
      <c r="H124" s="3449"/>
      <c r="I124" s="3450"/>
      <c r="AA124" s="676"/>
    </row>
    <row r="125" spans="1:27" ht="18.75" customHeight="1">
      <c r="A125" s="3380" t="s">
        <v>1446</v>
      </c>
      <c r="B125" s="3380"/>
      <c r="C125" s="3380"/>
      <c r="D125" s="3423" t="e">
        <f>NUMBERSTRING(INT(D124*10000),2)&amp;"元整"</f>
        <v>#VALUE!</v>
      </c>
      <c r="E125" s="3424"/>
      <c r="F125" s="3424"/>
      <c r="G125" s="3424"/>
      <c r="H125" s="3424"/>
      <c r="I125" s="3425"/>
      <c r="AA125" s="676"/>
    </row>
    <row r="126" spans="1:27" ht="18.75" customHeight="1">
      <c r="A126" s="3414" t="str">
        <f>IF(项目基本情况!B9="房地产市场价值","",MID(E111,3,LEN(E111)-2))</f>
        <v/>
      </c>
      <c r="B126" s="3414"/>
      <c r="C126" s="3414"/>
      <c r="D126" s="3448" t="str">
        <f>H111</f>
        <v>——</v>
      </c>
      <c r="E126" s="3449"/>
      <c r="F126" s="3449"/>
      <c r="G126" s="3449"/>
      <c r="H126" s="3449"/>
      <c r="I126" s="3450"/>
      <c r="AA126" s="676"/>
    </row>
    <row r="127" spans="1:27" ht="18.75" customHeight="1">
      <c r="A127" s="3380" t="s">
        <v>1446</v>
      </c>
      <c r="B127" s="3380"/>
      <c r="C127" s="3380"/>
      <c r="D127" s="3423" t="e">
        <f>NUMBERSTRING(INT(D126*10000),2)&amp;"元整"</f>
        <v>#VALUE!</v>
      </c>
      <c r="E127" s="3424"/>
      <c r="F127" s="3424"/>
      <c r="G127" s="3424"/>
      <c r="H127" s="3424"/>
      <c r="I127" s="3425"/>
      <c r="AA127" s="676"/>
    </row>
    <row r="128" spans="1:27" ht="21.75" customHeight="1">
      <c r="A128" s="3431" t="s">
        <v>1447</v>
      </c>
      <c r="B128" s="3431"/>
      <c r="C128" s="3431"/>
      <c r="D128" s="3431"/>
      <c r="E128" s="3431"/>
      <c r="F128" s="3431"/>
      <c r="G128" s="3431"/>
      <c r="H128" s="3431"/>
      <c r="I128" s="3431"/>
      <c r="AA128" s="676"/>
    </row>
    <row r="129" spans="1:35" ht="21.75" customHeight="1">
      <c r="A129" s="1683" t="s">
        <v>1448</v>
      </c>
      <c r="B129" s="1684"/>
      <c r="C129" s="1685" t="s">
        <v>1449</v>
      </c>
      <c r="D129" s="1686"/>
      <c r="E129" s="1686"/>
      <c r="F129" s="1686"/>
      <c r="G129" s="1686"/>
      <c r="H129" s="1687"/>
      <c r="I129" s="1688"/>
      <c r="AA129" s="676"/>
    </row>
    <row r="130" spans="1:35" ht="21.75" customHeight="1">
      <c r="A130" s="1689">
        <v>1</v>
      </c>
      <c r="B130" s="1690"/>
      <c r="C130" s="1690"/>
      <c r="D130" s="680"/>
      <c r="E130" s="680"/>
      <c r="F130" s="680"/>
      <c r="G130" s="680"/>
      <c r="H130" s="679"/>
      <c r="I130" s="1691"/>
      <c r="AA130" s="676"/>
    </row>
    <row r="131" spans="1:35" ht="21.75" customHeight="1">
      <c r="A131" s="1689">
        <v>2</v>
      </c>
      <c r="B131" s="1690"/>
      <c r="C131" s="1690"/>
      <c r="D131" s="680"/>
      <c r="E131" s="680"/>
      <c r="F131" s="680"/>
      <c r="G131" s="680"/>
      <c r="H131" s="679"/>
      <c r="I131" s="1691"/>
      <c r="AA131" s="676"/>
    </row>
    <row r="132" spans="1:35" ht="21.75" customHeight="1">
      <c r="A132" s="1689">
        <v>3</v>
      </c>
      <c r="B132" s="1690"/>
      <c r="C132" s="1690"/>
      <c r="D132" s="680"/>
      <c r="E132" s="680"/>
      <c r="F132" s="680"/>
      <c r="G132" s="680"/>
      <c r="H132" s="679"/>
      <c r="I132" s="1691"/>
      <c r="AA132" s="676"/>
    </row>
    <row r="133" spans="1:35" ht="21.75" customHeight="1">
      <c r="A133" s="1692"/>
      <c r="B133" s="1693"/>
      <c r="C133" s="1693"/>
      <c r="D133" s="1694"/>
      <c r="E133" s="1694"/>
      <c r="F133" s="1694"/>
      <c r="G133" s="1694"/>
      <c r="H133" s="1695"/>
      <c r="I133" s="1696"/>
    </row>
    <row r="134" spans="1:35" ht="21.75" customHeight="1">
      <c r="A134" s="1690"/>
      <c r="B134" s="1690"/>
      <c r="C134" s="1690"/>
      <c r="D134" s="680"/>
      <c r="E134" s="680"/>
      <c r="F134" s="680"/>
      <c r="G134" s="680"/>
      <c r="H134" s="679"/>
      <c r="I134" s="676"/>
    </row>
    <row r="135" spans="1:35" ht="21.75" customHeight="1">
      <c r="A135" s="676"/>
      <c r="B135" s="676"/>
      <c r="C135" s="676"/>
      <c r="D135" s="676"/>
      <c r="E135" s="676"/>
      <c r="F135" s="1697" t="s">
        <v>1450</v>
      </c>
      <c r="G135" s="1698"/>
      <c r="H135" s="1698"/>
      <c r="I135" s="1699" t="s">
        <v>1451</v>
      </c>
    </row>
    <row r="136" spans="1:35" ht="21.75" customHeight="1">
      <c r="A136" s="676"/>
      <c r="B136" s="1700" t="s">
        <v>1452</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8"/>
      <c r="C138" s="1698"/>
      <c r="D138" s="1698"/>
      <c r="E138" s="1698"/>
      <c r="F138" s="1698"/>
      <c r="G138" s="1698"/>
      <c r="H138" s="1698"/>
      <c r="I138" s="1699" t="s">
        <v>1453</v>
      </c>
    </row>
    <row r="139" spans="1:35" ht="21.75" customHeight="1">
      <c r="A139" s="676"/>
      <c r="B139" s="1700" t="s">
        <v>1454</v>
      </c>
      <c r="C139" s="676"/>
      <c r="D139" s="676"/>
      <c r="E139" s="676"/>
      <c r="F139" s="676"/>
      <c r="G139" s="676"/>
      <c r="H139" s="676"/>
      <c r="I139" s="676"/>
    </row>
    <row r="140" spans="1:35" ht="21.75" customHeight="1">
      <c r="A140" s="676"/>
      <c r="B140" s="1700"/>
      <c r="C140" s="676"/>
      <c r="D140" s="676"/>
      <c r="E140" s="676"/>
      <c r="F140" s="676"/>
      <c r="G140" s="676"/>
      <c r="H140" s="676"/>
      <c r="I140" s="676"/>
    </row>
    <row r="141" spans="1:35" ht="21.75" customHeight="1">
      <c r="A141" s="676"/>
      <c r="B141" s="1698"/>
      <c r="C141" s="1698"/>
      <c r="D141" s="1698"/>
      <c r="E141" s="1698"/>
      <c r="F141" s="1698"/>
      <c r="G141" s="1698"/>
      <c r="H141" s="1698"/>
      <c r="I141" s="1699" t="s">
        <v>1453</v>
      </c>
    </row>
    <row r="142" spans="1:35" ht="21.75" customHeight="1">
      <c r="A142" s="676"/>
      <c r="B142" s="1700"/>
      <c r="C142" s="1701"/>
      <c r="D142" s="1702"/>
      <c r="E142" s="1702"/>
      <c r="F142" s="1606"/>
      <c r="G142" s="676"/>
      <c r="H142" s="676"/>
      <c r="I142" s="676"/>
    </row>
    <row r="143" spans="1:35" s="116" customFormat="1" ht="21.75" customHeight="1">
      <c r="A143" s="676"/>
      <c r="B143" s="1700"/>
      <c r="C143" s="1701"/>
      <c r="D143" s="1702"/>
      <c r="E143" s="1702"/>
      <c r="F143" s="160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5"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5"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5"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5"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5"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5"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5"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5"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5"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5"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5"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5"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5"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5"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5"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5"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5"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5"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5"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5"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5"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5"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5"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5"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5"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5"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5"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5"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5"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5"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5"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5"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5"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5"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5"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5"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5"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5"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5"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5"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5"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5"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5"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5"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5"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5"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5"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5"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5"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5"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5"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5"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5"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5"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5"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5"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5"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5"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5"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5"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5"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5"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5"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5"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5"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5"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5"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5"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5"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5"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5"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5"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5"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5"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5"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5"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5"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5"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5"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5"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5"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5"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5"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5"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5"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5"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5"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5"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5"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5"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5"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5"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5"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5"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5"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5"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5"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5"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5"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5"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5"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5"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5"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5"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C5:D7">
    <cfRule type="cellIs" dxfId="129" priority="7" stopIfTrue="1" operator="equal">
      <formula>25</formula>
    </cfRule>
  </conditionalFormatting>
  <conditionalFormatting sqref="C8:D13">
    <cfRule type="cellIs" dxfId="128" priority="5" stopIfTrue="1" operator="equal">
      <formula>15</formula>
    </cfRule>
  </conditionalFormatting>
  <conditionalFormatting sqref="C14:D16">
    <cfRule type="cellIs" dxfId="127" priority="4" stopIfTrue="1" operator="equal">
      <formula>30</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1455</v>
      </c>
      <c r="B1" s="1366" t="s">
        <v>3742</v>
      </c>
      <c r="C1" s="184"/>
      <c r="D1" s="184"/>
      <c r="E1" s="184"/>
      <c r="F1" s="184"/>
      <c r="G1" s="1055">
        <f>MATCH(B1,'数据-取费表'!A6:A16,0)+5</f>
        <v>7</v>
      </c>
    </row>
    <row r="2" spans="1:9" s="186" customFormat="1" ht="18" customHeight="1">
      <c r="A2" s="187" t="s">
        <v>1456</v>
      </c>
      <c r="B2" s="188">
        <f ca="1">IF(D2="——",C52,C52-E2)</f>
        <v>3904</v>
      </c>
      <c r="C2" s="185" t="s">
        <v>1457</v>
      </c>
      <c r="D2" s="1703" t="s">
        <v>43</v>
      </c>
      <c r="E2" s="1082" t="e">
        <f ca="1">SUMIF(INDIRECT("'"&amp;G2&amp;"'"&amp;"!A:A"),"承租人权益价值",INDIRECT("'"&amp;G2&amp;"'"&amp;"!c:c"))</f>
        <v>#REF!</v>
      </c>
      <c r="F2" s="1704" t="s">
        <v>1457</v>
      </c>
      <c r="G2" s="1705"/>
    </row>
    <row r="3" spans="1:9" s="186" customFormat="1" ht="18" customHeight="1" thickBot="1">
      <c r="A3" s="189" t="s">
        <v>1458</v>
      </c>
      <c r="B3" s="190">
        <f ca="1">ROUND(B2*10000/(IF(B1="",'数据-汇总表'!E3,INDIRECT("'数据-取费表'!k"&amp;$G$1))),0)</f>
        <v>12484</v>
      </c>
      <c r="C3" s="185" t="s">
        <v>1459</v>
      </c>
      <c r="D3" s="185"/>
      <c r="E3" s="185"/>
      <c r="F3" s="185"/>
      <c r="G3" s="185"/>
    </row>
    <row r="4" spans="1:9" s="194" customFormat="1" ht="15.75">
      <c r="A4" s="191" t="s">
        <v>1460</v>
      </c>
      <c r="B4" s="192"/>
      <c r="C4" s="192"/>
      <c r="D4" s="192"/>
      <c r="E4" s="192"/>
      <c r="F4" s="192"/>
      <c r="G4" s="193"/>
    </row>
    <row r="5" spans="1:9" s="200" customFormat="1" ht="13.5" customHeight="1">
      <c r="A5" s="241" t="s">
        <v>1461</v>
      </c>
      <c r="B5" s="196" t="s">
        <v>1462</v>
      </c>
      <c r="C5" s="197">
        <f ca="1">C6+C7+C8</f>
        <v>1197</v>
      </c>
      <c r="D5" s="197" t="s">
        <v>1463</v>
      </c>
      <c r="E5" s="198" t="s">
        <v>1464</v>
      </c>
      <c r="F5" s="198" t="s">
        <v>1465</v>
      </c>
      <c r="G5" s="199"/>
    </row>
    <row r="6" spans="1:9" s="200" customFormat="1" ht="13.5" customHeight="1">
      <c r="A6" s="725" t="s">
        <v>1466</v>
      </c>
      <c r="B6" s="201" t="s">
        <v>1467</v>
      </c>
      <c r="C6" s="202">
        <f>基准地价修正!E39</f>
        <v>1100</v>
      </c>
      <c r="D6" s="203"/>
      <c r="E6" s="204"/>
      <c r="F6" s="204"/>
      <c r="G6" s="205"/>
    </row>
    <row r="7" spans="1:9" s="200" customFormat="1" ht="13.5" customHeight="1">
      <c r="A7" s="725" t="s">
        <v>1468</v>
      </c>
      <c r="B7" s="201" t="s">
        <v>1469</v>
      </c>
      <c r="C7" s="206">
        <f>ROUND(C6*F7,0)</f>
        <v>34</v>
      </c>
      <c r="D7" s="206"/>
      <c r="E7" s="204"/>
      <c r="F7" s="207">
        <f>IF(项目基本情况!B8="出让",0,'数据-取费表'!B48+'数据-取费表'!B49)</f>
        <v>3.0499999999999999E-2</v>
      </c>
      <c r="G7" s="205"/>
    </row>
    <row r="8" spans="1:9" s="209" customFormat="1">
      <c r="A8" s="725" t="s">
        <v>1470</v>
      </c>
      <c r="B8" s="201" t="s">
        <v>1471</v>
      </c>
      <c r="C8" s="206">
        <f ca="1">IF(G8="已包含在土地购买价格中","0",IF(B1="",'数据-取费表'!B29,IF(G9="全部缴纳",C9+C10,H9)))</f>
        <v>63</v>
      </c>
      <c r="D8" s="208"/>
      <c r="E8" s="206"/>
      <c r="F8" s="207"/>
      <c r="G8" s="1706" t="s">
        <v>3726</v>
      </c>
    </row>
    <row r="9" spans="1:9" s="200" customFormat="1" ht="13.5" customHeight="1">
      <c r="A9" s="726" t="s">
        <v>355</v>
      </c>
      <c r="B9" s="210" t="s">
        <v>1472</v>
      </c>
      <c r="C9" s="211">
        <f ca="1">ROUND(D9*E9/10000,0)</f>
        <v>0</v>
      </c>
      <c r="D9" s="788">
        <f ca="1">IF(B1="",'数据-汇总表'!E5,IF(INDIRECT("'数据-取费表'!c"&amp;$G$1)="住宅",INDIRECT("'数据-取费表'!k"&amp;$G$1),0))</f>
        <v>0</v>
      </c>
      <c r="E9" s="211">
        <f>'数据-取费表'!B27</f>
        <v>160</v>
      </c>
      <c r="F9" s="207"/>
      <c r="G9" s="1707" t="s">
        <v>3727</v>
      </c>
      <c r="H9" s="1063"/>
      <c r="I9" s="1708" t="s">
        <v>1473</v>
      </c>
    </row>
    <row r="10" spans="1:9" s="200" customFormat="1" ht="13.5" customHeight="1">
      <c r="A10" s="726" t="s">
        <v>356</v>
      </c>
      <c r="B10" s="210" t="s">
        <v>1474</v>
      </c>
      <c r="C10" s="211">
        <f ca="1">ROUND(D10*E10/10000,0)</f>
        <v>63</v>
      </c>
      <c r="D10" s="788">
        <f ca="1">IF(B1="",'数据-汇总表'!E6,IF(INDIRECT("'数据-取费表'!c"&amp;$G$1)="住宅",INDIRECT("'数据-取费表'!s"&amp;$G$1),INDIRECT("'数据-取费表'!k"&amp;$G$1)+INDIRECT("'数据-取费表'!s"&amp;$G$1)))</f>
        <v>3127.15</v>
      </c>
      <c r="E10" s="211">
        <f>'数据-取费表'!B28</f>
        <v>200</v>
      </c>
      <c r="F10" s="207"/>
      <c r="G10" s="212"/>
    </row>
    <row r="11" spans="1:9" s="200" customFormat="1" ht="13.5" hidden="1" customHeight="1">
      <c r="A11" s="213" t="s">
        <v>4</v>
      </c>
      <c r="B11" s="201" t="s">
        <v>1475</v>
      </c>
      <c r="C11" s="197"/>
      <c r="D11" s="204"/>
      <c r="E11" s="204"/>
      <c r="F11" s="204"/>
      <c r="G11" s="205"/>
    </row>
    <row r="12" spans="1:9" s="200" customFormat="1" ht="13.5" hidden="1" customHeight="1">
      <c r="A12" s="213" t="s">
        <v>5</v>
      </c>
      <c r="B12" s="201" t="s">
        <v>1476</v>
      </c>
      <c r="C12" s="197">
        <v>0</v>
      </c>
      <c r="D12" s="204"/>
      <c r="E12" s="214"/>
      <c r="F12" s="207">
        <v>3.0499999999999999E-2</v>
      </c>
      <c r="G12" s="205"/>
    </row>
    <row r="13" spans="1:9" s="200" customFormat="1" ht="13.5" hidden="1" customHeight="1">
      <c r="A13" s="213" t="s">
        <v>6</v>
      </c>
      <c r="B13" s="201" t="s">
        <v>1477</v>
      </c>
      <c r="C13" s="197"/>
      <c r="D13" s="204"/>
      <c r="E13" s="204"/>
      <c r="F13" s="204"/>
      <c r="G13" s="205"/>
    </row>
    <row r="14" spans="1:9" s="200" customFormat="1" ht="13.5" hidden="1" customHeight="1">
      <c r="A14" s="213" t="s">
        <v>7</v>
      </c>
      <c r="B14" s="201" t="s">
        <v>1478</v>
      </c>
      <c r="C14" s="197"/>
      <c r="D14" s="204"/>
      <c r="E14" s="204"/>
      <c r="F14" s="204"/>
      <c r="G14" s="205" t="s">
        <v>1479</v>
      </c>
    </row>
    <row r="15" spans="1:9" s="200" customFormat="1" ht="13.5" hidden="1" customHeight="1">
      <c r="A15" s="213" t="s">
        <v>8</v>
      </c>
      <c r="B15" s="201" t="s">
        <v>1480</v>
      </c>
      <c r="C15" s="206"/>
      <c r="D15" s="204"/>
      <c r="E15" s="204"/>
      <c r="F15" s="204"/>
      <c r="G15" s="205" t="s">
        <v>1481</v>
      </c>
    </row>
    <row r="16" spans="1:9" s="200" customFormat="1" ht="13.5" hidden="1" customHeight="1">
      <c r="A16" s="213" t="s">
        <v>9</v>
      </c>
      <c r="B16" s="201" t="s">
        <v>1478</v>
      </c>
      <c r="C16" s="206"/>
      <c r="D16" s="204"/>
      <c r="E16" s="204"/>
      <c r="F16" s="204"/>
      <c r="G16" s="205"/>
    </row>
    <row r="17" spans="1:7" s="200" customFormat="1" ht="13.5" hidden="1" customHeight="1">
      <c r="A17" s="213" t="s">
        <v>10</v>
      </c>
      <c r="B17" s="201" t="s">
        <v>1482</v>
      </c>
      <c r="C17" s="215"/>
      <c r="D17" s="215"/>
      <c r="E17" s="215"/>
      <c r="F17" s="215"/>
      <c r="G17" s="205" t="s">
        <v>1481</v>
      </c>
    </row>
    <row r="18" spans="1:7" s="200" customFormat="1" ht="13.5" hidden="1" customHeight="1">
      <c r="A18" s="213" t="s">
        <v>11</v>
      </c>
      <c r="B18" s="201" t="s">
        <v>1483</v>
      </c>
      <c r="C18" s="206">
        <v>0</v>
      </c>
      <c r="D18" s="204"/>
      <c r="E18" s="204"/>
      <c r="F18" s="207">
        <v>3.0499999999999999E-2</v>
      </c>
      <c r="G18" s="205" t="s">
        <v>1484</v>
      </c>
    </row>
    <row r="19" spans="1:7" s="209" customFormat="1" ht="13.5" customHeight="1">
      <c r="A19" s="241" t="s">
        <v>1485</v>
      </c>
      <c r="B19" s="196" t="s">
        <v>1486</v>
      </c>
      <c r="C19" s="197" t="str">
        <f>IF(G19="已包含在土地取得成本中","0",ROUND(D19*E19/10000,0))</f>
        <v>0</v>
      </c>
      <c r="D19" s="198">
        <f ca="1">D9+D10</f>
        <v>3127.15</v>
      </c>
      <c r="E19" s="197">
        <f>'数据-取费表'!B31</f>
        <v>200</v>
      </c>
      <c r="F19" s="217"/>
      <c r="G19" s="1706" t="s">
        <v>3728</v>
      </c>
    </row>
    <row r="20" spans="1:7" s="200" customFormat="1" ht="13.5" customHeight="1">
      <c r="A20" s="241" t="s">
        <v>1487</v>
      </c>
      <c r="B20" s="196" t="s">
        <v>1488</v>
      </c>
      <c r="C20" s="218">
        <f ca="1">ROUND((C5+C19)*F20,0)</f>
        <v>36</v>
      </c>
      <c r="D20" s="218"/>
      <c r="E20" s="218"/>
      <c r="F20" s="219">
        <f>'数据-取费表'!B37</f>
        <v>0.03</v>
      </c>
      <c r="G20" s="220" t="s">
        <v>1489</v>
      </c>
    </row>
    <row r="21" spans="1:7" s="200" customFormat="1" ht="13.5" customHeight="1">
      <c r="A21" s="241" t="s">
        <v>1490</v>
      </c>
      <c r="B21" s="196" t="s">
        <v>1491</v>
      </c>
      <c r="C21" s="221">
        <f>F21</f>
        <v>0.03</v>
      </c>
      <c r="D21" s="222" t="s">
        <v>1492</v>
      </c>
      <c r="E21" s="218"/>
      <c r="F21" s="219">
        <f>'数据-取费表'!B38</f>
        <v>0.03</v>
      </c>
      <c r="G21" s="220" t="s">
        <v>1493</v>
      </c>
    </row>
    <row r="22" spans="1:7" s="200" customFormat="1" ht="13.5" customHeight="1">
      <c r="A22" s="241" t="s">
        <v>1494</v>
      </c>
      <c r="B22" s="196" t="s">
        <v>1495</v>
      </c>
      <c r="C22" s="1034">
        <f ca="1">ROUND(SUM(C23:C25),0)</f>
        <v>130</v>
      </c>
      <c r="D22" s="221">
        <f ca="1">C26</f>
        <v>1.6000000000000001E-3</v>
      </c>
      <c r="E22" s="222" t="s">
        <v>1492</v>
      </c>
      <c r="F22" s="223">
        <f ca="1">'数据-取费表'!B40</f>
        <v>3.4500000000000003E-2</v>
      </c>
      <c r="G22" s="220" t="str">
        <f>IF('数据-取费表'!B22&lt;=1,"单利计息","复利计息")</f>
        <v>复利计息</v>
      </c>
    </row>
    <row r="23" spans="1:7" s="200" customFormat="1" ht="13.5" customHeight="1">
      <c r="A23" s="727" t="s">
        <v>1496</v>
      </c>
      <c r="B23" s="201" t="s">
        <v>1497</v>
      </c>
      <c r="C23" s="1035">
        <f ca="1">ROUND(IF('数据-取费表'!B22&lt;=1,C5*F22*'数据-取费表'!B23,C5*(POWER((1+F22),'数据-取费表'!B23)-1)),0)</f>
        <v>128</v>
      </c>
      <c r="D23" s="224"/>
      <c r="E23" s="224"/>
      <c r="F23" s="225"/>
      <c r="G23" s="226" t="s">
        <v>1498</v>
      </c>
    </row>
    <row r="24" spans="1:7" s="200" customFormat="1" ht="13.5" customHeight="1">
      <c r="A24" s="727" t="s">
        <v>1499</v>
      </c>
      <c r="B24" s="201" t="s">
        <v>1500</v>
      </c>
      <c r="C24" s="1035">
        <f ca="1">ROUND(IF('数据-取费表'!B22&lt;=1,C19*F22*('数据-取费表'!B19/2+'数据-取费表'!B21),C19*(POWER((1+F22),('数据-取费表'!B19/2+'数据-取费表'!B21))-1)),0)</f>
        <v>0</v>
      </c>
      <c r="D24" s="224"/>
      <c r="E24" s="224"/>
      <c r="F24" s="225"/>
      <c r="G24" s="226" t="s">
        <v>1501</v>
      </c>
    </row>
    <row r="25" spans="1:7" s="200" customFormat="1" ht="24">
      <c r="A25" s="727" t="s">
        <v>1502</v>
      </c>
      <c r="B25" s="201" t="s">
        <v>1503</v>
      </c>
      <c r="C25" s="1035">
        <f ca="1">ROUND(IF('数据-取费表'!B22&lt;=1,C20*F22*'数据-取费表'!B23/2,C20*(POWER((1+F22),'数据-取费表'!B23/2)-1)),0)</f>
        <v>2</v>
      </c>
      <c r="D25" s="224"/>
      <c r="E25" s="227"/>
      <c r="F25" s="225"/>
      <c r="G25" s="228" t="s">
        <v>1504</v>
      </c>
    </row>
    <row r="26" spans="1:7" s="200" customFormat="1">
      <c r="A26" s="727" t="s">
        <v>350</v>
      </c>
      <c r="B26" s="201" t="s">
        <v>1505</v>
      </c>
      <c r="C26" s="224">
        <f ca="1">ROUND(IF('数据-取费表'!B22&lt;=1,F21*F22*'数据-取费表'!B23/2,F21*(POWER((1+F22),'数据-取费表'!B23/2)-1)),4)</f>
        <v>1.6000000000000001E-3</v>
      </c>
      <c r="D26" s="224"/>
      <c r="E26" s="227"/>
      <c r="F26" s="225"/>
      <c r="G26" s="229"/>
    </row>
    <row r="27" spans="1:7" s="200" customFormat="1" ht="24.75">
      <c r="A27" s="241" t="s">
        <v>1506</v>
      </c>
      <c r="B27" s="230" t="s">
        <v>1507</v>
      </c>
      <c r="C27" s="231">
        <f ca="1">C28</f>
        <v>247</v>
      </c>
      <c r="D27" s="221">
        <f ca="1">C29</f>
        <v>6.0000000000000001E-3</v>
      </c>
      <c r="E27" s="222" t="s">
        <v>1508</v>
      </c>
      <c r="F27" s="232">
        <f ca="1">IF(B1="",'数据-取费表'!Q16,INDIRECT("'数据-取费表'!q"&amp;$G$1))</f>
        <v>0.2</v>
      </c>
      <c r="G27" s="233" t="s">
        <v>1509</v>
      </c>
    </row>
    <row r="28" spans="1:7" s="200" customFormat="1" ht="13.5" customHeight="1">
      <c r="A28" s="727" t="s">
        <v>346</v>
      </c>
      <c r="B28" s="234" t="s">
        <v>1510</v>
      </c>
      <c r="C28" s="235">
        <f ca="1">ROUND((C5+C19+C20)*F27*'数据-取费表'!B21/'数据-取费表'!B20,0)</f>
        <v>247</v>
      </c>
      <c r="D28" s="221"/>
      <c r="E28" s="222"/>
      <c r="F28" s="232"/>
      <c r="G28" s="233"/>
    </row>
    <row r="29" spans="1:7" s="200" customFormat="1" ht="13.5" customHeight="1">
      <c r="A29" s="727" t="s">
        <v>347</v>
      </c>
      <c r="B29" s="234" t="s">
        <v>1511</v>
      </c>
      <c r="C29" s="224">
        <f ca="1">ROUND(C21*F27*'数据-取费表'!B21/'数据-取费表'!B20,4)</f>
        <v>6.0000000000000001E-3</v>
      </c>
      <c r="D29" s="221"/>
      <c r="E29" s="222"/>
      <c r="F29" s="232"/>
      <c r="G29" s="233"/>
    </row>
    <row r="30" spans="1:7" s="200" customFormat="1" ht="13.5" customHeight="1">
      <c r="A30" s="241" t="s">
        <v>1512</v>
      </c>
      <c r="B30" s="196" t="s">
        <v>1513</v>
      </c>
      <c r="C30" s="221">
        <f>ROUND(F30/(1+'数据-取费表'!C42),4)</f>
        <v>5.33E-2</v>
      </c>
      <c r="D30" s="222" t="s">
        <v>1508</v>
      </c>
      <c r="E30" s="227"/>
      <c r="F30" s="223">
        <f>'数据-取费表'!B41</f>
        <v>5.6000000000000001E-2</v>
      </c>
      <c r="G30" s="220" t="s">
        <v>1514</v>
      </c>
    </row>
    <row r="31" spans="1:7" ht="16.5" customHeight="1">
      <c r="A31" s="195">
        <v>1</v>
      </c>
      <c r="B31" s="196" t="s">
        <v>1515</v>
      </c>
      <c r="C31" s="197">
        <f ca="1">ROUND((C5+C19+C20+C22+C27)/(1-C21-D22-D27-C30),0)</f>
        <v>1771</v>
      </c>
      <c r="D31" s="216"/>
      <c r="E31" s="197"/>
      <c r="F31" s="236"/>
      <c r="G31" s="220" t="s">
        <v>1516</v>
      </c>
    </row>
    <row r="32" spans="1:7" s="194" customFormat="1" ht="15.75">
      <c r="A32" s="238" t="s">
        <v>1517</v>
      </c>
      <c r="B32" s="239"/>
      <c r="C32" s="239"/>
      <c r="D32" s="239"/>
      <c r="E32" s="239"/>
      <c r="F32" s="239"/>
      <c r="G32" s="240"/>
    </row>
    <row r="33" spans="1:7" s="200" customFormat="1" ht="13.5" customHeight="1">
      <c r="A33" s="241" t="s">
        <v>337</v>
      </c>
      <c r="B33" s="196" t="s">
        <v>1518</v>
      </c>
      <c r="C33" s="242">
        <f ca="1">SUM(C34:C38)</f>
        <v>1728</v>
      </c>
      <c r="D33" s="218"/>
      <c r="E33" s="198"/>
      <c r="F33" s="227"/>
      <c r="G33" s="220"/>
    </row>
    <row r="34" spans="1:7" s="244" customFormat="1" ht="13.5" customHeight="1">
      <c r="A34" s="727" t="s">
        <v>346</v>
      </c>
      <c r="B34" s="201" t="s">
        <v>1519</v>
      </c>
      <c r="C34" s="206">
        <f ca="1">IF(B1="",IF(F34=100%,'数据-取费表'!M16,'数据-取费表'!O16),IF(F34=100%,INDIRECT("'数据-取费表'!m"&amp;$G$1)+INDIRECT("'数据-取费表'!t"&amp;$G$1),INDIRECT("'数据-取费表'!o"&amp;$G$1)+INDIRECT("'数据-取费表'!aq"&amp;$G$1)))</f>
        <v>1564</v>
      </c>
      <c r="D34" s="203"/>
      <c r="E34" s="206"/>
      <c r="F34" s="243">
        <f ca="1">IF('数据-取费表'!B24=0,1,IF(B1="",'数据-取费表'!N16,INDIRECT("'数据-取费表'!n"&amp;$G$1)))</f>
        <v>1</v>
      </c>
      <c r="G34" s="205" t="s">
        <v>1520</v>
      </c>
    </row>
    <row r="35" spans="1:7" ht="13.5" customHeight="1">
      <c r="A35" s="727" t="s">
        <v>351</v>
      </c>
      <c r="B35" s="201" t="s">
        <v>1521</v>
      </c>
      <c r="C35" s="206">
        <f ca="1">ROUND(C34*F35,0)</f>
        <v>78</v>
      </c>
      <c r="D35" s="206"/>
      <c r="E35" s="206"/>
      <c r="F35" s="245">
        <f>'数据-取费表'!B33</f>
        <v>0.05</v>
      </c>
      <c r="G35" s="205" t="s">
        <v>1522</v>
      </c>
    </row>
    <row r="36" spans="1:7" ht="24">
      <c r="A36" s="727" t="s">
        <v>352</v>
      </c>
      <c r="B36" s="201" t="s">
        <v>1523</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1524</v>
      </c>
    </row>
    <row r="37" spans="1:7" s="244" customFormat="1" ht="13.5" customHeight="1">
      <c r="A37" s="727" t="s">
        <v>353</v>
      </c>
      <c r="B37" s="201" t="s">
        <v>1525</v>
      </c>
      <c r="C37" s="235">
        <f ca="1">ROUND(E37*D37*F34/10000,0)</f>
        <v>63</v>
      </c>
      <c r="D37" s="203">
        <f ca="1">D19</f>
        <v>3127.15</v>
      </c>
      <c r="E37" s="235">
        <f>'数据-取费表'!B35</f>
        <v>200</v>
      </c>
      <c r="F37" s="245"/>
      <c r="G37" s="247" t="s">
        <v>1526</v>
      </c>
    </row>
    <row r="38" spans="1:7" ht="13.5" customHeight="1">
      <c r="A38" s="727" t="s">
        <v>354</v>
      </c>
      <c r="B38" s="201" t="s">
        <v>1527</v>
      </c>
      <c r="C38" s="206">
        <f ca="1">ROUND(C34*F38,0)</f>
        <v>23</v>
      </c>
      <c r="D38" s="206"/>
      <c r="E38" s="206"/>
      <c r="F38" s="245">
        <f>'数据-取费表'!B36</f>
        <v>1.4999999999999999E-2</v>
      </c>
      <c r="G38" s="205" t="s">
        <v>1522</v>
      </c>
    </row>
    <row r="39" spans="1:7" s="200" customFormat="1" ht="13.5" customHeight="1">
      <c r="A39" s="241" t="s">
        <v>1528</v>
      </c>
      <c r="B39" s="196" t="s">
        <v>1529</v>
      </c>
      <c r="C39" s="218">
        <f ca="1">ROUND(C33*F20,0)</f>
        <v>52</v>
      </c>
      <c r="D39" s="218"/>
      <c r="E39" s="218"/>
      <c r="F39" s="219">
        <f>F20</f>
        <v>0.03</v>
      </c>
      <c r="G39" s="220" t="s">
        <v>1530</v>
      </c>
    </row>
    <row r="40" spans="1:7" s="200" customFormat="1" ht="13.5" customHeight="1">
      <c r="A40" s="241" t="s">
        <v>1531</v>
      </c>
      <c r="B40" s="196" t="s">
        <v>1532</v>
      </c>
      <c r="C40" s="221">
        <f>F21</f>
        <v>0.03</v>
      </c>
      <c r="D40" s="222" t="s">
        <v>1533</v>
      </c>
      <c r="E40" s="218"/>
      <c r="F40" s="219">
        <f>F21</f>
        <v>0.03</v>
      </c>
      <c r="G40" s="220" t="s">
        <v>1534</v>
      </c>
    </row>
    <row r="41" spans="1:7" s="200" customFormat="1" ht="13.5" customHeight="1">
      <c r="A41" s="241" t="s">
        <v>1535</v>
      </c>
      <c r="B41" s="196" t="s">
        <v>1536</v>
      </c>
      <c r="C41" s="218">
        <f ca="1">ROUND(SUM(C42:C43),0)</f>
        <v>93</v>
      </c>
      <c r="D41" s="221">
        <f ca="1">C44</f>
        <v>1.6000000000000001E-3</v>
      </c>
      <c r="E41" s="222" t="s">
        <v>1533</v>
      </c>
      <c r="F41" s="223">
        <f ca="1">F22</f>
        <v>3.4500000000000003E-2</v>
      </c>
      <c r="G41" s="220" t="str">
        <f>IF('数据-取费表'!B22&lt;=1,"单利计息","复利计息")</f>
        <v>复利计息</v>
      </c>
    </row>
    <row r="42" spans="1:7" ht="13.5" customHeight="1">
      <c r="A42" s="727" t="s">
        <v>346</v>
      </c>
      <c r="B42" s="201" t="s">
        <v>1537</v>
      </c>
      <c r="C42" s="224">
        <f ca="1">ROUND(IF('数据-取费表'!B22&lt;=1,C33*F22*'数据-取费表'!B21/2,C33*(POWER((1+F22),'数据-取费表'!B21/2)-1)),0)</f>
        <v>90</v>
      </c>
      <c r="D42" s="224"/>
      <c r="E42" s="224"/>
      <c r="F42" s="225"/>
      <c r="G42" s="3483" t="s">
        <v>1538</v>
      </c>
    </row>
    <row r="43" spans="1:7" ht="13.5" customHeight="1">
      <c r="A43" s="727" t="s">
        <v>347</v>
      </c>
      <c r="B43" s="201" t="s">
        <v>1539</v>
      </c>
      <c r="C43" s="224">
        <f ca="1">ROUND(IF('数据-取费表'!B22&lt;=1,C39*F22*'数据-取费表'!B21/2,C39*(POWER((1+F22),'数据-取费表'!B21/2)-1)),0)</f>
        <v>3</v>
      </c>
      <c r="D43" s="224"/>
      <c r="E43" s="224"/>
      <c r="F43" s="225"/>
      <c r="G43" s="3484"/>
    </row>
    <row r="44" spans="1:7" ht="13.5" customHeight="1">
      <c r="A44" s="727" t="s">
        <v>348</v>
      </c>
      <c r="B44" s="201" t="s">
        <v>1540</v>
      </c>
      <c r="C44" s="224">
        <f ca="1">ROUND(IF('数据-取费表'!B22&lt;=1,C40*F22*'数据-取费表'!B21/2,C40*(POWER((1+F22),'数据-取费表'!B21/2)-1)),4)</f>
        <v>1.6000000000000001E-3</v>
      </c>
      <c r="D44" s="224"/>
      <c r="E44" s="224"/>
      <c r="F44" s="225"/>
      <c r="G44" s="3485"/>
    </row>
    <row r="45" spans="1:7" s="200" customFormat="1" ht="13.5" customHeight="1">
      <c r="A45" s="241" t="s">
        <v>1541</v>
      </c>
      <c r="B45" s="230" t="s">
        <v>1507</v>
      </c>
      <c r="C45" s="231">
        <f ca="1">C46</f>
        <v>356</v>
      </c>
      <c r="D45" s="221">
        <f ca="1">C47</f>
        <v>6.0000000000000001E-3</v>
      </c>
      <c r="E45" s="222" t="s">
        <v>1533</v>
      </c>
      <c r="F45" s="232">
        <f ca="1">F27</f>
        <v>0.2</v>
      </c>
      <c r="G45" s="233" t="s">
        <v>1542</v>
      </c>
    </row>
    <row r="46" spans="1:7" s="200" customFormat="1" ht="13.5" customHeight="1">
      <c r="A46" s="727" t="s">
        <v>346</v>
      </c>
      <c r="B46" s="234" t="s">
        <v>1543</v>
      </c>
      <c r="C46" s="235">
        <f ca="1">ROUND((C33+C39)*F27,0)</f>
        <v>356</v>
      </c>
      <c r="D46" s="249"/>
      <c r="E46" s="222"/>
      <c r="F46" s="232"/>
      <c r="G46" s="233"/>
    </row>
    <row r="47" spans="1:7" s="200" customFormat="1" ht="13.5" customHeight="1">
      <c r="A47" s="727" t="s">
        <v>347</v>
      </c>
      <c r="B47" s="234" t="s">
        <v>1544</v>
      </c>
      <c r="C47" s="224">
        <f ca="1">ROUND(C40*F27,4)</f>
        <v>6.0000000000000001E-3</v>
      </c>
      <c r="D47" s="249"/>
      <c r="E47" s="222"/>
      <c r="F47" s="232"/>
      <c r="G47" s="233"/>
    </row>
    <row r="48" spans="1:7" s="200" customFormat="1" ht="13.5" customHeight="1">
      <c r="A48" s="241" t="s">
        <v>1506</v>
      </c>
      <c r="B48" s="196" t="s">
        <v>1545</v>
      </c>
      <c r="C48" s="221">
        <f>ROUND(F30/(1+'数据-取费表'!C42),4)</f>
        <v>5.33E-2</v>
      </c>
      <c r="D48" s="222" t="s">
        <v>1533</v>
      </c>
      <c r="E48" s="218"/>
      <c r="F48" s="223">
        <f>F30</f>
        <v>5.6000000000000001E-2</v>
      </c>
      <c r="G48" s="220" t="s">
        <v>1546</v>
      </c>
    </row>
    <row r="49" spans="1:7" ht="16.5" customHeight="1">
      <c r="A49" s="241" t="s">
        <v>1512</v>
      </c>
      <c r="B49" s="196" t="s">
        <v>1547</v>
      </c>
      <c r="C49" s="218">
        <f ca="1">ROUND((C33+C39+C41+C45)/(1-C40-D41-D45-C48),0)</f>
        <v>2452</v>
      </c>
      <c r="D49" s="218"/>
      <c r="E49" s="218"/>
      <c r="F49" s="250"/>
      <c r="G49" s="220" t="s">
        <v>1548</v>
      </c>
    </row>
    <row r="50" spans="1:7" s="244" customFormat="1" ht="24">
      <c r="A50" s="241" t="s">
        <v>1549</v>
      </c>
      <c r="B50" s="196" t="s">
        <v>1550</v>
      </c>
      <c r="C50" s="218"/>
      <c r="D50" s="218"/>
      <c r="E50" s="218"/>
      <c r="F50" s="250">
        <f>IF('数据-取费表'!B24=0,'数据-取费表'!N16,1)</f>
        <v>0.87</v>
      </c>
      <c r="G50" s="233" t="s">
        <v>1551</v>
      </c>
    </row>
    <row r="51" spans="1:7" ht="16.5" customHeight="1">
      <c r="A51" s="241" t="s">
        <v>1552</v>
      </c>
      <c r="B51" s="196" t="s">
        <v>1553</v>
      </c>
      <c r="C51" s="218">
        <f ca="1">ROUND(C49*F50,0)</f>
        <v>2133</v>
      </c>
      <c r="D51" s="218"/>
      <c r="E51" s="218"/>
      <c r="F51" s="250"/>
      <c r="G51" s="220" t="s">
        <v>1554</v>
      </c>
    </row>
    <row r="52" spans="1:7" s="194" customFormat="1" ht="16.5" thickBot="1">
      <c r="A52" s="251" t="s">
        <v>1555</v>
      </c>
      <c r="B52" s="252"/>
      <c r="C52" s="253">
        <f ca="1">C31+C51</f>
        <v>3904</v>
      </c>
      <c r="D52" s="252"/>
      <c r="E52" s="252"/>
      <c r="F52" s="252"/>
      <c r="G52" s="254"/>
    </row>
    <row r="55" spans="1:7" ht="15">
      <c r="B55" s="256" t="s">
        <v>1556</v>
      </c>
      <c r="C55" s="257"/>
    </row>
    <row r="56" spans="1:7">
      <c r="B56" s="259" t="s">
        <v>799</v>
      </c>
      <c r="C56" s="261">
        <f ca="1">1-C57</f>
        <v>0.45399999999999996</v>
      </c>
    </row>
    <row r="57" spans="1:7">
      <c r="B57" s="259" t="s">
        <v>800</v>
      </c>
      <c r="C57" s="260">
        <f ca="1">ROUND(C51/C52,3)</f>
        <v>0.54600000000000004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874</v>
      </c>
      <c r="B1" s="655"/>
      <c r="C1" s="1279"/>
      <c r="D1" s="1263" t="s">
        <v>43</v>
      </c>
      <c r="E1" s="1264" t="s">
        <v>675</v>
      </c>
      <c r="F1" s="992">
        <f ca="1">J53</f>
        <v>0</v>
      </c>
      <c r="G1" s="1278">
        <f>MATCH(C1,'数据-取费表'!A6:A16,0)+5</f>
        <v>8</v>
      </c>
      <c r="H1" s="2446"/>
      <c r="I1" s="2447"/>
      <c r="J1" s="2447"/>
      <c r="K1" s="2448"/>
      <c r="L1" s="2447"/>
      <c r="M1" s="2447"/>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875</v>
      </c>
      <c r="B2" s="3104" t="e">
        <f ca="1">ROUND(D2/10000,4)</f>
        <v>#DIV/0!</v>
      </c>
      <c r="C2" s="1281" t="s">
        <v>876</v>
      </c>
      <c r="D2" s="1367" t="e">
        <f ca="1">C40+J29+L46</f>
        <v>#DIV/0!</v>
      </c>
      <c r="E2" s="1287" t="s">
        <v>877</v>
      </c>
      <c r="F2" s="1288"/>
      <c r="G2" s="2459"/>
      <c r="H2" s="2449"/>
      <c r="I2" s="2449"/>
      <c r="J2" s="2449"/>
      <c r="K2" s="2450"/>
      <c r="L2" s="2449"/>
      <c r="M2" s="2449"/>
    </row>
    <row r="3" spans="1:37" ht="18" customHeight="1" thickBot="1">
      <c r="A3" s="1289" t="s">
        <v>878</v>
      </c>
      <c r="B3" s="1290">
        <f ca="1">IF(ISERROR(D2/F43),0,ROUND(D2/F43,0))</f>
        <v>0</v>
      </c>
      <c r="C3" s="1281" t="s">
        <v>879</v>
      </c>
      <c r="D3" s="1281"/>
      <c r="E3" s="1287"/>
      <c r="F3" s="1288"/>
      <c r="G3" s="2459"/>
      <c r="H3" s="641" t="s">
        <v>873</v>
      </c>
      <c r="I3" s="1282"/>
      <c r="J3" s="1282"/>
      <c r="K3" s="1283"/>
      <c r="L3" s="1282"/>
      <c r="M3" s="1282"/>
    </row>
    <row r="4" spans="1:37" ht="18" customHeight="1">
      <c r="A4" s="281" t="s">
        <v>880</v>
      </c>
      <c r="B4" s="282" t="s">
        <v>881</v>
      </c>
      <c r="C4" s="282" t="s">
        <v>882</v>
      </c>
      <c r="D4" s="282" t="s">
        <v>883</v>
      </c>
      <c r="E4" s="283" t="s">
        <v>884</v>
      </c>
      <c r="F4" s="284"/>
      <c r="G4" s="1284"/>
      <c r="H4" s="281" t="s">
        <v>880</v>
      </c>
      <c r="I4" s="282" t="s">
        <v>881</v>
      </c>
      <c r="J4" s="282" t="s">
        <v>882</v>
      </c>
      <c r="K4" s="282" t="s">
        <v>883</v>
      </c>
      <c r="L4" s="283" t="s">
        <v>884</v>
      </c>
      <c r="M4" s="284"/>
    </row>
    <row r="5" spans="1:37" ht="18" customHeight="1">
      <c r="A5" s="285">
        <v>1</v>
      </c>
      <c r="B5" s="286" t="s">
        <v>885</v>
      </c>
      <c r="C5" s="1000">
        <f ca="1">C6+C10+C12</f>
        <v>0</v>
      </c>
      <c r="D5" s="1265" t="s">
        <v>886</v>
      </c>
      <c r="E5" s="1001"/>
      <c r="F5" s="1002"/>
      <c r="G5" s="1284"/>
      <c r="H5" s="285">
        <v>1</v>
      </c>
      <c r="I5" s="286" t="s">
        <v>885</v>
      </c>
      <c r="J5" s="1000">
        <f ca="1">J6+J10+J12</f>
        <v>0</v>
      </c>
      <c r="K5" s="1265" t="s">
        <v>886</v>
      </c>
      <c r="L5" s="1001"/>
      <c r="M5" s="1002"/>
    </row>
    <row r="6" spans="1:37" ht="18" customHeight="1">
      <c r="A6" s="999" t="s">
        <v>398</v>
      </c>
      <c r="B6" s="3488" t="s">
        <v>691</v>
      </c>
      <c r="C6" s="1004">
        <f ca="1">ROUND(F6*F8*F7*(1-F9),0)</f>
        <v>0</v>
      </c>
      <c r="D6" s="141" t="s">
        <v>2100</v>
      </c>
      <c r="E6" s="288" t="s">
        <v>693</v>
      </c>
      <c r="F6" s="289">
        <f ca="1">INDIRECT("'数据-取费表'!u"&amp;$G$1)</f>
        <v>0</v>
      </c>
      <c r="G6" s="1284"/>
      <c r="H6" s="999" t="s">
        <v>398</v>
      </c>
      <c r="I6" s="3488" t="s">
        <v>691</v>
      </c>
      <c r="J6" s="287">
        <f ca="1">ROUND(M6*M8*M7*(1-M9),0)</f>
        <v>0</v>
      </c>
      <c r="K6" s="1276" t="s">
        <v>2101</v>
      </c>
      <c r="L6" s="288" t="s">
        <v>693</v>
      </c>
      <c r="M6" s="289">
        <f ca="1">INDIRECT("'数据-取费表'!z"&amp;$G$1)</f>
        <v>0</v>
      </c>
    </row>
    <row r="7" spans="1:37" ht="18" customHeight="1">
      <c r="A7" s="1003"/>
      <c r="B7" s="3489"/>
      <c r="C7" s="1005"/>
      <c r="D7" s="293"/>
      <c r="E7" s="1006" t="s">
        <v>694</v>
      </c>
      <c r="F7" s="289">
        <f ca="1">IF(INDIRECT("'数据-取费表'!ah"&amp;$G$1)="",INDIRECT("'数据-取费表'!k"&amp;$G$1),INDIRECT("'数据-取费表'!ah"&amp;$G$1))</f>
        <v>0</v>
      </c>
      <c r="G7" s="1284"/>
      <c r="H7" s="290"/>
      <c r="I7" s="3489"/>
      <c r="J7" s="292"/>
      <c r="K7" s="293"/>
      <c r="L7" s="288" t="s">
        <v>694</v>
      </c>
      <c r="M7" s="289">
        <f ca="1">F7</f>
        <v>0</v>
      </c>
    </row>
    <row r="8" spans="1:37" ht="18" customHeight="1">
      <c r="A8" s="290"/>
      <c r="B8" s="3489"/>
      <c r="C8" s="292"/>
      <c r="D8" s="293"/>
      <c r="E8" s="288" t="s">
        <v>695</v>
      </c>
      <c r="F8" s="289">
        <f ca="1">INDIRECT("'数据-取费表'!ai"&amp;$G$1)</f>
        <v>0</v>
      </c>
      <c r="G8" s="1284"/>
      <c r="H8" s="290"/>
      <c r="I8" s="3489"/>
      <c r="J8" s="292"/>
      <c r="K8" s="293"/>
      <c r="L8" s="288" t="s">
        <v>695</v>
      </c>
      <c r="M8" s="289">
        <f ca="1">INDIRECT("'数据-取费表'!ai"&amp;$G$1)</f>
        <v>0</v>
      </c>
    </row>
    <row r="9" spans="1:37" ht="18" customHeight="1">
      <c r="A9" s="290"/>
      <c r="B9" s="3490"/>
      <c r="C9" s="292"/>
      <c r="D9" s="293"/>
      <c r="E9" s="288" t="s">
        <v>696</v>
      </c>
      <c r="F9" s="298">
        <f ca="1">INDIRECT("'数据-取费表'!w"&amp;$G$1)</f>
        <v>0</v>
      </c>
      <c r="G9" s="1284"/>
      <c r="H9" s="290"/>
      <c r="I9" s="3490"/>
      <c r="J9" s="292"/>
      <c r="K9" s="293"/>
      <c r="L9" s="299" t="s">
        <v>696</v>
      </c>
      <c r="M9" s="300">
        <f ca="1">INDIRECT("'数据-取费表'!ab"&amp;$G$1)</f>
        <v>0</v>
      </c>
    </row>
    <row r="10" spans="1:37" ht="18" customHeight="1">
      <c r="A10" s="999" t="s">
        <v>402</v>
      </c>
      <c r="B10" s="1266" t="s">
        <v>697</v>
      </c>
      <c r="C10" s="302">
        <f ca="1">ROUND(IF(F10="押一",C6/12*F11,IF(F10="押二",C6/12*2*F11,IF(F10="押三",C6/12*3*F11,C11*F11))),0)</f>
        <v>0</v>
      </c>
      <c r="D10" s="144" t="s">
        <v>2110</v>
      </c>
      <c r="E10" s="299" t="s">
        <v>698</v>
      </c>
      <c r="F10" s="1046"/>
      <c r="G10" s="1284"/>
      <c r="H10" s="999" t="s">
        <v>402</v>
      </c>
      <c r="I10" s="1266" t="s">
        <v>697</v>
      </c>
      <c r="J10" s="287">
        <f ca="1">ROUND(IF(M10="押一",J6/12*M11,IF(M10="押二",J6/12*2*M11,IF(M10="押三",J6/12*3*M11,J11*M11))),0)</f>
        <v>0</v>
      </c>
      <c r="K10" s="1277" t="s">
        <v>2112</v>
      </c>
      <c r="L10" s="299" t="s">
        <v>698</v>
      </c>
      <c r="M10" s="1046"/>
    </row>
    <row r="11" spans="1:37" ht="18" customHeight="1">
      <c r="A11" s="294"/>
      <c r="B11" s="1267" t="s">
        <v>887</v>
      </c>
      <c r="C11" s="898"/>
      <c r="D11" s="293"/>
      <c r="E11" s="299" t="s">
        <v>699</v>
      </c>
      <c r="F11" s="300">
        <f ca="1">'数据-取费表'!B39</f>
        <v>1.4999999999999999E-2</v>
      </c>
      <c r="G11" s="1284"/>
      <c r="H11" s="1007"/>
      <c r="I11" s="1267" t="s">
        <v>888</v>
      </c>
      <c r="J11" s="898"/>
      <c r="K11" s="638"/>
      <c r="L11" s="299" t="s">
        <v>699</v>
      </c>
      <c r="M11" s="802">
        <f ca="1">'数据-取费表'!B39</f>
        <v>1.4999999999999999E-2</v>
      </c>
    </row>
    <row r="12" spans="1:37" ht="18" customHeight="1" thickBot="1">
      <c r="A12" s="1013" t="s">
        <v>437</v>
      </c>
      <c r="B12" s="1269" t="s">
        <v>700</v>
      </c>
      <c r="C12" s="1014"/>
      <c r="D12" s="1015"/>
      <c r="E12" s="1020"/>
      <c r="F12" s="1016"/>
      <c r="G12" s="1284"/>
      <c r="H12" s="1013" t="s">
        <v>437</v>
      </c>
      <c r="I12" s="1269" t="s">
        <v>700</v>
      </c>
      <c r="J12" s="1014"/>
      <c r="K12" s="1028"/>
      <c r="L12" s="1020"/>
      <c r="M12" s="1029"/>
    </row>
    <row r="13" spans="1:37" ht="18" customHeight="1" thickTop="1">
      <c r="A13" s="1009">
        <v>2</v>
      </c>
      <c r="B13" s="1010" t="s">
        <v>701</v>
      </c>
      <c r="C13" s="296">
        <f ca="1">ROUND(C29*F13,0)</f>
        <v>0</v>
      </c>
      <c r="D13" s="1011" t="s">
        <v>702</v>
      </c>
      <c r="E13" s="1011" t="s">
        <v>703</v>
      </c>
      <c r="F13" s="1012">
        <f ca="1">INDIRECT("'数据-取费表'!y"&amp;$G$1)</f>
        <v>0</v>
      </c>
      <c r="G13" s="1284"/>
      <c r="H13" s="1009">
        <v>2</v>
      </c>
      <c r="I13" s="1010" t="s">
        <v>701</v>
      </c>
      <c r="J13" s="998">
        <f ca="1">ROUND(J14*J15,0)</f>
        <v>0</v>
      </c>
      <c r="K13" s="1017" t="s">
        <v>702</v>
      </c>
      <c r="L13" s="1291"/>
      <c r="M13" s="1292"/>
    </row>
    <row r="14" spans="1:37" ht="18" customHeight="1">
      <c r="A14" s="921" t="s">
        <v>397</v>
      </c>
      <c r="B14" s="288" t="s">
        <v>704</v>
      </c>
      <c r="C14" s="304">
        <f ca="1">ROUND(INDIRECT("'数据-取费表'!l"&amp;$G$1)*F43+'数据-取费表'!L14*INDIRECT("'数据-取费表'!S"&amp;$G$1),0)</f>
        <v>0</v>
      </c>
      <c r="D14" s="1249" t="s">
        <v>705</v>
      </c>
      <c r="E14" s="1247"/>
      <c r="F14" s="305"/>
      <c r="G14" s="1284"/>
      <c r="H14" s="921" t="s">
        <v>398</v>
      </c>
      <c r="I14" s="288" t="s">
        <v>706</v>
      </c>
      <c r="J14" s="21">
        <f ca="1">C29</f>
        <v>0</v>
      </c>
      <c r="K14" s="12"/>
      <c r="L14" s="752"/>
      <c r="M14" s="753"/>
    </row>
    <row r="15" spans="1:37" s="1296" customFormat="1" ht="18" customHeight="1" thickBot="1">
      <c r="A15" s="921" t="s">
        <v>399</v>
      </c>
      <c r="B15" s="288" t="s">
        <v>707</v>
      </c>
      <c r="C15" s="21">
        <f ca="1">ROUND(C14*F15,0)</f>
        <v>0</v>
      </c>
      <c r="D15" s="306" t="s">
        <v>708</v>
      </c>
      <c r="E15" s="306" t="s">
        <v>709</v>
      </c>
      <c r="F15" s="307">
        <f>'数据-取费表'!B33</f>
        <v>0.05</v>
      </c>
      <c r="G15" s="1295"/>
      <c r="H15" s="1019" t="s">
        <v>402</v>
      </c>
      <c r="I15" s="1020" t="s">
        <v>703</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677</v>
      </c>
      <c r="B16" s="288" t="s">
        <v>710</v>
      </c>
      <c r="C16" s="21">
        <f ca="1">ROUND(INDIRECT("'数据-取费表'!l"&amp;$G$1)*F43*F16,0)</f>
        <v>0</v>
      </c>
      <c r="D16" s="288" t="s">
        <v>708</v>
      </c>
      <c r="E16" s="288" t="s">
        <v>709</v>
      </c>
      <c r="F16" s="308">
        <f ca="1">IF(INDIRECT("'数据-取费表'!c"&amp;$G$1)="住宅",'数据-取费表'!B34,0)</f>
        <v>0</v>
      </c>
      <c r="G16" s="1284"/>
      <c r="H16" s="1009" t="s">
        <v>393</v>
      </c>
      <c r="I16" s="1010" t="s">
        <v>711</v>
      </c>
      <c r="J16" s="296">
        <f ca="1">ROUND(J17+J22+J23+J24,0)</f>
        <v>0</v>
      </c>
      <c r="K16" s="1017" t="s">
        <v>712</v>
      </c>
      <c r="L16" s="1018"/>
      <c r="M16" s="1002"/>
    </row>
    <row r="17" spans="1:37" s="1296" customFormat="1" ht="18" customHeight="1">
      <c r="A17" s="921" t="s">
        <v>678</v>
      </c>
      <c r="B17" s="288" t="s">
        <v>713</v>
      </c>
      <c r="C17" s="21">
        <f ca="1">ROUND(F17*(F43+INDIRECT("'数据-取费表'!S"&amp;$G$1)),0)</f>
        <v>0</v>
      </c>
      <c r="D17" s="288" t="s">
        <v>714</v>
      </c>
      <c r="E17" s="288" t="s">
        <v>715</v>
      </c>
      <c r="F17" s="23">
        <f>'数据-取费表'!B35</f>
        <v>200</v>
      </c>
      <c r="G17" s="1295"/>
      <c r="H17" s="921" t="s">
        <v>398</v>
      </c>
      <c r="I17" s="288" t="s">
        <v>716</v>
      </c>
      <c r="J17" s="2132">
        <f ca="1">ROUND(IF(AND(项目基本情况!B11="自然人",项目基本情况!B10="北京市"),J6*M17/(1+'数据-取费表'!C42),J18+J19+J20),0)</f>
        <v>0</v>
      </c>
      <c r="K17" s="1249" t="s">
        <v>717</v>
      </c>
      <c r="L17" s="1248" t="s">
        <v>718</v>
      </c>
      <c r="M17" s="2131" t="str">
        <f>IF(项目基本情况!B11="企业","",IF('数据-取费表'!B10="住宅",IF(M6*M7*M8/12/(1+'数据-取费表'!F30)&gt;100000,4%,2.5%),IF(M6*M7*M8/12/(1+'数据-取费表'!F30)&gt;100000,12%,7%)))</f>
        <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679</v>
      </c>
      <c r="B18" s="288" t="s">
        <v>719</v>
      </c>
      <c r="C18" s="21">
        <f ca="1">ROUND(C14*F18,0)</f>
        <v>0</v>
      </c>
      <c r="D18" s="288" t="s">
        <v>708</v>
      </c>
      <c r="E18" s="288" t="s">
        <v>709</v>
      </c>
      <c r="F18" s="308">
        <f>'数据-取费表'!B36</f>
        <v>1.4999999999999999E-2</v>
      </c>
      <c r="G18" s="1295"/>
      <c r="H18" s="921" t="s">
        <v>397</v>
      </c>
      <c r="I18" s="288" t="s">
        <v>720</v>
      </c>
      <c r="J18" s="21">
        <f ca="1">ROUND(J6*M18/(1+'数据-取费表'!C42),0)</f>
        <v>0</v>
      </c>
      <c r="K18" s="1248" t="s">
        <v>721</v>
      </c>
      <c r="L18" s="288" t="s">
        <v>709</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722</v>
      </c>
      <c r="C19" s="21">
        <f ca="1">SUM(C14:C18)</f>
        <v>0</v>
      </c>
      <c r="D19" s="117" t="s">
        <v>723</v>
      </c>
      <c r="E19" s="1261"/>
      <c r="F19" s="23"/>
      <c r="G19" s="1284"/>
      <c r="H19" s="921" t="s">
        <v>399</v>
      </c>
      <c r="I19" s="288" t="s">
        <v>724</v>
      </c>
      <c r="J19" s="21">
        <f ca="1">IF(K19="按租金收入计税",ROUND(J6*M19/(1+'数据-取费表'!C42),0),ROUND(C29*M19*0.7,0))</f>
        <v>0</v>
      </c>
      <c r="K19" s="1270" t="s">
        <v>3333</v>
      </c>
      <c r="L19" s="288" t="s">
        <v>709</v>
      </c>
      <c r="M19" s="308">
        <f>IF(K19="按租金收入计税",'数据-取费表'!B51,'数据-取费表'!B50)</f>
        <v>0.12</v>
      </c>
    </row>
    <row r="20" spans="1:37" s="1296" customFormat="1" ht="18" customHeight="1">
      <c r="A20" s="921" t="s">
        <v>402</v>
      </c>
      <c r="B20" s="288" t="s">
        <v>725</v>
      </c>
      <c r="C20" s="21">
        <f ca="1">ROUND(C19*F20,0)</f>
        <v>0</v>
      </c>
      <c r="D20" s="309" t="s">
        <v>726</v>
      </c>
      <c r="E20" s="288" t="s">
        <v>709</v>
      </c>
      <c r="F20" s="308">
        <f>'数据-取费表'!B37</f>
        <v>0.03</v>
      </c>
      <c r="G20" s="1295"/>
      <c r="H20" s="921" t="s">
        <v>677</v>
      </c>
      <c r="I20" s="141" t="s">
        <v>727</v>
      </c>
      <c r="J20" s="22">
        <f ca="1">ROUND(M20*M21,0)</f>
        <v>0</v>
      </c>
      <c r="K20" s="310" t="s">
        <v>728</v>
      </c>
      <c r="L20" s="288" t="s">
        <v>729</v>
      </c>
      <c r="M20" s="311">
        <f>'数据-取费表'!B52</f>
        <v>3</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730</v>
      </c>
      <c r="C21" s="21" t="s">
        <v>0</v>
      </c>
      <c r="D21" s="309" t="s">
        <v>731</v>
      </c>
      <c r="E21" s="288" t="s">
        <v>732</v>
      </c>
      <c r="F21" s="308">
        <f>'数据-取费表'!B38</f>
        <v>0.03</v>
      </c>
      <c r="G21" s="1295"/>
      <c r="H21" s="312"/>
      <c r="I21" s="297"/>
      <c r="J21" s="26"/>
      <c r="K21" s="313"/>
      <c r="L21" s="288" t="s">
        <v>733</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680</v>
      </c>
      <c r="B22" s="288" t="s">
        <v>734</v>
      </c>
      <c r="C22" s="21"/>
      <c r="D22" s="117" t="str">
        <f>IF(F23&lt;=1,"单利计息。","复利计息。")&amp;"建造成本、管理费用、销售费用产生的利息。"</f>
        <v>复利计息。建造成本、管理费用、销售费用产生的利息。</v>
      </c>
      <c r="E22" s="1261"/>
      <c r="F22" s="23"/>
      <c r="G22" s="1284"/>
      <c r="H22" s="921" t="s">
        <v>402</v>
      </c>
      <c r="I22" s="288" t="s">
        <v>735</v>
      </c>
      <c r="J22" s="21">
        <f ca="1">ROUND(J14*M22,0)</f>
        <v>0</v>
      </c>
      <c r="K22" s="1248" t="s">
        <v>736</v>
      </c>
      <c r="L22" s="288" t="s">
        <v>709</v>
      </c>
      <c r="M22" s="314">
        <f ca="1">INDIRECT("'数据-取费表'!Ak"&amp;$G$1)</f>
        <v>0</v>
      </c>
    </row>
    <row r="23" spans="1:37" s="1296" customFormat="1" ht="18" customHeight="1">
      <c r="A23" s="921" t="s">
        <v>397</v>
      </c>
      <c r="B23" s="288" t="s">
        <v>737</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738</v>
      </c>
      <c r="F23" s="311">
        <f>'数据-取费表'!B20</f>
        <v>3</v>
      </c>
      <c r="G23" s="1295"/>
      <c r="H23" s="921" t="s">
        <v>437</v>
      </c>
      <c r="I23" s="288" t="s">
        <v>739</v>
      </c>
      <c r="J23" s="21">
        <f ca="1">ROUND(J13*M23,0)</f>
        <v>0</v>
      </c>
      <c r="K23" s="1248" t="s">
        <v>740</v>
      </c>
      <c r="L23" s="288" t="s">
        <v>741</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742</v>
      </c>
      <c r="B24" s="288" t="s">
        <v>743</v>
      </c>
      <c r="C24" s="21">
        <f ca="1">ROUND(IF('数据-取费表'!B22&lt;=1,F21*F24*F23/2,F21*(POWER((1+F24),F23/2)-1)),4)</f>
        <v>1.6000000000000001E-3</v>
      </c>
      <c r="D24" s="132" t="str">
        <f>IF(F23&lt;=1,"销售费用×利率×(建设周期÷2)","销售费用×((1+利率)^(建设周期÷2)-1)")</f>
        <v>销售费用×((1+利率)^(建设周期÷2)-1)</v>
      </c>
      <c r="E24" s="288" t="s">
        <v>744</v>
      </c>
      <c r="F24" s="316">
        <f ca="1">'数据-取费表'!B40</f>
        <v>3.4500000000000003E-2</v>
      </c>
      <c r="G24" s="1295"/>
      <c r="H24" s="1019" t="s">
        <v>681</v>
      </c>
      <c r="I24" s="1020" t="s">
        <v>725</v>
      </c>
      <c r="J24" s="1021">
        <f ca="1">ROUND(J5*M24,0)</f>
        <v>0</v>
      </c>
      <c r="K24" s="1022" t="s">
        <v>745</v>
      </c>
      <c r="L24" s="1020" t="s">
        <v>741</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746</v>
      </c>
      <c r="B25" s="288" t="s">
        <v>747</v>
      </c>
      <c r="C25" s="21"/>
      <c r="D25" s="117" t="s">
        <v>748</v>
      </c>
      <c r="E25" s="1261"/>
      <c r="F25" s="23"/>
      <c r="G25" s="1284"/>
      <c r="H25" s="1009" t="s">
        <v>394</v>
      </c>
      <c r="I25" s="1024" t="s">
        <v>749</v>
      </c>
      <c r="J25" s="296">
        <f ca="1">J5-J16</f>
        <v>0</v>
      </c>
      <c r="K25" s="1025" t="s">
        <v>750</v>
      </c>
      <c r="L25" s="1026"/>
      <c r="M25" s="1027"/>
    </row>
    <row r="26" spans="1:37" ht="18" customHeight="1">
      <c r="A26" s="921" t="s">
        <v>397</v>
      </c>
      <c r="B26" s="288" t="s">
        <v>751</v>
      </c>
      <c r="C26" s="21">
        <f ca="1">ROUND((C19+C20)*F26,0)</f>
        <v>0</v>
      </c>
      <c r="D26" s="309" t="s">
        <v>752</v>
      </c>
      <c r="E26" s="299" t="s">
        <v>753</v>
      </c>
      <c r="F26" s="298">
        <f ca="1">INDIRECT("'数据-取费表'!q"&amp;$G$1)</f>
        <v>0</v>
      </c>
      <c r="G26" s="1284"/>
      <c r="H26" s="285" t="s">
        <v>395</v>
      </c>
      <c r="I26" s="286" t="s">
        <v>754</v>
      </c>
      <c r="J26" s="287">
        <f ca="1">IF(J5&lt;&gt;0,ROUND(J25*(1-((1+M28)/(1+M26))^M27)/(M26-M28),0),0)</f>
        <v>0</v>
      </c>
      <c r="K26" s="310" t="s">
        <v>755</v>
      </c>
      <c r="L26" s="288" t="s">
        <v>756</v>
      </c>
      <c r="M26" s="298">
        <f ca="1">INDIRECT("'数据-取费表'!I"&amp;$G$1)</f>
        <v>0</v>
      </c>
    </row>
    <row r="27" spans="1:37" ht="18" customHeight="1">
      <c r="A27" s="921" t="s">
        <v>399</v>
      </c>
      <c r="B27" s="288" t="s">
        <v>757</v>
      </c>
      <c r="C27" s="21">
        <f ca="1">ROUND(F21*F26,4)</f>
        <v>0</v>
      </c>
      <c r="D27" s="309" t="s">
        <v>758</v>
      </c>
      <c r="E27" s="306"/>
      <c r="F27" s="307"/>
      <c r="G27" s="1284"/>
      <c r="H27" s="290"/>
      <c r="I27" s="291"/>
      <c r="J27" s="292"/>
      <c r="K27" s="317" t="s">
        <v>759</v>
      </c>
      <c r="L27" s="288" t="s">
        <v>760</v>
      </c>
      <c r="M27" s="318">
        <f ca="1">INDIRECT("'数据-取费表'!ag"&amp;$G$1)</f>
        <v>0</v>
      </c>
    </row>
    <row r="28" spans="1:37" s="1296" customFormat="1" ht="18" customHeight="1">
      <c r="A28" s="921" t="s">
        <v>400</v>
      </c>
      <c r="B28" s="288" t="s">
        <v>761</v>
      </c>
      <c r="C28" s="21">
        <f>ROUND(F28/(1+'数据-取费表'!C42),4)</f>
        <v>5.33E-2</v>
      </c>
      <c r="D28" s="309" t="s">
        <v>762</v>
      </c>
      <c r="E28" s="288" t="s">
        <v>709</v>
      </c>
      <c r="F28" s="308">
        <f>'数据-取费表'!B41</f>
        <v>5.6000000000000001E-2</v>
      </c>
      <c r="G28" s="1295"/>
      <c r="H28" s="294"/>
      <c r="I28" s="295"/>
      <c r="J28" s="296"/>
      <c r="K28" s="313"/>
      <c r="L28" s="288" t="s">
        <v>763</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764</v>
      </c>
      <c r="C29" s="1021">
        <f ca="1">ROUND((C19+C20+C23+C26)/(1-F21-C24-C27-C28),0)</f>
        <v>0</v>
      </c>
      <c r="D29" s="1022"/>
      <c r="E29" s="1020"/>
      <c r="F29" s="1023"/>
      <c r="G29" s="1295"/>
      <c r="H29" s="319" t="s">
        <v>396</v>
      </c>
      <c r="I29" s="320" t="s">
        <v>765</v>
      </c>
      <c r="J29" s="321">
        <f ca="1">ROUND(J26/(1+F40)^F41,0)</f>
        <v>0</v>
      </c>
      <c r="K29" s="322" t="s">
        <v>766</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711</v>
      </c>
      <c r="C30" s="296">
        <f ca="1">ROUND(C31+C36+C37+C38,0)</f>
        <v>0</v>
      </c>
      <c r="D30" s="1017" t="s">
        <v>712</v>
      </c>
      <c r="E30" s="1018"/>
      <c r="F30" s="1002"/>
      <c r="G30" s="1284"/>
      <c r="H30" s="2451"/>
      <c r="I30" s="1297"/>
      <c r="J30" s="1298"/>
      <c r="K30" s="115"/>
      <c r="L30" s="2452"/>
      <c r="M30" s="2453"/>
    </row>
    <row r="31" spans="1:37" ht="18" customHeight="1">
      <c r="A31" s="921" t="s">
        <v>398</v>
      </c>
      <c r="B31" s="288" t="s">
        <v>716</v>
      </c>
      <c r="C31" s="2132">
        <f ca="1">ROUND(IF(AND(项目基本情况!B11="自然人",项目基本情况!B10="北京市"),C6*F31/(1+'数据-取费表'!C42),C32+C33+C34),0)</f>
        <v>0</v>
      </c>
      <c r="D31" s="1249" t="s">
        <v>717</v>
      </c>
      <c r="E31" s="1248" t="s">
        <v>767</v>
      </c>
      <c r="F31" s="2131" t="str">
        <f>IF(项目基本情况!B11="企业","——",IF(M47="住宅",IF(F6*F7*F8/12/(1+'数据-取费表'!F30)&gt;100000,4%,2.5%),IF(F6*F7*F8/12/(1+'数据-取费表'!F30)&gt;100000,12%,7%)))</f>
        <v>——</v>
      </c>
      <c r="G31" s="1284"/>
      <c r="H31" s="2550" t="s">
        <v>2304</v>
      </c>
      <c r="I31" s="1297"/>
      <c r="J31" s="1298"/>
      <c r="K31" s="115"/>
      <c r="L31" s="2452"/>
      <c r="M31" s="2453"/>
    </row>
    <row r="32" spans="1:37" ht="18" customHeight="1">
      <c r="A32" s="921" t="s">
        <v>397</v>
      </c>
      <c r="B32" s="288" t="s">
        <v>720</v>
      </c>
      <c r="C32" s="21">
        <f ca="1">IF(项目基本情况!B11="自然人","——",ROUND(C6*F32/(1+'数据-取费表'!C42),0))</f>
        <v>0</v>
      </c>
      <c r="D32" s="1248" t="s">
        <v>721</v>
      </c>
      <c r="E32" s="288" t="s">
        <v>709</v>
      </c>
      <c r="F32" s="316">
        <f>'数据-取费表'!B41</f>
        <v>5.6000000000000001E-2</v>
      </c>
      <c r="G32" s="1284"/>
      <c r="H32" s="2451"/>
      <c r="I32" s="1297"/>
      <c r="J32" s="1298"/>
      <c r="K32" s="115"/>
      <c r="L32" s="2452"/>
      <c r="M32" s="2453"/>
    </row>
    <row r="33" spans="1:18" ht="18" customHeight="1">
      <c r="A33" s="921" t="s">
        <v>399</v>
      </c>
      <c r="B33" s="288" t="s">
        <v>724</v>
      </c>
      <c r="C33" s="21">
        <f ca="1">IF(项目基本情况!B11="自然人","——",IF(D33="按租金收入计税",ROUND(C6*F33/(1+'数据-取费表'!C42),0),IF(D33="按房产原值计税",ROUND(C29*F33*0.7,0),INDIRECT("'数据-取费表'!Aj"&amp;$G$1))))</f>
        <v>0</v>
      </c>
      <c r="D33" s="1270" t="s">
        <v>3333</v>
      </c>
      <c r="E33" s="288" t="s">
        <v>709</v>
      </c>
      <c r="F33" s="308">
        <f>IF(D33="按票据","——",IF(D33="按租金收入计税",'数据-取费表'!B51,'数据-取费表'!B50))</f>
        <v>0.12</v>
      </c>
      <c r="G33" s="1284"/>
      <c r="H33" s="2454"/>
      <c r="I33" s="1297"/>
      <c r="J33" s="1298"/>
      <c r="K33" s="2455"/>
      <c r="L33" s="2454"/>
      <c r="M33" s="2454"/>
    </row>
    <row r="34" spans="1:18" ht="18" customHeight="1">
      <c r="A34" s="999" t="s">
        <v>677</v>
      </c>
      <c r="B34" s="141" t="s">
        <v>727</v>
      </c>
      <c r="C34" s="22">
        <f ca="1">IF(项目基本情况!B11="自然人","——",ROUND(F34*F35,0))</f>
        <v>0</v>
      </c>
      <c r="D34" s="310" t="s">
        <v>728</v>
      </c>
      <c r="E34" s="288" t="s">
        <v>729</v>
      </c>
      <c r="F34" s="311">
        <f>'数据-取费表'!B52</f>
        <v>3</v>
      </c>
      <c r="G34" s="1284"/>
      <c r="H34" s="2451"/>
      <c r="I34" s="1297"/>
      <c r="J34" s="1298"/>
      <c r="K34" s="2456"/>
      <c r="L34" s="2457"/>
      <c r="M34" s="2457"/>
    </row>
    <row r="35" spans="1:18" ht="18" customHeight="1">
      <c r="A35" s="1033"/>
      <c r="B35" s="1031"/>
      <c r="C35" s="26"/>
      <c r="D35" s="313"/>
      <c r="E35" s="288" t="s">
        <v>733</v>
      </c>
      <c r="F35" s="289">
        <f ca="1">INDIRECT("'数据-取费表'!r"&amp;$G$1)</f>
        <v>0</v>
      </c>
      <c r="G35" s="1284"/>
      <c r="H35" s="2451"/>
      <c r="I35" s="1297"/>
      <c r="J35" s="1298"/>
      <c r="K35" s="2455"/>
      <c r="L35" s="2454"/>
      <c r="M35" s="2454"/>
    </row>
    <row r="36" spans="1:18" ht="18" customHeight="1">
      <c r="A36" s="1032" t="s">
        <v>402</v>
      </c>
      <c r="B36" s="288" t="s">
        <v>735</v>
      </c>
      <c r="C36" s="21">
        <f ca="1">ROUND(C29*F36,0)</f>
        <v>0</v>
      </c>
      <c r="D36" s="1248" t="s">
        <v>768</v>
      </c>
      <c r="E36" s="288" t="s">
        <v>709</v>
      </c>
      <c r="F36" s="314">
        <f ca="1">INDIRECT("'数据-取费表'!Ak"&amp;$G$1)</f>
        <v>0</v>
      </c>
      <c r="G36" s="1284"/>
      <c r="H36" s="2454"/>
      <c r="I36" s="1297"/>
      <c r="J36" s="1298"/>
      <c r="K36" s="2314"/>
      <c r="L36" s="2454"/>
      <c r="M36" s="2454"/>
    </row>
    <row r="37" spans="1:18" ht="18" customHeight="1">
      <c r="A37" s="921" t="s">
        <v>437</v>
      </c>
      <c r="B37" s="288" t="s">
        <v>739</v>
      </c>
      <c r="C37" s="21">
        <f ca="1">ROUND(C13*F37,0)</f>
        <v>0</v>
      </c>
      <c r="D37" s="1248" t="s">
        <v>740</v>
      </c>
      <c r="E37" s="288" t="s">
        <v>741</v>
      </c>
      <c r="F37" s="315">
        <f ca="1">INDIRECT("'数据-取费表'!Al"&amp;$G$1)</f>
        <v>0</v>
      </c>
      <c r="G37" s="1284"/>
      <c r="H37" s="2454"/>
      <c r="I37" s="1297"/>
      <c r="J37" s="1298"/>
      <c r="K37" s="2314"/>
      <c r="L37" s="2454"/>
      <c r="M37" s="2454"/>
    </row>
    <row r="38" spans="1:18" ht="18" customHeight="1" thickBot="1">
      <c r="A38" s="1019" t="s">
        <v>681</v>
      </c>
      <c r="B38" s="1020" t="s">
        <v>725</v>
      </c>
      <c r="C38" s="1021">
        <f ca="1">ROUND(C5*F38,0)</f>
        <v>0</v>
      </c>
      <c r="D38" s="1022" t="s">
        <v>745</v>
      </c>
      <c r="E38" s="1020" t="s">
        <v>741</v>
      </c>
      <c r="F38" s="1016">
        <f ca="1">INDIRECT("'数据-取费表'!Am"&amp;$G$1)</f>
        <v>0</v>
      </c>
      <c r="G38" s="1284"/>
      <c r="H38" s="2454"/>
      <c r="I38" s="1297"/>
      <c r="J38" s="1298"/>
      <c r="K38" s="2452"/>
      <c r="L38" s="2454"/>
      <c r="M38" s="2454"/>
    </row>
    <row r="39" spans="1:18" ht="24.6" customHeight="1" thickTop="1">
      <c r="A39" s="1009" t="s">
        <v>394</v>
      </c>
      <c r="B39" s="1024" t="s">
        <v>769</v>
      </c>
      <c r="C39" s="296">
        <f ca="1">C5-C30</f>
        <v>0</v>
      </c>
      <c r="D39" s="1025" t="s">
        <v>770</v>
      </c>
      <c r="E39" s="1026"/>
      <c r="F39" s="1027"/>
      <c r="G39" s="1284"/>
      <c r="H39" s="2454"/>
      <c r="I39" s="1297"/>
      <c r="J39" s="1298"/>
      <c r="K39" s="2452"/>
      <c r="L39" s="2454"/>
      <c r="M39" s="2454"/>
    </row>
    <row r="40" spans="1:18" ht="18" customHeight="1">
      <c r="A40" s="285" t="s">
        <v>395</v>
      </c>
      <c r="B40" s="286" t="s">
        <v>771</v>
      </c>
      <c r="C40" s="287" t="e">
        <f ca="1">ROUND(C39*(1-((1+F42)/(1+F40))^F41)/(F40-F42),0)</f>
        <v>#DIV/0!</v>
      </c>
      <c r="D40" s="310" t="s">
        <v>755</v>
      </c>
      <c r="E40" s="288" t="s">
        <v>756</v>
      </c>
      <c r="F40" s="298">
        <f ca="1">INDIRECT("'数据-取费表'!I"&amp;$G$1)</f>
        <v>0</v>
      </c>
      <c r="G40" s="1284"/>
      <c r="H40" s="1358"/>
      <c r="I40" s="1297"/>
      <c r="J40" s="1298"/>
      <c r="K40" s="2452"/>
      <c r="L40" s="1358"/>
      <c r="M40" s="1358"/>
    </row>
    <row r="41" spans="1:18" ht="18" customHeight="1">
      <c r="A41" s="290"/>
      <c r="B41" s="291"/>
      <c r="C41" s="292"/>
      <c r="D41" s="317" t="s">
        <v>772</v>
      </c>
      <c r="E41" s="288" t="s">
        <v>760</v>
      </c>
      <c r="F41" s="318">
        <f ca="1">IF(INDIRECT("'数据-取费表'!af"&amp;$G$1)=0,INDIRECT("'数据-取费表'!ae"&amp;$G$1),INDIRECT("'数据-取费表'!af"&amp;$G$1))</f>
        <v>0</v>
      </c>
      <c r="G41" s="1284"/>
      <c r="H41" s="115"/>
      <c r="I41" s="1297"/>
      <c r="J41" s="1298"/>
      <c r="K41" s="2314"/>
      <c r="L41" s="115"/>
      <c r="M41" s="115"/>
    </row>
    <row r="42" spans="1:18" ht="18" customHeight="1">
      <c r="A42" s="294"/>
      <c r="B42" s="295"/>
      <c r="C42" s="296"/>
      <c r="D42" s="313"/>
      <c r="E42" s="288" t="s">
        <v>763</v>
      </c>
      <c r="F42" s="298">
        <f ca="1">INDIRECT("'数据-取费表'!v"&amp;$G$1)</f>
        <v>0</v>
      </c>
      <c r="G42" s="1284"/>
      <c r="H42" s="115"/>
      <c r="I42" s="1297"/>
      <c r="J42" s="1298"/>
      <c r="K42" s="2314"/>
      <c r="L42" s="115"/>
      <c r="M42" s="115"/>
    </row>
    <row r="43" spans="1:18" ht="18" customHeight="1" thickBot="1">
      <c r="A43" s="319" t="s">
        <v>396</v>
      </c>
      <c r="B43" s="320" t="s">
        <v>773</v>
      </c>
      <c r="C43" s="321" t="e">
        <f ca="1">ROUND(C40/F43,0)</f>
        <v>#DIV/0!</v>
      </c>
      <c r="D43" s="322" t="s">
        <v>774</v>
      </c>
      <c r="E43" s="323" t="s">
        <v>775</v>
      </c>
      <c r="F43" s="324">
        <f ca="1">INDIRECT("'数据-取费表'!k"&amp;$G$1)</f>
        <v>0</v>
      </c>
      <c r="G43" s="1284"/>
      <c r="H43" s="115"/>
      <c r="I43" s="115"/>
      <c r="J43" s="115"/>
      <c r="K43" s="2314"/>
      <c r="L43" s="115"/>
      <c r="M43" s="115"/>
    </row>
    <row r="44" spans="1:18" s="1284" customFormat="1" ht="18" customHeight="1">
      <c r="A44" s="1299"/>
      <c r="B44" s="1299"/>
      <c r="C44" s="1300"/>
      <c r="D44" s="1299"/>
      <c r="E44" s="1299"/>
      <c r="F44" s="1299"/>
      <c r="K44" s="1301"/>
    </row>
    <row r="45" spans="1:18" s="1284" customFormat="1" ht="18" customHeight="1" thickBot="1">
      <c r="A45" s="3110" t="s">
        <v>3349</v>
      </c>
      <c r="B45" s="1299"/>
      <c r="C45" s="1368" t="e">
        <f ca="1">ROUND((C68-C40)/10000,4)</f>
        <v>#DIV/0!</v>
      </c>
      <c r="D45" s="3111" t="s">
        <v>3350</v>
      </c>
      <c r="E45" s="1299"/>
      <c r="F45" s="1299"/>
      <c r="O45" s="1302" t="s">
        <v>805</v>
      </c>
      <c r="P45" s="1358"/>
      <c r="Q45" s="1358"/>
      <c r="R45" s="1358"/>
    </row>
    <row r="46" spans="1:18" s="1284" customFormat="1" ht="13.5" thickBot="1">
      <c r="A46" s="1303" t="s">
        <v>806</v>
      </c>
      <c r="C46" s="1304" t="e">
        <f ca="1">ROUND(C45,0)</f>
        <v>#DIV/0!</v>
      </c>
      <c r="D46" s="1305" t="str">
        <f>C2</f>
        <v>万元</v>
      </c>
      <c r="I46" s="1306" t="s">
        <v>807</v>
      </c>
      <c r="J46" s="1307"/>
      <c r="K46" s="1308"/>
      <c r="L46" s="1309" t="e">
        <f ca="1">IF(M47="住宅",0,IF(L48&gt;J51,L60,J60))</f>
        <v>#DIV/0!</v>
      </c>
      <c r="O46" s="1310" t="s">
        <v>808</v>
      </c>
      <c r="P46" s="1311" t="s">
        <v>809</v>
      </c>
      <c r="Q46" s="1312" t="s">
        <v>810</v>
      </c>
      <c r="R46" s="1312" t="s">
        <v>811</v>
      </c>
    </row>
    <row r="47" spans="1:18" s="1284" customFormat="1" ht="13.5" thickBot="1">
      <c r="A47" s="885" t="s">
        <v>684</v>
      </c>
      <c r="B47" s="917" t="s">
        <v>685</v>
      </c>
      <c r="C47" s="917" t="s">
        <v>686</v>
      </c>
      <c r="D47" s="917" t="s">
        <v>687</v>
      </c>
      <c r="E47" s="988" t="s">
        <v>688</v>
      </c>
      <c r="F47" s="989"/>
      <c r="G47" s="673"/>
      <c r="I47" s="1313" t="s">
        <v>812</v>
      </c>
      <c r="J47" s="1314"/>
      <c r="K47" s="1315" t="s">
        <v>813</v>
      </c>
      <c r="L47" s="1316">
        <f ca="1">INDIRECT("'数据-取费表'!d"&amp;$G$1)</f>
        <v>0</v>
      </c>
      <c r="M47" s="1280" t="str">
        <f>IF(ISNUMBER(FIND("住宅",C1)),"住宅","非住宅")</f>
        <v>非住宅</v>
      </c>
      <c r="O47" s="1317" t="s">
        <v>403</v>
      </c>
      <c r="P47" s="1318" t="s">
        <v>814</v>
      </c>
      <c r="Q47" s="1319" t="e">
        <f ca="1">C40+J29</f>
        <v>#DIV/0!</v>
      </c>
      <c r="R47" s="1319" t="s">
        <v>815</v>
      </c>
    </row>
    <row r="48" spans="1:18" s="1284" customFormat="1" ht="28.5" thickBot="1">
      <c r="A48" s="1040" t="s">
        <v>438</v>
      </c>
      <c r="B48" s="286" t="s">
        <v>689</v>
      </c>
      <c r="C48" s="1260">
        <f ca="1">C49+C53+C55</f>
        <v>0</v>
      </c>
      <c r="D48" s="1042"/>
      <c r="E48" s="1043"/>
      <c r="F48" s="901"/>
      <c r="G48" s="673"/>
      <c r="H48" s="674"/>
      <c r="I48" s="1320" t="s">
        <v>816</v>
      </c>
      <c r="J48" s="1321"/>
      <c r="K48" s="1322" t="s">
        <v>817</v>
      </c>
      <c r="L48" s="1323">
        <f ca="1">INDIRECT("'数据-取费表'!f"&amp;$G$1)</f>
        <v>0</v>
      </c>
      <c r="O48" s="1317" t="s">
        <v>404</v>
      </c>
      <c r="P48" s="1318" t="s">
        <v>818</v>
      </c>
      <c r="Q48" s="1319" t="e">
        <f ca="1">J60</f>
        <v>#DIV/0!</v>
      </c>
      <c r="R48" s="1319" t="s">
        <v>819</v>
      </c>
    </row>
    <row r="49" spans="1:18" s="1284" customFormat="1" ht="13.5" thickBot="1">
      <c r="A49" s="914" t="s">
        <v>439</v>
      </c>
      <c r="B49" s="1271" t="s">
        <v>776</v>
      </c>
      <c r="C49" s="1044">
        <f ca="1">ROUND(F49*F51*F50*(1-F52),0)</f>
        <v>0</v>
      </c>
      <c r="D49" s="985" t="s">
        <v>692</v>
      </c>
      <c r="E49" s="1272" t="s">
        <v>777</v>
      </c>
      <c r="F49" s="990"/>
      <c r="H49" s="674"/>
      <c r="I49" s="1320" t="s">
        <v>820</v>
      </c>
      <c r="J49" s="1324"/>
      <c r="K49" s="1322" t="s">
        <v>821</v>
      </c>
      <c r="L49" s="1325"/>
      <c r="O49" s="1326" t="s">
        <v>405</v>
      </c>
      <c r="P49" s="1318" t="s">
        <v>822</v>
      </c>
      <c r="Q49" s="1319">
        <f ca="1">C29</f>
        <v>0</v>
      </c>
      <c r="R49" s="1319" t="s">
        <v>815</v>
      </c>
    </row>
    <row r="50" spans="1:18" s="1284" customFormat="1" ht="13.5" thickBot="1">
      <c r="A50" s="915"/>
      <c r="B50" s="918"/>
      <c r="C50" s="919"/>
      <c r="D50" s="892"/>
      <c r="E50" s="986" t="s">
        <v>694</v>
      </c>
      <c r="F50" s="987">
        <f ca="1">F7</f>
        <v>0</v>
      </c>
      <c r="H50" s="674"/>
      <c r="I50" s="1320" t="s">
        <v>823</v>
      </c>
      <c r="J50" s="1327">
        <f>SUMPRODUCT((I63:I65=J47)*(J62:L62=J48)*(J63:L65))</f>
        <v>0</v>
      </c>
      <c r="K50" s="1322" t="s">
        <v>824</v>
      </c>
      <c r="L50" s="1325"/>
      <c r="M50" s="1328"/>
      <c r="O50" s="1326" t="s">
        <v>406</v>
      </c>
      <c r="P50" s="1318" t="s">
        <v>825</v>
      </c>
      <c r="Q50" s="1329" t="e">
        <f ca="1">J58</f>
        <v>#DIV/0!</v>
      </c>
      <c r="R50" s="1319"/>
    </row>
    <row r="51" spans="1:18" s="1284" customFormat="1" ht="13.5" thickBot="1">
      <c r="A51" s="916"/>
      <c r="B51" s="918"/>
      <c r="C51" s="919"/>
      <c r="D51" s="892"/>
      <c r="E51" s="920" t="s">
        <v>695</v>
      </c>
      <c r="F51" s="289">
        <f ca="1">F8</f>
        <v>0</v>
      </c>
      <c r="I51" s="1330" t="s">
        <v>826</v>
      </c>
      <c r="J51" s="1323">
        <f>IF(J49="",J50,J49+J50-YEAR('数据-取费表'!B2))</f>
        <v>0</v>
      </c>
      <c r="K51" s="1331" t="s">
        <v>827</v>
      </c>
      <c r="L51" s="1332">
        <f ca="1">ROUND(-PV(INDIRECT("'数据-取费表'!h"&amp;$G$1),J51,(C39-C13*C76),0),0)</f>
        <v>0</v>
      </c>
      <c r="M51" s="1333"/>
      <c r="O51" s="1326" t="s">
        <v>407</v>
      </c>
      <c r="P51" s="1318" t="s">
        <v>828</v>
      </c>
      <c r="Q51" s="1329">
        <f>J52</f>
        <v>0</v>
      </c>
      <c r="R51" s="1319"/>
    </row>
    <row r="52" spans="1:18" s="1284" customFormat="1" ht="13.5" thickBot="1">
      <c r="A52" s="916"/>
      <c r="B52" s="918"/>
      <c r="C52" s="919"/>
      <c r="D52" s="892"/>
      <c r="E52" s="920" t="s">
        <v>696</v>
      </c>
      <c r="F52" s="984"/>
      <c r="I52" s="1334" t="s">
        <v>829</v>
      </c>
      <c r="J52" s="1335"/>
      <c r="K52" s="1334" t="s">
        <v>830</v>
      </c>
      <c r="L52" s="1335"/>
      <c r="O52" s="1326" t="s">
        <v>408</v>
      </c>
      <c r="P52" s="1318" t="s">
        <v>831</v>
      </c>
      <c r="Q52" s="1319">
        <f ca="1">J53</f>
        <v>0</v>
      </c>
      <c r="R52" s="1319" t="s">
        <v>832</v>
      </c>
    </row>
    <row r="53" spans="1:18" s="1284" customFormat="1" ht="30.75" customHeight="1" thickBot="1">
      <c r="A53" s="1041" t="s">
        <v>440</v>
      </c>
      <c r="B53" s="309" t="s">
        <v>697</v>
      </c>
      <c r="C53" s="302">
        <f ca="1">ROUND(IF(F53="押一",C49/12*F11,IF(F53="押二",C49/12*2*F11,IF(F53="押三",C49/12*3*F11,C54*F11))),0)</f>
        <v>0</v>
      </c>
      <c r="D53" s="144" t="s">
        <v>2113</v>
      </c>
      <c r="E53" s="299" t="s">
        <v>698</v>
      </c>
      <c r="F53" s="1046"/>
      <c r="I53" s="1336" t="s">
        <v>833</v>
      </c>
      <c r="J53" s="1998">
        <f ca="1">IF(M47="住宅",IF(D1="——",MAX(J51,L48),MAX(J51,L48-'数据-取费表'!B24)),IF(D1="——",MIN(J51,L48),MIN(J51,L48-'数据-取费表'!B24)))</f>
        <v>0</v>
      </c>
      <c r="K53" s="3486" t="s">
        <v>834</v>
      </c>
      <c r="L53" s="3487"/>
      <c r="O53" s="1317" t="s">
        <v>409</v>
      </c>
      <c r="P53" s="1318" t="s">
        <v>835</v>
      </c>
      <c r="Q53" s="1319" t="e">
        <f ca="1">Q47+Q48</f>
        <v>#DIV/0!</v>
      </c>
      <c r="R53" s="1319" t="s">
        <v>410</v>
      </c>
    </row>
    <row r="54" spans="1:18" s="1284" customFormat="1" ht="13.5" thickBot="1">
      <c r="A54" s="914"/>
      <c r="B54" s="1369" t="s">
        <v>888</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836</v>
      </c>
      <c r="P54" s="1281"/>
      <c r="Q54" s="1281"/>
      <c r="R54" s="1281"/>
    </row>
    <row r="55" spans="1:18" s="1284" customFormat="1" ht="13.5" thickBot="1">
      <c r="A55" s="1013" t="s">
        <v>437</v>
      </c>
      <c r="B55" s="1269" t="s">
        <v>700</v>
      </c>
      <c r="C55" s="1014"/>
      <c r="D55" s="144"/>
      <c r="E55" s="1274"/>
      <c r="F55" s="1337"/>
      <c r="I55" s="1340" t="s">
        <v>837</v>
      </c>
      <c r="J55" s="1341" t="e">
        <f ca="1">ROUND(IF(J47="钢混",J57/J50,1-(1-2%)*(J50-J57)/J50),3)</f>
        <v>#DIV/0!</v>
      </c>
      <c r="K55" s="1342" t="s">
        <v>838</v>
      </c>
      <c r="L55" s="1343"/>
      <c r="O55" s="1310" t="s">
        <v>808</v>
      </c>
      <c r="P55" s="1311" t="s">
        <v>809</v>
      </c>
      <c r="Q55" s="1312" t="s">
        <v>810</v>
      </c>
      <c r="R55" s="1312" t="s">
        <v>811</v>
      </c>
    </row>
    <row r="56" spans="1:18" s="1284" customFormat="1" ht="36" customHeight="1" thickTop="1" thickBot="1">
      <c r="A56" s="896">
        <v>2</v>
      </c>
      <c r="B56" s="897" t="s">
        <v>701</v>
      </c>
      <c r="C56" s="218">
        <f ca="1">C13</f>
        <v>0</v>
      </c>
      <c r="D56" s="1344"/>
      <c r="E56" s="1345"/>
      <c r="F56" s="1337"/>
      <c r="I56" s="1346" t="s">
        <v>839</v>
      </c>
      <c r="J56" s="1347"/>
      <c r="K56" s="1320" t="s">
        <v>840</v>
      </c>
      <c r="L56" s="1323">
        <f ca="1">IF(L48&lt;J51,"——",L48-J51)</f>
        <v>0</v>
      </c>
      <c r="O56" s="1317" t="s">
        <v>403</v>
      </c>
      <c r="P56" s="1318" t="s">
        <v>814</v>
      </c>
      <c r="Q56" s="1319" t="e">
        <f ca="1">C40+J29</f>
        <v>#DIV/0!</v>
      </c>
      <c r="R56" s="1319" t="s">
        <v>815</v>
      </c>
    </row>
    <row r="57" spans="1:18" s="1284" customFormat="1" ht="24.75" thickBot="1">
      <c r="A57" s="1348"/>
      <c r="B57" s="889" t="s">
        <v>764</v>
      </c>
      <c r="C57" s="224">
        <f ca="1">C29</f>
        <v>0</v>
      </c>
      <c r="D57" s="1349"/>
      <c r="E57" s="1350"/>
      <c r="F57" s="1351"/>
      <c r="I57" s="1352" t="s">
        <v>841</v>
      </c>
      <c r="J57" s="1353">
        <f ca="1">IF(OR(M47="住宅",J51&lt;L48,J56="是"),"——",J51-L48)</f>
        <v>0</v>
      </c>
      <c r="K57" s="1320" t="s">
        <v>889</v>
      </c>
      <c r="L57" s="1323">
        <f ca="1">IF(L48&lt;J51,"——",IF(L55="比较法",L49,IF(L55="基准地价",L50,L51)))</f>
        <v>0</v>
      </c>
      <c r="O57" s="1317" t="s">
        <v>404</v>
      </c>
      <c r="P57" s="1318" t="s">
        <v>890</v>
      </c>
      <c r="Q57" s="1319" t="e">
        <f ca="1">L60</f>
        <v>#DIV/0!</v>
      </c>
      <c r="R57" s="1319" t="s">
        <v>891</v>
      </c>
    </row>
    <row r="58" spans="1:18" s="1284" customFormat="1" ht="24.75" thickBot="1">
      <c r="A58" s="301" t="s">
        <v>393</v>
      </c>
      <c r="B58" s="897" t="s">
        <v>711</v>
      </c>
      <c r="C58" s="302">
        <f ca="1">ROUND(C59+C64+C65+C66,0)</f>
        <v>0</v>
      </c>
      <c r="D58" s="899" t="s">
        <v>712</v>
      </c>
      <c r="E58" s="900"/>
      <c r="F58" s="901"/>
      <c r="I58" s="1352" t="s">
        <v>845</v>
      </c>
      <c r="J58" s="1354" t="e">
        <f ca="1">IF(J55&lt;0.4,0.4,J55)</f>
        <v>#DIV/0!</v>
      </c>
      <c r="K58" s="1331" t="s">
        <v>892</v>
      </c>
      <c r="L58" s="1323" t="e">
        <f ca="1">ROUND(POWER(1+L52,L47-L48)*(POWER(1+L52,L48)-1)/(POWER(1+L52,L47)-1),4)</f>
        <v>#DIV/0!</v>
      </c>
      <c r="O58" s="1326" t="s">
        <v>405</v>
      </c>
      <c r="P58" s="1318" t="s">
        <v>847</v>
      </c>
      <c r="Q58" s="1319">
        <f>IF(L55="比较法",L49,IF(L55="基准地价",L50,0))</f>
        <v>0</v>
      </c>
      <c r="R58" s="1319" t="s">
        <v>815</v>
      </c>
    </row>
    <row r="59" spans="1:18" s="1284" customFormat="1" ht="24.75" thickBot="1">
      <c r="A59" s="921" t="s">
        <v>398</v>
      </c>
      <c r="B59" s="889" t="s">
        <v>716</v>
      </c>
      <c r="C59" s="2132">
        <f ca="1">ROUND(IF(AND(项目基本情况!B11="自然人",项目基本情况!B10="北京市"),C49*F59/(1+'数据-取费表'!C42),C60+C61+C62),0)</f>
        <v>0</v>
      </c>
      <c r="D59" s="902" t="s">
        <v>717</v>
      </c>
      <c r="E59" s="903" t="s">
        <v>718</v>
      </c>
      <c r="F59" s="2131" t="str">
        <f>IF(项目基本情况!B11="企业","——",IF('数据-取费表'!B10="住宅",IF(F49*F50*F51/12/(1+'数据-取费表'!F30)&gt;100000,4%,2.5%),IF(F49*F50*F51/12/(1+'数据-取费表'!F30)&gt;100000,12%,7%)))</f>
        <v>——</v>
      </c>
      <c r="I59" s="1352" t="s">
        <v>848</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849</v>
      </c>
      <c r="Q59" s="1329">
        <f>L52</f>
        <v>0</v>
      </c>
      <c r="R59" s="1319"/>
    </row>
    <row r="60" spans="1:18" s="1284" customFormat="1" ht="16.5" thickBot="1">
      <c r="A60" s="921" t="s">
        <v>397</v>
      </c>
      <c r="B60" s="889" t="s">
        <v>720</v>
      </c>
      <c r="C60" s="21">
        <f ca="1">IF(项目基本情况!B11="自然人","——",ROUND(C48*F60/(1+'数据-取费表'!C42),0))</f>
        <v>0</v>
      </c>
      <c r="D60" s="903" t="s">
        <v>721</v>
      </c>
      <c r="E60" s="889" t="s">
        <v>709</v>
      </c>
      <c r="F60" s="316">
        <f t="shared" ref="F60:F66" si="0">F32</f>
        <v>5.6000000000000001E-2</v>
      </c>
      <c r="I60" s="1355" t="s">
        <v>850</v>
      </c>
      <c r="J60" s="1356" t="e">
        <f ca="1">IF(OR(M47="住宅",J51&lt;L48,J56="是"),"0",ROUND(J59/(1+J52)^J53,0))</f>
        <v>#DIV/0!</v>
      </c>
      <c r="K60" s="1357" t="s">
        <v>851</v>
      </c>
      <c r="L60" s="1356" t="e">
        <f ca="1">IF(OR(M47="住宅",L48&lt;J51),0,ROUND(L57*(L58/L59-1),0))</f>
        <v>#DIV/0!</v>
      </c>
      <c r="O60" s="1326" t="s">
        <v>407</v>
      </c>
      <c r="P60" s="1318" t="s">
        <v>852</v>
      </c>
      <c r="Q60" s="1319" t="e">
        <f ca="1">L58</f>
        <v>#DIV/0!</v>
      </c>
      <c r="R60" s="1319" t="s">
        <v>853</v>
      </c>
    </row>
    <row r="61" spans="1:18" s="1284" customFormat="1" ht="13.5" thickBot="1">
      <c r="A61" s="921" t="s">
        <v>778</v>
      </c>
      <c r="B61" s="889" t="s">
        <v>779</v>
      </c>
      <c r="C61" s="21">
        <f ca="1">IF(项目基本情况!B11="自然人","——",IF(D61="按租金收入计税",ROUND(C49*F61/(1+'数据-取费表'!C42),0),IF(D61="按房产原值计税",ROUND(C57*F61*0.7,0),INDIRECT("'数据-取费表'!Aj"&amp;$G$1))))</f>
        <v>0</v>
      </c>
      <c r="D61" s="1270" t="s">
        <v>3333</v>
      </c>
      <c r="E61" s="889" t="s">
        <v>780</v>
      </c>
      <c r="F61" s="308">
        <f t="shared" si="0"/>
        <v>0.12</v>
      </c>
      <c r="I61" s="1358"/>
      <c r="J61" s="1358"/>
      <c r="K61" s="1358"/>
      <c r="L61" s="1358"/>
      <c r="O61" s="1326" t="s">
        <v>408</v>
      </c>
      <c r="P61" s="1318" t="str">
        <f>K59</f>
        <v>建筑物剩余耐用年限下的土地年期修正系数Kn</v>
      </c>
      <c r="Q61" s="1319" t="e">
        <f ca="1">L59</f>
        <v>#DIV/0!</v>
      </c>
      <c r="R61" s="1319" t="s">
        <v>854</v>
      </c>
    </row>
    <row r="62" spans="1:18" s="1284" customFormat="1" ht="13.5" thickBot="1">
      <c r="A62" s="921" t="s">
        <v>781</v>
      </c>
      <c r="B62" s="888" t="s">
        <v>782</v>
      </c>
      <c r="C62" s="22">
        <f ca="1">IF(项目基本情况!B11="自然人","——",ROUND(F62*F63,0))</f>
        <v>0</v>
      </c>
      <c r="D62" s="904" t="s">
        <v>783</v>
      </c>
      <c r="E62" s="889" t="s">
        <v>784</v>
      </c>
      <c r="F62" s="311">
        <f t="shared" si="0"/>
        <v>3</v>
      </c>
      <c r="I62" s="1359" t="s">
        <v>855</v>
      </c>
      <c r="J62" s="604" t="s">
        <v>856</v>
      </c>
      <c r="K62" s="604" t="s">
        <v>857</v>
      </c>
      <c r="L62" s="604" t="s">
        <v>858</v>
      </c>
      <c r="M62" s="1360" t="s">
        <v>859</v>
      </c>
      <c r="O62" s="1317" t="s">
        <v>409</v>
      </c>
      <c r="P62" s="1318" t="s">
        <v>860</v>
      </c>
      <c r="Q62" s="1319" t="e">
        <f ca="1">Q56+Q57</f>
        <v>#DIV/0!</v>
      </c>
      <c r="R62" s="1319" t="s">
        <v>410</v>
      </c>
    </row>
    <row r="63" spans="1:18" s="1284" customFormat="1" ht="13.5" thickBot="1">
      <c r="A63" s="312"/>
      <c r="B63" s="895"/>
      <c r="C63" s="26"/>
      <c r="D63" s="905"/>
      <c r="E63" s="889" t="s">
        <v>785</v>
      </c>
      <c r="F63" s="289">
        <f t="shared" ca="1" si="0"/>
        <v>0</v>
      </c>
      <c r="I63" s="1359" t="s">
        <v>861</v>
      </c>
      <c r="J63" s="604">
        <v>70</v>
      </c>
      <c r="K63" s="604">
        <v>50</v>
      </c>
      <c r="L63" s="604">
        <v>80</v>
      </c>
      <c r="M63" s="1361">
        <v>0.02</v>
      </c>
      <c r="O63" s="1302" t="s">
        <v>862</v>
      </c>
      <c r="P63" s="1281"/>
      <c r="Q63" s="1281"/>
      <c r="R63" s="1281"/>
    </row>
    <row r="64" spans="1:18" s="1284" customFormat="1" ht="13.5" thickBot="1">
      <c r="A64" s="921" t="s">
        <v>786</v>
      </c>
      <c r="B64" s="889" t="s">
        <v>787</v>
      </c>
      <c r="C64" s="21">
        <f ca="1">ROUND(C57*F64,0)</f>
        <v>0</v>
      </c>
      <c r="D64" s="903" t="s">
        <v>788</v>
      </c>
      <c r="E64" s="889" t="s">
        <v>780</v>
      </c>
      <c r="F64" s="314">
        <f t="shared" ca="1" si="0"/>
        <v>0</v>
      </c>
      <c r="I64" s="1359" t="s">
        <v>863</v>
      </c>
      <c r="J64" s="604">
        <v>50</v>
      </c>
      <c r="K64" s="604">
        <v>35</v>
      </c>
      <c r="L64" s="604">
        <v>60</v>
      </c>
      <c r="M64" s="1360">
        <v>0</v>
      </c>
      <c r="O64" s="1310" t="s">
        <v>808</v>
      </c>
      <c r="P64" s="1311" t="s">
        <v>809</v>
      </c>
      <c r="Q64" s="1312" t="s">
        <v>810</v>
      </c>
      <c r="R64" s="1312" t="s">
        <v>811</v>
      </c>
    </row>
    <row r="65" spans="1:18" s="1284" customFormat="1" ht="13.5" thickBot="1">
      <c r="A65" s="921" t="s">
        <v>789</v>
      </c>
      <c r="B65" s="889" t="s">
        <v>739</v>
      </c>
      <c r="C65" s="21">
        <f ca="1">ROUND(C56*F65,0)</f>
        <v>0</v>
      </c>
      <c r="D65" s="903" t="s">
        <v>740</v>
      </c>
      <c r="E65" s="889" t="s">
        <v>741</v>
      </c>
      <c r="F65" s="315">
        <f t="shared" ca="1" si="0"/>
        <v>0</v>
      </c>
      <c r="I65" s="1359" t="s">
        <v>864</v>
      </c>
      <c r="J65" s="604">
        <v>40</v>
      </c>
      <c r="K65" s="604">
        <v>30</v>
      </c>
      <c r="L65" s="604">
        <v>50</v>
      </c>
      <c r="M65" s="1361">
        <v>0.02</v>
      </c>
      <c r="O65" s="1317" t="s">
        <v>403</v>
      </c>
      <c r="P65" s="1318" t="s">
        <v>865</v>
      </c>
      <c r="Q65" s="1319" t="e">
        <f ca="1">C40+J29</f>
        <v>#DIV/0!</v>
      </c>
      <c r="R65" s="1319" t="s">
        <v>815</v>
      </c>
    </row>
    <row r="66" spans="1:18" s="1284" customFormat="1" ht="16.5" thickBot="1">
      <c r="A66" s="921" t="s">
        <v>790</v>
      </c>
      <c r="B66" s="889" t="s">
        <v>725</v>
      </c>
      <c r="C66" s="21">
        <f ca="1">ROUND(C48*F66,0)</f>
        <v>0</v>
      </c>
      <c r="D66" s="903" t="s">
        <v>791</v>
      </c>
      <c r="E66" s="889" t="s">
        <v>709</v>
      </c>
      <c r="F66" s="298">
        <f t="shared" ca="1" si="0"/>
        <v>0</v>
      </c>
      <c r="O66" s="1317" t="s">
        <v>404</v>
      </c>
      <c r="P66" s="1318" t="s">
        <v>843</v>
      </c>
      <c r="Q66" s="1319" t="e">
        <f ca="1">L60</f>
        <v>#DIV/0!</v>
      </c>
      <c r="R66" s="1319" t="s">
        <v>866</v>
      </c>
    </row>
    <row r="67" spans="1:18" s="1284" customFormat="1" ht="16.5" thickBot="1">
      <c r="A67" s="896" t="s">
        <v>394</v>
      </c>
      <c r="B67" s="906" t="s">
        <v>749</v>
      </c>
      <c r="C67" s="302">
        <f ca="1">C48-C58</f>
        <v>0</v>
      </c>
      <c r="D67" s="902" t="s">
        <v>750</v>
      </c>
      <c r="E67" s="907"/>
      <c r="F67" s="908"/>
      <c r="O67" s="1326" t="s">
        <v>405</v>
      </c>
      <c r="P67" s="1318" t="s">
        <v>847</v>
      </c>
      <c r="Q67" s="1362">
        <f ca="1">L51</f>
        <v>0</v>
      </c>
      <c r="R67" s="1319" t="s">
        <v>867</v>
      </c>
    </row>
    <row r="68" spans="1:18" s="1284" customFormat="1" ht="16.5" thickBot="1">
      <c r="A68" s="886" t="s">
        <v>395</v>
      </c>
      <c r="B68" s="887" t="s">
        <v>771</v>
      </c>
      <c r="C68" s="287" t="e">
        <f ca="1">ROUND(C67*(1-((1+F70)/(1+F68))^F69)/(F68-F70),0)</f>
        <v>#DIV/0!</v>
      </c>
      <c r="D68" s="904" t="s">
        <v>755</v>
      </c>
      <c r="E68" s="889" t="s">
        <v>756</v>
      </c>
      <c r="F68" s="298">
        <f ca="1">F40</f>
        <v>0</v>
      </c>
      <c r="O68" s="1326" t="s">
        <v>406</v>
      </c>
      <c r="P68" s="1363" t="s">
        <v>868</v>
      </c>
      <c r="Q68" s="1319">
        <f ca="1">ROUND(Q69-Q70*Q71,0)</f>
        <v>0</v>
      </c>
      <c r="R68" s="1319" t="s">
        <v>414</v>
      </c>
    </row>
    <row r="69" spans="1:18" s="1284" customFormat="1" ht="13.5" thickBot="1">
      <c r="A69" s="890"/>
      <c r="B69" s="891"/>
      <c r="C69" s="292"/>
      <c r="D69" s="909" t="s">
        <v>759</v>
      </c>
      <c r="E69" s="889" t="s">
        <v>760</v>
      </c>
      <c r="F69" s="318">
        <f ca="1">F41</f>
        <v>0</v>
      </c>
      <c r="O69" s="1326" t="s">
        <v>411</v>
      </c>
      <c r="P69" s="1363" t="s">
        <v>869</v>
      </c>
      <c r="Q69" s="1319">
        <f ca="1">C39</f>
        <v>0</v>
      </c>
      <c r="R69" s="1319" t="s">
        <v>815</v>
      </c>
    </row>
    <row r="70" spans="1:18" s="1284" customFormat="1" ht="13.5" thickBot="1">
      <c r="A70" s="893"/>
      <c r="B70" s="894"/>
      <c r="C70" s="296"/>
      <c r="D70" s="905"/>
      <c r="E70" s="889" t="s">
        <v>763</v>
      </c>
      <c r="F70" s="984"/>
      <c r="O70" s="1326" t="s">
        <v>412</v>
      </c>
      <c r="P70" s="1363" t="s">
        <v>870</v>
      </c>
      <c r="Q70" s="1319">
        <f ca="1">C13</f>
        <v>0</v>
      </c>
      <c r="R70" s="1319" t="s">
        <v>815</v>
      </c>
    </row>
    <row r="71" spans="1:18" s="1284" customFormat="1" ht="13.5" thickBot="1">
      <c r="A71" s="910" t="s">
        <v>396</v>
      </c>
      <c r="B71" s="911" t="s">
        <v>773</v>
      </c>
      <c r="C71" s="321" t="e">
        <f ca="1">ROUND(C68/F71,0)</f>
        <v>#DIV/0!</v>
      </c>
      <c r="D71" s="912" t="s">
        <v>774</v>
      </c>
      <c r="E71" s="913" t="s">
        <v>775</v>
      </c>
      <c r="F71" s="324">
        <f ca="1">F43</f>
        <v>0</v>
      </c>
      <c r="O71" s="1326" t="s">
        <v>413</v>
      </c>
      <c r="P71" s="1363" t="s">
        <v>871</v>
      </c>
      <c r="Q71" s="1329">
        <f ca="1">C76</f>
        <v>0</v>
      </c>
      <c r="R71" s="1319"/>
    </row>
    <row r="72" spans="1:18" s="1284" customFormat="1" ht="13.5" thickBot="1">
      <c r="B72" s="677"/>
      <c r="C72" s="677"/>
      <c r="O72" s="1326" t="s">
        <v>407</v>
      </c>
      <c r="P72" s="1318" t="s">
        <v>849</v>
      </c>
      <c r="Q72" s="1329">
        <f>L52</f>
        <v>0</v>
      </c>
      <c r="R72" s="1319"/>
    </row>
    <row r="73" spans="1:18" ht="16.5" thickBot="1">
      <c r="A73" s="1284"/>
      <c r="B73" s="677"/>
      <c r="C73" s="677"/>
      <c r="D73" s="1284"/>
      <c r="E73" s="1284"/>
      <c r="F73" s="1284"/>
      <c r="O73" s="1326" t="s">
        <v>408</v>
      </c>
      <c r="P73" s="1318" t="s">
        <v>852</v>
      </c>
      <c r="Q73" s="1319" t="e">
        <f ca="1">L58</f>
        <v>#DIV/0!</v>
      </c>
      <c r="R73" s="1319" t="s">
        <v>853</v>
      </c>
    </row>
    <row r="74" spans="1:18" ht="13.5" thickBot="1">
      <c r="A74" s="1284"/>
      <c r="B74" s="259" t="s">
        <v>872</v>
      </c>
      <c r="C74" s="1365"/>
      <c r="D74" s="1284"/>
      <c r="E74" s="1284"/>
      <c r="F74" s="1284"/>
      <c r="O74" s="1326" t="s">
        <v>415</v>
      </c>
      <c r="P74" s="1318" t="str">
        <f>K59</f>
        <v>建筑物剩余耐用年限下的土地年期修正系数Kn</v>
      </c>
      <c r="Q74" s="1319" t="e">
        <f ca="1">L59</f>
        <v>#DIV/0!</v>
      </c>
      <c r="R74" s="1319" t="s">
        <v>854</v>
      </c>
    </row>
    <row r="75" spans="1:18" ht="13.5" thickBot="1">
      <c r="A75" s="1284"/>
      <c r="B75" s="325" t="s">
        <v>792</v>
      </c>
      <c r="C75" s="326">
        <f ca="1">ROUND(C13*C76,0)</f>
        <v>0</v>
      </c>
      <c r="D75" s="1284"/>
      <c r="E75" s="1284"/>
      <c r="F75" s="1284"/>
      <c r="K75" s="1301"/>
      <c r="L75" s="1284"/>
      <c r="O75" s="1317" t="s">
        <v>409</v>
      </c>
      <c r="P75" s="1318" t="s">
        <v>835</v>
      </c>
      <c r="Q75" s="1319" t="e">
        <f ca="1">Q65+Q66</f>
        <v>#DIV/0!</v>
      </c>
      <c r="R75" s="1319" t="s">
        <v>410</v>
      </c>
    </row>
    <row r="76" spans="1:18">
      <c r="B76" s="327" t="s">
        <v>793</v>
      </c>
      <c r="C76" s="328">
        <f ca="1">INDIRECT("'数据-取费表'!j"&amp;$G$1)</f>
        <v>0</v>
      </c>
      <c r="I76" s="1284"/>
      <c r="J76" s="1284"/>
      <c r="K76" s="1301"/>
      <c r="L76" s="1284"/>
    </row>
    <row r="77" spans="1:18">
      <c r="B77" s="329" t="s">
        <v>794</v>
      </c>
      <c r="C77" s="330"/>
      <c r="I77" s="1284"/>
      <c r="J77" s="1284"/>
      <c r="K77" s="1301"/>
      <c r="L77" s="1284"/>
    </row>
    <row r="78" spans="1:18">
      <c r="B78" s="256" t="s">
        <v>795</v>
      </c>
      <c r="C78" s="331"/>
    </row>
    <row r="79" spans="1:18">
      <c r="B79" s="325" t="s">
        <v>796</v>
      </c>
      <c r="C79" s="260" t="e">
        <f ca="1">1-C80</f>
        <v>#DIV/0!</v>
      </c>
    </row>
    <row r="80" spans="1:18">
      <c r="B80" s="325" t="s">
        <v>797</v>
      </c>
      <c r="C80" s="260" t="e">
        <f ca="1">ROUND(C75/C39,3)</f>
        <v>#DIV/0!</v>
      </c>
    </row>
    <row r="81" spans="2:3">
      <c r="B81" s="256" t="s">
        <v>798</v>
      </c>
      <c r="C81" s="224"/>
    </row>
    <row r="82" spans="2:3">
      <c r="B82" s="259" t="s">
        <v>799</v>
      </c>
      <c r="C82" s="261" t="e">
        <f ca="1">1-C83</f>
        <v>#DIV/0!</v>
      </c>
    </row>
    <row r="83" spans="2:3">
      <c r="B83" s="259" t="s">
        <v>800</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895</v>
      </c>
    </row>
    <row r="3" spans="1:1" ht="18">
      <c r="A3" s="1373" t="str">
        <f>项目基本情况!B5&amp;"："</f>
        <v>浦发银行：</v>
      </c>
    </row>
    <row r="4" spans="1:1" ht="36">
      <c r="A4" s="1374" t="str">
        <f>"受贵公司委托，我公司对"&amp;项目基本情况!S1&amp;"进行了预评估。"</f>
        <v>受贵公司委托，我公司对北京市朝阳区清林东路4号6号楼负2层B202、负3层B302商业用房房地产抵押价值进行了预评估。</v>
      </c>
    </row>
    <row r="5" spans="1:1" ht="18.75">
      <c r="A5" s="1375" t="s">
        <v>896</v>
      </c>
    </row>
    <row r="6" spans="1:1" ht="18.75">
      <c r="A6" s="1376" t="s">
        <v>897</v>
      </c>
    </row>
    <row r="7" spans="1:1" ht="54">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估价对象为北京市朝阳区清林东路4号6号楼负2层B202、负3层B302商业用房房地产，为所有。根据《国有土地使用证》[]，估价对象（分摊）出让国有建设用地使用权面积为0平方米，建筑面积为5979.53平方米。</v>
      </c>
    </row>
    <row r="8" spans="1:1" ht="57.75">
      <c r="A8" s="1377" t="s">
        <v>898</v>
      </c>
    </row>
    <row r="9" spans="1:1" ht="18.75">
      <c r="A9" s="1376" t="s">
        <v>899</v>
      </c>
    </row>
    <row r="10" spans="1:1" ht="72">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该项目尚在开发建设中。根据《国有土地使用证》[]，估价对象（分摊）出让国有建设用地使用权面积为0平方米，规划建筑面积为5979.53平方米。</v>
      </c>
    </row>
    <row r="11" spans="1:1" ht="76.5">
      <c r="A11" s="1377" t="s">
        <v>900</v>
      </c>
    </row>
    <row r="12" spans="1:1" ht="18.75">
      <c r="A12" s="1375" t="s">
        <v>901</v>
      </c>
    </row>
    <row r="13" spans="1:1" ht="38.25" customHeight="1">
      <c r="A13" s="137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73" t="s">
        <v>902</v>
      </c>
    </row>
    <row r="15" spans="1:1" ht="18">
      <c r="A15" s="1378" t="str">
        <f>TEXT(项目基本情况!D3,"yyyy年m月d日;;")&amp;IF(项目基本情况!D3=项目基本情况!B3,"（评估专业人员实地查勘之日）","")</f>
        <v>2024年5月6日（评估专业人员实地查勘之日）</v>
      </c>
    </row>
    <row r="16" spans="1:1" ht="18.75">
      <c r="A16" s="1373" t="s">
        <v>903</v>
      </c>
    </row>
    <row r="17" spans="1:1" ht="75">
      <c r="A17" s="1374" t="s">
        <v>904</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6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893</v>
      </c>
    </row>
    <row r="24" spans="1:1" ht="18">
      <c r="A24" s="1379" t="str">
        <f>"本次评估采用的主估价方法为"&amp;结果表!K4&amp;"和"&amp;结果表!L4&amp;"。"</f>
        <v>本次评估采用的主估价方法为成本法和收益法。</v>
      </c>
    </row>
    <row r="25" spans="1:1" ht="18">
      <c r="A25" s="1379"/>
    </row>
    <row r="26" spans="1:1" ht="18.75">
      <c r="A26" s="1380" t="s">
        <v>894</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74" customWidth="1"/>
    <col min="2" max="2" width="8.875" style="2574"/>
    <col min="3" max="5" width="12.875" style="2574" customWidth="1"/>
    <col min="6" max="6" width="47.5" style="2574" customWidth="1"/>
    <col min="7" max="7" width="13" style="2568" customWidth="1"/>
    <col min="8" max="8" width="8.875" style="2568"/>
    <col min="9" max="9" width="8.875" style="2569"/>
    <col min="10" max="10" width="5.75" style="2728" customWidth="1"/>
    <col min="11" max="11" width="11.75" style="2728" customWidth="1"/>
    <col min="12" max="13" width="10.75" style="2728" customWidth="1"/>
    <col min="14" max="14" width="10" style="2728" customWidth="1"/>
    <col min="15" max="16" width="10.5" style="2728" bestFit="1" customWidth="1"/>
    <col min="17" max="17" width="10" style="2728" customWidth="1"/>
    <col min="18" max="18" width="10.125" style="2728" customWidth="1"/>
    <col min="19" max="19" width="10" style="2728" customWidth="1"/>
    <col min="20" max="20" width="26.125" style="2728" customWidth="1"/>
    <col min="21" max="21" width="8.875" style="2728"/>
    <col min="22" max="22" width="8.875" style="2569"/>
    <col min="23" max="256" width="8.875" style="2574"/>
    <col min="257" max="257" width="9.5" style="2574" customWidth="1"/>
    <col min="258" max="258" width="8.875" style="2574"/>
    <col min="259" max="261" width="12.875" style="2574" customWidth="1"/>
    <col min="262" max="262" width="47.5" style="2574" customWidth="1"/>
    <col min="263" max="263" width="13" style="2574" customWidth="1"/>
    <col min="264" max="265" width="8.875" style="2574"/>
    <col min="266" max="266" width="5.75" style="2574" customWidth="1"/>
    <col min="267" max="267" width="11.75" style="2574" customWidth="1"/>
    <col min="268" max="269" width="10.75" style="2574" customWidth="1"/>
    <col min="270" max="270" width="10" style="2574" customWidth="1"/>
    <col min="271" max="272" width="10.5" style="2574" bestFit="1" customWidth="1"/>
    <col min="273" max="273" width="10" style="2574" customWidth="1"/>
    <col min="274" max="274" width="10.125" style="2574" customWidth="1"/>
    <col min="275" max="275" width="10" style="2574" customWidth="1"/>
    <col min="276" max="276" width="26.125" style="2574" customWidth="1"/>
    <col min="277" max="512" width="8.875" style="2574"/>
    <col min="513" max="513" width="9.5" style="2574" customWidth="1"/>
    <col min="514" max="514" width="8.875" style="2574"/>
    <col min="515" max="517" width="12.875" style="2574" customWidth="1"/>
    <col min="518" max="518" width="47.5" style="2574" customWidth="1"/>
    <col min="519" max="519" width="13" style="2574" customWidth="1"/>
    <col min="520" max="521" width="8.875" style="2574"/>
    <col min="522" max="522" width="5.75" style="2574" customWidth="1"/>
    <col min="523" max="523" width="11.75" style="2574" customWidth="1"/>
    <col min="524" max="525" width="10.75" style="2574" customWidth="1"/>
    <col min="526" max="526" width="10" style="2574" customWidth="1"/>
    <col min="527" max="528" width="10.5" style="2574" bestFit="1" customWidth="1"/>
    <col min="529" max="529" width="10" style="2574" customWidth="1"/>
    <col min="530" max="530" width="10.125" style="2574" customWidth="1"/>
    <col min="531" max="531" width="10" style="2574" customWidth="1"/>
    <col min="532" max="532" width="26.125" style="2574" customWidth="1"/>
    <col min="533" max="768" width="8.875" style="2574"/>
    <col min="769" max="769" width="9.5" style="2574" customWidth="1"/>
    <col min="770" max="770" width="8.875" style="2574"/>
    <col min="771" max="773" width="12.875" style="2574" customWidth="1"/>
    <col min="774" max="774" width="47.5" style="2574" customWidth="1"/>
    <col min="775" max="775" width="13" style="2574" customWidth="1"/>
    <col min="776" max="777" width="8.875" style="2574"/>
    <col min="778" max="778" width="5.75" style="2574" customWidth="1"/>
    <col min="779" max="779" width="11.75" style="2574" customWidth="1"/>
    <col min="780" max="781" width="10.75" style="2574" customWidth="1"/>
    <col min="782" max="782" width="10" style="2574" customWidth="1"/>
    <col min="783" max="784" width="10.5" style="2574" bestFit="1" customWidth="1"/>
    <col min="785" max="785" width="10" style="2574" customWidth="1"/>
    <col min="786" max="786" width="10.125" style="2574" customWidth="1"/>
    <col min="787" max="787" width="10" style="2574" customWidth="1"/>
    <col min="788" max="788" width="26.125" style="2574" customWidth="1"/>
    <col min="789" max="1024" width="8.875" style="2574"/>
    <col min="1025" max="1025" width="9.5" style="2574" customWidth="1"/>
    <col min="1026" max="1026" width="8.875" style="2574"/>
    <col min="1027" max="1029" width="12.875" style="2574" customWidth="1"/>
    <col min="1030" max="1030" width="47.5" style="2574" customWidth="1"/>
    <col min="1031" max="1031" width="13" style="2574" customWidth="1"/>
    <col min="1032" max="1033" width="8.875" style="2574"/>
    <col min="1034" max="1034" width="5.75" style="2574" customWidth="1"/>
    <col min="1035" max="1035" width="11.75" style="2574" customWidth="1"/>
    <col min="1036" max="1037" width="10.75" style="2574" customWidth="1"/>
    <col min="1038" max="1038" width="10" style="2574" customWidth="1"/>
    <col min="1039" max="1040" width="10.5" style="2574" bestFit="1" customWidth="1"/>
    <col min="1041" max="1041" width="10" style="2574" customWidth="1"/>
    <col min="1042" max="1042" width="10.125" style="2574" customWidth="1"/>
    <col min="1043" max="1043" width="10" style="2574" customWidth="1"/>
    <col min="1044" max="1044" width="26.125" style="2574" customWidth="1"/>
    <col min="1045" max="1280" width="8.875" style="2574"/>
    <col min="1281" max="1281" width="9.5" style="2574" customWidth="1"/>
    <col min="1282" max="1282" width="8.875" style="2574"/>
    <col min="1283" max="1285" width="12.875" style="2574" customWidth="1"/>
    <col min="1286" max="1286" width="47.5" style="2574" customWidth="1"/>
    <col min="1287" max="1287" width="13" style="2574" customWidth="1"/>
    <col min="1288" max="1289" width="8.875" style="2574"/>
    <col min="1290" max="1290" width="5.75" style="2574" customWidth="1"/>
    <col min="1291" max="1291" width="11.75" style="2574" customWidth="1"/>
    <col min="1292" max="1293" width="10.75" style="2574" customWidth="1"/>
    <col min="1294" max="1294" width="10" style="2574" customWidth="1"/>
    <col min="1295" max="1296" width="10.5" style="2574" bestFit="1" customWidth="1"/>
    <col min="1297" max="1297" width="10" style="2574" customWidth="1"/>
    <col min="1298" max="1298" width="10.125" style="2574" customWidth="1"/>
    <col min="1299" max="1299" width="10" style="2574" customWidth="1"/>
    <col min="1300" max="1300" width="26.125" style="2574" customWidth="1"/>
    <col min="1301" max="1536" width="8.875" style="2574"/>
    <col min="1537" max="1537" width="9.5" style="2574" customWidth="1"/>
    <col min="1538" max="1538" width="8.875" style="2574"/>
    <col min="1539" max="1541" width="12.875" style="2574" customWidth="1"/>
    <col min="1542" max="1542" width="47.5" style="2574" customWidth="1"/>
    <col min="1543" max="1543" width="13" style="2574" customWidth="1"/>
    <col min="1544" max="1545" width="8.875" style="2574"/>
    <col min="1546" max="1546" width="5.75" style="2574" customWidth="1"/>
    <col min="1547" max="1547" width="11.75" style="2574" customWidth="1"/>
    <col min="1548" max="1549" width="10.75" style="2574" customWidth="1"/>
    <col min="1550" max="1550" width="10" style="2574" customWidth="1"/>
    <col min="1551" max="1552" width="10.5" style="2574" bestFit="1" customWidth="1"/>
    <col min="1553" max="1553" width="10" style="2574" customWidth="1"/>
    <col min="1554" max="1554" width="10.125" style="2574" customWidth="1"/>
    <col min="1555" max="1555" width="10" style="2574" customWidth="1"/>
    <col min="1556" max="1556" width="26.125" style="2574" customWidth="1"/>
    <col min="1557" max="1792" width="8.875" style="2574"/>
    <col min="1793" max="1793" width="9.5" style="2574" customWidth="1"/>
    <col min="1794" max="1794" width="8.875" style="2574"/>
    <col min="1795" max="1797" width="12.875" style="2574" customWidth="1"/>
    <col min="1798" max="1798" width="47.5" style="2574" customWidth="1"/>
    <col min="1799" max="1799" width="13" style="2574" customWidth="1"/>
    <col min="1800" max="1801" width="8.875" style="2574"/>
    <col min="1802" max="1802" width="5.75" style="2574" customWidth="1"/>
    <col min="1803" max="1803" width="11.75" style="2574" customWidth="1"/>
    <col min="1804" max="1805" width="10.75" style="2574" customWidth="1"/>
    <col min="1806" max="1806" width="10" style="2574" customWidth="1"/>
    <col min="1807" max="1808" width="10.5" style="2574" bestFit="1" customWidth="1"/>
    <col min="1809" max="1809" width="10" style="2574" customWidth="1"/>
    <col min="1810" max="1810" width="10.125" style="2574" customWidth="1"/>
    <col min="1811" max="1811" width="10" style="2574" customWidth="1"/>
    <col min="1812" max="1812" width="26.125" style="2574" customWidth="1"/>
    <col min="1813" max="2048" width="8.875" style="2574"/>
    <col min="2049" max="2049" width="9.5" style="2574" customWidth="1"/>
    <col min="2050" max="2050" width="8.875" style="2574"/>
    <col min="2051" max="2053" width="12.875" style="2574" customWidth="1"/>
    <col min="2054" max="2054" width="47.5" style="2574" customWidth="1"/>
    <col min="2055" max="2055" width="13" style="2574" customWidth="1"/>
    <col min="2056" max="2057" width="8.875" style="2574"/>
    <col min="2058" max="2058" width="5.75" style="2574" customWidth="1"/>
    <col min="2059" max="2059" width="11.75" style="2574" customWidth="1"/>
    <col min="2060" max="2061" width="10.75" style="2574" customWidth="1"/>
    <col min="2062" max="2062" width="10" style="2574" customWidth="1"/>
    <col min="2063" max="2064" width="10.5" style="2574" bestFit="1" customWidth="1"/>
    <col min="2065" max="2065" width="10" style="2574" customWidth="1"/>
    <col min="2066" max="2066" width="10.125" style="2574" customWidth="1"/>
    <col min="2067" max="2067" width="10" style="2574" customWidth="1"/>
    <col min="2068" max="2068" width="26.125" style="2574" customWidth="1"/>
    <col min="2069" max="2304" width="8.875" style="2574"/>
    <col min="2305" max="2305" width="9.5" style="2574" customWidth="1"/>
    <col min="2306" max="2306" width="8.875" style="2574"/>
    <col min="2307" max="2309" width="12.875" style="2574" customWidth="1"/>
    <col min="2310" max="2310" width="47.5" style="2574" customWidth="1"/>
    <col min="2311" max="2311" width="13" style="2574" customWidth="1"/>
    <col min="2312" max="2313" width="8.875" style="2574"/>
    <col min="2314" max="2314" width="5.75" style="2574" customWidth="1"/>
    <col min="2315" max="2315" width="11.75" style="2574" customWidth="1"/>
    <col min="2316" max="2317" width="10.75" style="2574" customWidth="1"/>
    <col min="2318" max="2318" width="10" style="2574" customWidth="1"/>
    <col min="2319" max="2320" width="10.5" style="2574" bestFit="1" customWidth="1"/>
    <col min="2321" max="2321" width="10" style="2574" customWidth="1"/>
    <col min="2322" max="2322" width="10.125" style="2574" customWidth="1"/>
    <col min="2323" max="2323" width="10" style="2574" customWidth="1"/>
    <col min="2324" max="2324" width="26.125" style="2574" customWidth="1"/>
    <col min="2325" max="2560" width="8.875" style="2574"/>
    <col min="2561" max="2561" width="9.5" style="2574" customWidth="1"/>
    <col min="2562" max="2562" width="8.875" style="2574"/>
    <col min="2563" max="2565" width="12.875" style="2574" customWidth="1"/>
    <col min="2566" max="2566" width="47.5" style="2574" customWidth="1"/>
    <col min="2567" max="2567" width="13" style="2574" customWidth="1"/>
    <col min="2568" max="2569" width="8.875" style="2574"/>
    <col min="2570" max="2570" width="5.75" style="2574" customWidth="1"/>
    <col min="2571" max="2571" width="11.75" style="2574" customWidth="1"/>
    <col min="2572" max="2573" width="10.75" style="2574" customWidth="1"/>
    <col min="2574" max="2574" width="10" style="2574" customWidth="1"/>
    <col min="2575" max="2576" width="10.5" style="2574" bestFit="1" customWidth="1"/>
    <col min="2577" max="2577" width="10" style="2574" customWidth="1"/>
    <col min="2578" max="2578" width="10.125" style="2574" customWidth="1"/>
    <col min="2579" max="2579" width="10" style="2574" customWidth="1"/>
    <col min="2580" max="2580" width="26.125" style="2574" customWidth="1"/>
    <col min="2581" max="2816" width="8.875" style="2574"/>
    <col min="2817" max="2817" width="9.5" style="2574" customWidth="1"/>
    <col min="2818" max="2818" width="8.875" style="2574"/>
    <col min="2819" max="2821" width="12.875" style="2574" customWidth="1"/>
    <col min="2822" max="2822" width="47.5" style="2574" customWidth="1"/>
    <col min="2823" max="2823" width="13" style="2574" customWidth="1"/>
    <col min="2824" max="2825" width="8.875" style="2574"/>
    <col min="2826" max="2826" width="5.75" style="2574" customWidth="1"/>
    <col min="2827" max="2827" width="11.75" style="2574" customWidth="1"/>
    <col min="2828" max="2829" width="10.75" style="2574" customWidth="1"/>
    <col min="2830" max="2830" width="10" style="2574" customWidth="1"/>
    <col min="2831" max="2832" width="10.5" style="2574" bestFit="1" customWidth="1"/>
    <col min="2833" max="2833" width="10" style="2574" customWidth="1"/>
    <col min="2834" max="2834" width="10.125" style="2574" customWidth="1"/>
    <col min="2835" max="2835" width="10" style="2574" customWidth="1"/>
    <col min="2836" max="2836" width="26.125" style="2574" customWidth="1"/>
    <col min="2837" max="3072" width="8.875" style="2574"/>
    <col min="3073" max="3073" width="9.5" style="2574" customWidth="1"/>
    <col min="3074" max="3074" width="8.875" style="2574"/>
    <col min="3075" max="3077" width="12.875" style="2574" customWidth="1"/>
    <col min="3078" max="3078" width="47.5" style="2574" customWidth="1"/>
    <col min="3079" max="3079" width="13" style="2574" customWidth="1"/>
    <col min="3080" max="3081" width="8.875" style="2574"/>
    <col min="3082" max="3082" width="5.75" style="2574" customWidth="1"/>
    <col min="3083" max="3083" width="11.75" style="2574" customWidth="1"/>
    <col min="3084" max="3085" width="10.75" style="2574" customWidth="1"/>
    <col min="3086" max="3086" width="10" style="2574" customWidth="1"/>
    <col min="3087" max="3088" width="10.5" style="2574" bestFit="1" customWidth="1"/>
    <col min="3089" max="3089" width="10" style="2574" customWidth="1"/>
    <col min="3090" max="3090" width="10.125" style="2574" customWidth="1"/>
    <col min="3091" max="3091" width="10" style="2574" customWidth="1"/>
    <col min="3092" max="3092" width="26.125" style="2574" customWidth="1"/>
    <col min="3093" max="3328" width="8.875" style="2574"/>
    <col min="3329" max="3329" width="9.5" style="2574" customWidth="1"/>
    <col min="3330" max="3330" width="8.875" style="2574"/>
    <col min="3331" max="3333" width="12.875" style="2574" customWidth="1"/>
    <col min="3334" max="3334" width="47.5" style="2574" customWidth="1"/>
    <col min="3335" max="3335" width="13" style="2574" customWidth="1"/>
    <col min="3336" max="3337" width="8.875" style="2574"/>
    <col min="3338" max="3338" width="5.75" style="2574" customWidth="1"/>
    <col min="3339" max="3339" width="11.75" style="2574" customWidth="1"/>
    <col min="3340" max="3341" width="10.75" style="2574" customWidth="1"/>
    <col min="3342" max="3342" width="10" style="2574" customWidth="1"/>
    <col min="3343" max="3344" width="10.5" style="2574" bestFit="1" customWidth="1"/>
    <col min="3345" max="3345" width="10" style="2574" customWidth="1"/>
    <col min="3346" max="3346" width="10.125" style="2574" customWidth="1"/>
    <col min="3347" max="3347" width="10" style="2574" customWidth="1"/>
    <col min="3348" max="3348" width="26.125" style="2574" customWidth="1"/>
    <col min="3349" max="3584" width="8.875" style="2574"/>
    <col min="3585" max="3585" width="9.5" style="2574" customWidth="1"/>
    <col min="3586" max="3586" width="8.875" style="2574"/>
    <col min="3587" max="3589" width="12.875" style="2574" customWidth="1"/>
    <col min="3590" max="3590" width="47.5" style="2574" customWidth="1"/>
    <col min="3591" max="3591" width="13" style="2574" customWidth="1"/>
    <col min="3592" max="3593" width="8.875" style="2574"/>
    <col min="3594" max="3594" width="5.75" style="2574" customWidth="1"/>
    <col min="3595" max="3595" width="11.75" style="2574" customWidth="1"/>
    <col min="3596" max="3597" width="10.75" style="2574" customWidth="1"/>
    <col min="3598" max="3598" width="10" style="2574" customWidth="1"/>
    <col min="3599" max="3600" width="10.5" style="2574" bestFit="1" customWidth="1"/>
    <col min="3601" max="3601" width="10" style="2574" customWidth="1"/>
    <col min="3602" max="3602" width="10.125" style="2574" customWidth="1"/>
    <col min="3603" max="3603" width="10" style="2574" customWidth="1"/>
    <col min="3604" max="3604" width="26.125" style="2574" customWidth="1"/>
    <col min="3605" max="3840" width="8.875" style="2574"/>
    <col min="3841" max="3841" width="9.5" style="2574" customWidth="1"/>
    <col min="3842" max="3842" width="8.875" style="2574"/>
    <col min="3843" max="3845" width="12.875" style="2574" customWidth="1"/>
    <col min="3846" max="3846" width="47.5" style="2574" customWidth="1"/>
    <col min="3847" max="3847" width="13" style="2574" customWidth="1"/>
    <col min="3848" max="3849" width="8.875" style="2574"/>
    <col min="3850" max="3850" width="5.75" style="2574" customWidth="1"/>
    <col min="3851" max="3851" width="11.75" style="2574" customWidth="1"/>
    <col min="3852" max="3853" width="10.75" style="2574" customWidth="1"/>
    <col min="3854" max="3854" width="10" style="2574" customWidth="1"/>
    <col min="3855" max="3856" width="10.5" style="2574" bestFit="1" customWidth="1"/>
    <col min="3857" max="3857" width="10" style="2574" customWidth="1"/>
    <col min="3858" max="3858" width="10.125" style="2574" customWidth="1"/>
    <col min="3859" max="3859" width="10" style="2574" customWidth="1"/>
    <col min="3860" max="3860" width="26.125" style="2574" customWidth="1"/>
    <col min="3861" max="4096" width="8.875" style="2574"/>
    <col min="4097" max="4097" width="9.5" style="2574" customWidth="1"/>
    <col min="4098" max="4098" width="8.875" style="2574"/>
    <col min="4099" max="4101" width="12.875" style="2574" customWidth="1"/>
    <col min="4102" max="4102" width="47.5" style="2574" customWidth="1"/>
    <col min="4103" max="4103" width="13" style="2574" customWidth="1"/>
    <col min="4104" max="4105" width="8.875" style="2574"/>
    <col min="4106" max="4106" width="5.75" style="2574" customWidth="1"/>
    <col min="4107" max="4107" width="11.75" style="2574" customWidth="1"/>
    <col min="4108" max="4109" width="10.75" style="2574" customWidth="1"/>
    <col min="4110" max="4110" width="10" style="2574" customWidth="1"/>
    <col min="4111" max="4112" width="10.5" style="2574" bestFit="1" customWidth="1"/>
    <col min="4113" max="4113" width="10" style="2574" customWidth="1"/>
    <col min="4114" max="4114" width="10.125" style="2574" customWidth="1"/>
    <col min="4115" max="4115" width="10" style="2574" customWidth="1"/>
    <col min="4116" max="4116" width="26.125" style="2574" customWidth="1"/>
    <col min="4117" max="4352" width="8.875" style="2574"/>
    <col min="4353" max="4353" width="9.5" style="2574" customWidth="1"/>
    <col min="4354" max="4354" width="8.875" style="2574"/>
    <col min="4355" max="4357" width="12.875" style="2574" customWidth="1"/>
    <col min="4358" max="4358" width="47.5" style="2574" customWidth="1"/>
    <col min="4359" max="4359" width="13" style="2574" customWidth="1"/>
    <col min="4360" max="4361" width="8.875" style="2574"/>
    <col min="4362" max="4362" width="5.75" style="2574" customWidth="1"/>
    <col min="4363" max="4363" width="11.75" style="2574" customWidth="1"/>
    <col min="4364" max="4365" width="10.75" style="2574" customWidth="1"/>
    <col min="4366" max="4366" width="10" style="2574" customWidth="1"/>
    <col min="4367" max="4368" width="10.5" style="2574" bestFit="1" customWidth="1"/>
    <col min="4369" max="4369" width="10" style="2574" customWidth="1"/>
    <col min="4370" max="4370" width="10.125" style="2574" customWidth="1"/>
    <col min="4371" max="4371" width="10" style="2574" customWidth="1"/>
    <col min="4372" max="4372" width="26.125" style="2574" customWidth="1"/>
    <col min="4373" max="4608" width="8.875" style="2574"/>
    <col min="4609" max="4609" width="9.5" style="2574" customWidth="1"/>
    <col min="4610" max="4610" width="8.875" style="2574"/>
    <col min="4611" max="4613" width="12.875" style="2574" customWidth="1"/>
    <col min="4614" max="4614" width="47.5" style="2574" customWidth="1"/>
    <col min="4615" max="4615" width="13" style="2574" customWidth="1"/>
    <col min="4616" max="4617" width="8.875" style="2574"/>
    <col min="4618" max="4618" width="5.75" style="2574" customWidth="1"/>
    <col min="4619" max="4619" width="11.75" style="2574" customWidth="1"/>
    <col min="4620" max="4621" width="10.75" style="2574" customWidth="1"/>
    <col min="4622" max="4622" width="10" style="2574" customWidth="1"/>
    <col min="4623" max="4624" width="10.5" style="2574" bestFit="1" customWidth="1"/>
    <col min="4625" max="4625" width="10" style="2574" customWidth="1"/>
    <col min="4626" max="4626" width="10.125" style="2574" customWidth="1"/>
    <col min="4627" max="4627" width="10" style="2574" customWidth="1"/>
    <col min="4628" max="4628" width="26.125" style="2574" customWidth="1"/>
    <col min="4629" max="4864" width="8.875" style="2574"/>
    <col min="4865" max="4865" width="9.5" style="2574" customWidth="1"/>
    <col min="4866" max="4866" width="8.875" style="2574"/>
    <col min="4867" max="4869" width="12.875" style="2574" customWidth="1"/>
    <col min="4870" max="4870" width="47.5" style="2574" customWidth="1"/>
    <col min="4871" max="4871" width="13" style="2574" customWidth="1"/>
    <col min="4872" max="4873" width="8.875" style="2574"/>
    <col min="4874" max="4874" width="5.75" style="2574" customWidth="1"/>
    <col min="4875" max="4875" width="11.75" style="2574" customWidth="1"/>
    <col min="4876" max="4877" width="10.75" style="2574" customWidth="1"/>
    <col min="4878" max="4878" width="10" style="2574" customWidth="1"/>
    <col min="4879" max="4880" width="10.5" style="2574" bestFit="1" customWidth="1"/>
    <col min="4881" max="4881" width="10" style="2574" customWidth="1"/>
    <col min="4882" max="4882" width="10.125" style="2574" customWidth="1"/>
    <col min="4883" max="4883" width="10" style="2574" customWidth="1"/>
    <col min="4884" max="4884" width="26.125" style="2574" customWidth="1"/>
    <col min="4885" max="5120" width="8.875" style="2574"/>
    <col min="5121" max="5121" width="9.5" style="2574" customWidth="1"/>
    <col min="5122" max="5122" width="8.875" style="2574"/>
    <col min="5123" max="5125" width="12.875" style="2574" customWidth="1"/>
    <col min="5126" max="5126" width="47.5" style="2574" customWidth="1"/>
    <col min="5127" max="5127" width="13" style="2574" customWidth="1"/>
    <col min="5128" max="5129" width="8.875" style="2574"/>
    <col min="5130" max="5130" width="5.75" style="2574" customWidth="1"/>
    <col min="5131" max="5131" width="11.75" style="2574" customWidth="1"/>
    <col min="5132" max="5133" width="10.75" style="2574" customWidth="1"/>
    <col min="5134" max="5134" width="10" style="2574" customWidth="1"/>
    <col min="5135" max="5136" width="10.5" style="2574" bestFit="1" customWidth="1"/>
    <col min="5137" max="5137" width="10" style="2574" customWidth="1"/>
    <col min="5138" max="5138" width="10.125" style="2574" customWidth="1"/>
    <col min="5139" max="5139" width="10" style="2574" customWidth="1"/>
    <col min="5140" max="5140" width="26.125" style="2574" customWidth="1"/>
    <col min="5141" max="5376" width="8.875" style="2574"/>
    <col min="5377" max="5377" width="9.5" style="2574" customWidth="1"/>
    <col min="5378" max="5378" width="8.875" style="2574"/>
    <col min="5379" max="5381" width="12.875" style="2574" customWidth="1"/>
    <col min="5382" max="5382" width="47.5" style="2574" customWidth="1"/>
    <col min="5383" max="5383" width="13" style="2574" customWidth="1"/>
    <col min="5384" max="5385" width="8.875" style="2574"/>
    <col min="5386" max="5386" width="5.75" style="2574" customWidth="1"/>
    <col min="5387" max="5387" width="11.75" style="2574" customWidth="1"/>
    <col min="5388" max="5389" width="10.75" style="2574" customWidth="1"/>
    <col min="5390" max="5390" width="10" style="2574" customWidth="1"/>
    <col min="5391" max="5392" width="10.5" style="2574" bestFit="1" customWidth="1"/>
    <col min="5393" max="5393" width="10" style="2574" customWidth="1"/>
    <col min="5394" max="5394" width="10.125" style="2574" customWidth="1"/>
    <col min="5395" max="5395" width="10" style="2574" customWidth="1"/>
    <col min="5396" max="5396" width="26.125" style="2574" customWidth="1"/>
    <col min="5397" max="5632" width="8.875" style="2574"/>
    <col min="5633" max="5633" width="9.5" style="2574" customWidth="1"/>
    <col min="5634" max="5634" width="8.875" style="2574"/>
    <col min="5635" max="5637" width="12.875" style="2574" customWidth="1"/>
    <col min="5638" max="5638" width="47.5" style="2574" customWidth="1"/>
    <col min="5639" max="5639" width="13" style="2574" customWidth="1"/>
    <col min="5640" max="5641" width="8.875" style="2574"/>
    <col min="5642" max="5642" width="5.75" style="2574" customWidth="1"/>
    <col min="5643" max="5643" width="11.75" style="2574" customWidth="1"/>
    <col min="5644" max="5645" width="10.75" style="2574" customWidth="1"/>
    <col min="5646" max="5646" width="10" style="2574" customWidth="1"/>
    <col min="5647" max="5648" width="10.5" style="2574" bestFit="1" customWidth="1"/>
    <col min="5649" max="5649" width="10" style="2574" customWidth="1"/>
    <col min="5650" max="5650" width="10.125" style="2574" customWidth="1"/>
    <col min="5651" max="5651" width="10" style="2574" customWidth="1"/>
    <col min="5652" max="5652" width="26.125" style="2574" customWidth="1"/>
    <col min="5653" max="5888" width="8.875" style="2574"/>
    <col min="5889" max="5889" width="9.5" style="2574" customWidth="1"/>
    <col min="5890" max="5890" width="8.875" style="2574"/>
    <col min="5891" max="5893" width="12.875" style="2574" customWidth="1"/>
    <col min="5894" max="5894" width="47.5" style="2574" customWidth="1"/>
    <col min="5895" max="5895" width="13" style="2574" customWidth="1"/>
    <col min="5896" max="5897" width="8.875" style="2574"/>
    <col min="5898" max="5898" width="5.75" style="2574" customWidth="1"/>
    <col min="5899" max="5899" width="11.75" style="2574" customWidth="1"/>
    <col min="5900" max="5901" width="10.75" style="2574" customWidth="1"/>
    <col min="5902" max="5902" width="10" style="2574" customWidth="1"/>
    <col min="5903" max="5904" width="10.5" style="2574" bestFit="1" customWidth="1"/>
    <col min="5905" max="5905" width="10" style="2574" customWidth="1"/>
    <col min="5906" max="5906" width="10.125" style="2574" customWidth="1"/>
    <col min="5907" max="5907" width="10" style="2574" customWidth="1"/>
    <col min="5908" max="5908" width="26.125" style="2574" customWidth="1"/>
    <col min="5909" max="6144" width="8.875" style="2574"/>
    <col min="6145" max="6145" width="9.5" style="2574" customWidth="1"/>
    <col min="6146" max="6146" width="8.875" style="2574"/>
    <col min="6147" max="6149" width="12.875" style="2574" customWidth="1"/>
    <col min="6150" max="6150" width="47.5" style="2574" customWidth="1"/>
    <col min="6151" max="6151" width="13" style="2574" customWidth="1"/>
    <col min="6152" max="6153" width="8.875" style="2574"/>
    <col min="6154" max="6154" width="5.75" style="2574" customWidth="1"/>
    <col min="6155" max="6155" width="11.75" style="2574" customWidth="1"/>
    <col min="6156" max="6157" width="10.75" style="2574" customWidth="1"/>
    <col min="6158" max="6158" width="10" style="2574" customWidth="1"/>
    <col min="6159" max="6160" width="10.5" style="2574" bestFit="1" customWidth="1"/>
    <col min="6161" max="6161" width="10" style="2574" customWidth="1"/>
    <col min="6162" max="6162" width="10.125" style="2574" customWidth="1"/>
    <col min="6163" max="6163" width="10" style="2574" customWidth="1"/>
    <col min="6164" max="6164" width="26.125" style="2574" customWidth="1"/>
    <col min="6165" max="6400" width="8.875" style="2574"/>
    <col min="6401" max="6401" width="9.5" style="2574" customWidth="1"/>
    <col min="6402" max="6402" width="8.875" style="2574"/>
    <col min="6403" max="6405" width="12.875" style="2574" customWidth="1"/>
    <col min="6406" max="6406" width="47.5" style="2574" customWidth="1"/>
    <col min="6407" max="6407" width="13" style="2574" customWidth="1"/>
    <col min="6408" max="6409" width="8.875" style="2574"/>
    <col min="6410" max="6410" width="5.75" style="2574" customWidth="1"/>
    <col min="6411" max="6411" width="11.75" style="2574" customWidth="1"/>
    <col min="6412" max="6413" width="10.75" style="2574" customWidth="1"/>
    <col min="6414" max="6414" width="10" style="2574" customWidth="1"/>
    <col min="6415" max="6416" width="10.5" style="2574" bestFit="1" customWidth="1"/>
    <col min="6417" max="6417" width="10" style="2574" customWidth="1"/>
    <col min="6418" max="6418" width="10.125" style="2574" customWidth="1"/>
    <col min="6419" max="6419" width="10" style="2574" customWidth="1"/>
    <col min="6420" max="6420" width="26.125" style="2574" customWidth="1"/>
    <col min="6421" max="6656" width="8.875" style="2574"/>
    <col min="6657" max="6657" width="9.5" style="2574" customWidth="1"/>
    <col min="6658" max="6658" width="8.875" style="2574"/>
    <col min="6659" max="6661" width="12.875" style="2574" customWidth="1"/>
    <col min="6662" max="6662" width="47.5" style="2574" customWidth="1"/>
    <col min="6663" max="6663" width="13" style="2574" customWidth="1"/>
    <col min="6664" max="6665" width="8.875" style="2574"/>
    <col min="6666" max="6666" width="5.75" style="2574" customWidth="1"/>
    <col min="6667" max="6667" width="11.75" style="2574" customWidth="1"/>
    <col min="6668" max="6669" width="10.75" style="2574" customWidth="1"/>
    <col min="6670" max="6670" width="10" style="2574" customWidth="1"/>
    <col min="6671" max="6672" width="10.5" style="2574" bestFit="1" customWidth="1"/>
    <col min="6673" max="6673" width="10" style="2574" customWidth="1"/>
    <col min="6674" max="6674" width="10.125" style="2574" customWidth="1"/>
    <col min="6675" max="6675" width="10" style="2574" customWidth="1"/>
    <col min="6676" max="6676" width="26.125" style="2574" customWidth="1"/>
    <col min="6677" max="6912" width="8.875" style="2574"/>
    <col min="6913" max="6913" width="9.5" style="2574" customWidth="1"/>
    <col min="6914" max="6914" width="8.875" style="2574"/>
    <col min="6915" max="6917" width="12.875" style="2574" customWidth="1"/>
    <col min="6918" max="6918" width="47.5" style="2574" customWidth="1"/>
    <col min="6919" max="6919" width="13" style="2574" customWidth="1"/>
    <col min="6920" max="6921" width="8.875" style="2574"/>
    <col min="6922" max="6922" width="5.75" style="2574" customWidth="1"/>
    <col min="6923" max="6923" width="11.75" style="2574" customWidth="1"/>
    <col min="6924" max="6925" width="10.75" style="2574" customWidth="1"/>
    <col min="6926" max="6926" width="10" style="2574" customWidth="1"/>
    <col min="6927" max="6928" width="10.5" style="2574" bestFit="1" customWidth="1"/>
    <col min="6929" max="6929" width="10" style="2574" customWidth="1"/>
    <col min="6930" max="6930" width="10.125" style="2574" customWidth="1"/>
    <col min="6931" max="6931" width="10" style="2574" customWidth="1"/>
    <col min="6932" max="6932" width="26.125" style="2574" customWidth="1"/>
    <col min="6933" max="7168" width="8.875" style="2574"/>
    <col min="7169" max="7169" width="9.5" style="2574" customWidth="1"/>
    <col min="7170" max="7170" width="8.875" style="2574"/>
    <col min="7171" max="7173" width="12.875" style="2574" customWidth="1"/>
    <col min="7174" max="7174" width="47.5" style="2574" customWidth="1"/>
    <col min="7175" max="7175" width="13" style="2574" customWidth="1"/>
    <col min="7176" max="7177" width="8.875" style="2574"/>
    <col min="7178" max="7178" width="5.75" style="2574" customWidth="1"/>
    <col min="7179" max="7179" width="11.75" style="2574" customWidth="1"/>
    <col min="7180" max="7181" width="10.75" style="2574" customWidth="1"/>
    <col min="7182" max="7182" width="10" style="2574" customWidth="1"/>
    <col min="7183" max="7184" width="10.5" style="2574" bestFit="1" customWidth="1"/>
    <col min="7185" max="7185" width="10" style="2574" customWidth="1"/>
    <col min="7186" max="7186" width="10.125" style="2574" customWidth="1"/>
    <col min="7187" max="7187" width="10" style="2574" customWidth="1"/>
    <col min="7188" max="7188" width="26.125" style="2574" customWidth="1"/>
    <col min="7189" max="7424" width="8.875" style="2574"/>
    <col min="7425" max="7425" width="9.5" style="2574" customWidth="1"/>
    <col min="7426" max="7426" width="8.875" style="2574"/>
    <col min="7427" max="7429" width="12.875" style="2574" customWidth="1"/>
    <col min="7430" max="7430" width="47.5" style="2574" customWidth="1"/>
    <col min="7431" max="7431" width="13" style="2574" customWidth="1"/>
    <col min="7432" max="7433" width="8.875" style="2574"/>
    <col min="7434" max="7434" width="5.75" style="2574" customWidth="1"/>
    <col min="7435" max="7435" width="11.75" style="2574" customWidth="1"/>
    <col min="7436" max="7437" width="10.75" style="2574" customWidth="1"/>
    <col min="7438" max="7438" width="10" style="2574" customWidth="1"/>
    <col min="7439" max="7440" width="10.5" style="2574" bestFit="1" customWidth="1"/>
    <col min="7441" max="7441" width="10" style="2574" customWidth="1"/>
    <col min="7442" max="7442" width="10.125" style="2574" customWidth="1"/>
    <col min="7443" max="7443" width="10" style="2574" customWidth="1"/>
    <col min="7444" max="7444" width="26.125" style="2574" customWidth="1"/>
    <col min="7445" max="7680" width="8.875" style="2574"/>
    <col min="7681" max="7681" width="9.5" style="2574" customWidth="1"/>
    <col min="7682" max="7682" width="8.875" style="2574"/>
    <col min="7683" max="7685" width="12.875" style="2574" customWidth="1"/>
    <col min="7686" max="7686" width="47.5" style="2574" customWidth="1"/>
    <col min="7687" max="7687" width="13" style="2574" customWidth="1"/>
    <col min="7688" max="7689" width="8.875" style="2574"/>
    <col min="7690" max="7690" width="5.75" style="2574" customWidth="1"/>
    <col min="7691" max="7691" width="11.75" style="2574" customWidth="1"/>
    <col min="7692" max="7693" width="10.75" style="2574" customWidth="1"/>
    <col min="7694" max="7694" width="10" style="2574" customWidth="1"/>
    <col min="7695" max="7696" width="10.5" style="2574" bestFit="1" customWidth="1"/>
    <col min="7697" max="7697" width="10" style="2574" customWidth="1"/>
    <col min="7698" max="7698" width="10.125" style="2574" customWidth="1"/>
    <col min="7699" max="7699" width="10" style="2574" customWidth="1"/>
    <col min="7700" max="7700" width="26.125" style="2574" customWidth="1"/>
    <col min="7701" max="7936" width="8.875" style="2574"/>
    <col min="7937" max="7937" width="9.5" style="2574" customWidth="1"/>
    <col min="7938" max="7938" width="8.875" style="2574"/>
    <col min="7939" max="7941" width="12.875" style="2574" customWidth="1"/>
    <col min="7942" max="7942" width="47.5" style="2574" customWidth="1"/>
    <col min="7943" max="7943" width="13" style="2574" customWidth="1"/>
    <col min="7944" max="7945" width="8.875" style="2574"/>
    <col min="7946" max="7946" width="5.75" style="2574" customWidth="1"/>
    <col min="7947" max="7947" width="11.75" style="2574" customWidth="1"/>
    <col min="7948" max="7949" width="10.75" style="2574" customWidth="1"/>
    <col min="7950" max="7950" width="10" style="2574" customWidth="1"/>
    <col min="7951" max="7952" width="10.5" style="2574" bestFit="1" customWidth="1"/>
    <col min="7953" max="7953" width="10" style="2574" customWidth="1"/>
    <col min="7954" max="7954" width="10.125" style="2574" customWidth="1"/>
    <col min="7955" max="7955" width="10" style="2574" customWidth="1"/>
    <col min="7956" max="7956" width="26.125" style="2574" customWidth="1"/>
    <col min="7957" max="8192" width="8.875" style="2574"/>
    <col min="8193" max="8193" width="9.5" style="2574" customWidth="1"/>
    <col min="8194" max="8194" width="8.875" style="2574"/>
    <col min="8195" max="8197" width="12.875" style="2574" customWidth="1"/>
    <col min="8198" max="8198" width="47.5" style="2574" customWidth="1"/>
    <col min="8199" max="8199" width="13" style="2574" customWidth="1"/>
    <col min="8200" max="8201" width="8.875" style="2574"/>
    <col min="8202" max="8202" width="5.75" style="2574" customWidth="1"/>
    <col min="8203" max="8203" width="11.75" style="2574" customWidth="1"/>
    <col min="8204" max="8205" width="10.75" style="2574" customWidth="1"/>
    <col min="8206" max="8206" width="10" style="2574" customWidth="1"/>
    <col min="8207" max="8208" width="10.5" style="2574" bestFit="1" customWidth="1"/>
    <col min="8209" max="8209" width="10" style="2574" customWidth="1"/>
    <col min="8210" max="8210" width="10.125" style="2574" customWidth="1"/>
    <col min="8211" max="8211" width="10" style="2574" customWidth="1"/>
    <col min="8212" max="8212" width="26.125" style="2574" customWidth="1"/>
    <col min="8213" max="8448" width="8.875" style="2574"/>
    <col min="8449" max="8449" width="9.5" style="2574" customWidth="1"/>
    <col min="8450" max="8450" width="8.875" style="2574"/>
    <col min="8451" max="8453" width="12.875" style="2574" customWidth="1"/>
    <col min="8454" max="8454" width="47.5" style="2574" customWidth="1"/>
    <col min="8455" max="8455" width="13" style="2574" customWidth="1"/>
    <col min="8456" max="8457" width="8.875" style="2574"/>
    <col min="8458" max="8458" width="5.75" style="2574" customWidth="1"/>
    <col min="8459" max="8459" width="11.75" style="2574" customWidth="1"/>
    <col min="8460" max="8461" width="10.75" style="2574" customWidth="1"/>
    <col min="8462" max="8462" width="10" style="2574" customWidth="1"/>
    <col min="8463" max="8464" width="10.5" style="2574" bestFit="1" customWidth="1"/>
    <col min="8465" max="8465" width="10" style="2574" customWidth="1"/>
    <col min="8466" max="8466" width="10.125" style="2574" customWidth="1"/>
    <col min="8467" max="8467" width="10" style="2574" customWidth="1"/>
    <col min="8468" max="8468" width="26.125" style="2574" customWidth="1"/>
    <col min="8469" max="8704" width="8.875" style="2574"/>
    <col min="8705" max="8705" width="9.5" style="2574" customWidth="1"/>
    <col min="8706" max="8706" width="8.875" style="2574"/>
    <col min="8707" max="8709" width="12.875" style="2574" customWidth="1"/>
    <col min="8710" max="8710" width="47.5" style="2574" customWidth="1"/>
    <col min="8711" max="8711" width="13" style="2574" customWidth="1"/>
    <col min="8712" max="8713" width="8.875" style="2574"/>
    <col min="8714" max="8714" width="5.75" style="2574" customWidth="1"/>
    <col min="8715" max="8715" width="11.75" style="2574" customWidth="1"/>
    <col min="8716" max="8717" width="10.75" style="2574" customWidth="1"/>
    <col min="8718" max="8718" width="10" style="2574" customWidth="1"/>
    <col min="8719" max="8720" width="10.5" style="2574" bestFit="1" customWidth="1"/>
    <col min="8721" max="8721" width="10" style="2574" customWidth="1"/>
    <col min="8722" max="8722" width="10.125" style="2574" customWidth="1"/>
    <col min="8723" max="8723" width="10" style="2574" customWidth="1"/>
    <col min="8724" max="8724" width="26.125" style="2574" customWidth="1"/>
    <col min="8725" max="8960" width="8.875" style="2574"/>
    <col min="8961" max="8961" width="9.5" style="2574" customWidth="1"/>
    <col min="8962" max="8962" width="8.875" style="2574"/>
    <col min="8963" max="8965" width="12.875" style="2574" customWidth="1"/>
    <col min="8966" max="8966" width="47.5" style="2574" customWidth="1"/>
    <col min="8967" max="8967" width="13" style="2574" customWidth="1"/>
    <col min="8968" max="8969" width="8.875" style="2574"/>
    <col min="8970" max="8970" width="5.75" style="2574" customWidth="1"/>
    <col min="8971" max="8971" width="11.75" style="2574" customWidth="1"/>
    <col min="8972" max="8973" width="10.75" style="2574" customWidth="1"/>
    <col min="8974" max="8974" width="10" style="2574" customWidth="1"/>
    <col min="8975" max="8976" width="10.5" style="2574" bestFit="1" customWidth="1"/>
    <col min="8977" max="8977" width="10" style="2574" customWidth="1"/>
    <col min="8978" max="8978" width="10.125" style="2574" customWidth="1"/>
    <col min="8979" max="8979" width="10" style="2574" customWidth="1"/>
    <col min="8980" max="8980" width="26.125" style="2574" customWidth="1"/>
    <col min="8981" max="9216" width="8.875" style="2574"/>
    <col min="9217" max="9217" width="9.5" style="2574" customWidth="1"/>
    <col min="9218" max="9218" width="8.875" style="2574"/>
    <col min="9219" max="9221" width="12.875" style="2574" customWidth="1"/>
    <col min="9222" max="9222" width="47.5" style="2574" customWidth="1"/>
    <col min="9223" max="9223" width="13" style="2574" customWidth="1"/>
    <col min="9224" max="9225" width="8.875" style="2574"/>
    <col min="9226" max="9226" width="5.75" style="2574" customWidth="1"/>
    <col min="9227" max="9227" width="11.75" style="2574" customWidth="1"/>
    <col min="9228" max="9229" width="10.75" style="2574" customWidth="1"/>
    <col min="9230" max="9230" width="10" style="2574" customWidth="1"/>
    <col min="9231" max="9232" width="10.5" style="2574" bestFit="1" customWidth="1"/>
    <col min="9233" max="9233" width="10" style="2574" customWidth="1"/>
    <col min="9234" max="9234" width="10.125" style="2574" customWidth="1"/>
    <col min="9235" max="9235" width="10" style="2574" customWidth="1"/>
    <col min="9236" max="9236" width="26.125" style="2574" customWidth="1"/>
    <col min="9237" max="9472" width="8.875" style="2574"/>
    <col min="9473" max="9473" width="9.5" style="2574" customWidth="1"/>
    <col min="9474" max="9474" width="8.875" style="2574"/>
    <col min="9475" max="9477" width="12.875" style="2574" customWidth="1"/>
    <col min="9478" max="9478" width="47.5" style="2574" customWidth="1"/>
    <col min="9479" max="9479" width="13" style="2574" customWidth="1"/>
    <col min="9480" max="9481" width="8.875" style="2574"/>
    <col min="9482" max="9482" width="5.75" style="2574" customWidth="1"/>
    <col min="9483" max="9483" width="11.75" style="2574" customWidth="1"/>
    <col min="9484" max="9485" width="10.75" style="2574" customWidth="1"/>
    <col min="9486" max="9486" width="10" style="2574" customWidth="1"/>
    <col min="9487" max="9488" width="10.5" style="2574" bestFit="1" customWidth="1"/>
    <col min="9489" max="9489" width="10" style="2574" customWidth="1"/>
    <col min="9490" max="9490" width="10.125" style="2574" customWidth="1"/>
    <col min="9491" max="9491" width="10" style="2574" customWidth="1"/>
    <col min="9492" max="9492" width="26.125" style="2574" customWidth="1"/>
    <col min="9493" max="9728" width="8.875" style="2574"/>
    <col min="9729" max="9729" width="9.5" style="2574" customWidth="1"/>
    <col min="9730" max="9730" width="8.875" style="2574"/>
    <col min="9731" max="9733" width="12.875" style="2574" customWidth="1"/>
    <col min="9734" max="9734" width="47.5" style="2574" customWidth="1"/>
    <col min="9735" max="9735" width="13" style="2574" customWidth="1"/>
    <col min="9736" max="9737" width="8.875" style="2574"/>
    <col min="9738" max="9738" width="5.75" style="2574" customWidth="1"/>
    <col min="9739" max="9739" width="11.75" style="2574" customWidth="1"/>
    <col min="9740" max="9741" width="10.75" style="2574" customWidth="1"/>
    <col min="9742" max="9742" width="10" style="2574" customWidth="1"/>
    <col min="9743" max="9744" width="10.5" style="2574" bestFit="1" customWidth="1"/>
    <col min="9745" max="9745" width="10" style="2574" customWidth="1"/>
    <col min="9746" max="9746" width="10.125" style="2574" customWidth="1"/>
    <col min="9747" max="9747" width="10" style="2574" customWidth="1"/>
    <col min="9748" max="9748" width="26.125" style="2574" customWidth="1"/>
    <col min="9749" max="9984" width="8.875" style="2574"/>
    <col min="9985" max="9985" width="9.5" style="2574" customWidth="1"/>
    <col min="9986" max="9986" width="8.875" style="2574"/>
    <col min="9987" max="9989" width="12.875" style="2574" customWidth="1"/>
    <col min="9990" max="9990" width="47.5" style="2574" customWidth="1"/>
    <col min="9991" max="9991" width="13" style="2574" customWidth="1"/>
    <col min="9992" max="9993" width="8.875" style="2574"/>
    <col min="9994" max="9994" width="5.75" style="2574" customWidth="1"/>
    <col min="9995" max="9995" width="11.75" style="2574" customWidth="1"/>
    <col min="9996" max="9997" width="10.75" style="2574" customWidth="1"/>
    <col min="9998" max="9998" width="10" style="2574" customWidth="1"/>
    <col min="9999" max="10000" width="10.5" style="2574" bestFit="1" customWidth="1"/>
    <col min="10001" max="10001" width="10" style="2574" customWidth="1"/>
    <col min="10002" max="10002" width="10.125" style="2574" customWidth="1"/>
    <col min="10003" max="10003" width="10" style="2574" customWidth="1"/>
    <col min="10004" max="10004" width="26.125" style="2574" customWidth="1"/>
    <col min="10005" max="10240" width="8.875" style="2574"/>
    <col min="10241" max="10241" width="9.5" style="2574" customWidth="1"/>
    <col min="10242" max="10242" width="8.875" style="2574"/>
    <col min="10243" max="10245" width="12.875" style="2574" customWidth="1"/>
    <col min="10246" max="10246" width="47.5" style="2574" customWidth="1"/>
    <col min="10247" max="10247" width="13" style="2574" customWidth="1"/>
    <col min="10248" max="10249" width="8.875" style="2574"/>
    <col min="10250" max="10250" width="5.75" style="2574" customWidth="1"/>
    <col min="10251" max="10251" width="11.75" style="2574" customWidth="1"/>
    <col min="10252" max="10253" width="10.75" style="2574" customWidth="1"/>
    <col min="10254" max="10254" width="10" style="2574" customWidth="1"/>
    <col min="10255" max="10256" width="10.5" style="2574" bestFit="1" customWidth="1"/>
    <col min="10257" max="10257" width="10" style="2574" customWidth="1"/>
    <col min="10258" max="10258" width="10.125" style="2574" customWidth="1"/>
    <col min="10259" max="10259" width="10" style="2574" customWidth="1"/>
    <col min="10260" max="10260" width="26.125" style="2574" customWidth="1"/>
    <col min="10261" max="10496" width="8.875" style="2574"/>
    <col min="10497" max="10497" width="9.5" style="2574" customWidth="1"/>
    <col min="10498" max="10498" width="8.875" style="2574"/>
    <col min="10499" max="10501" width="12.875" style="2574" customWidth="1"/>
    <col min="10502" max="10502" width="47.5" style="2574" customWidth="1"/>
    <col min="10503" max="10503" width="13" style="2574" customWidth="1"/>
    <col min="10504" max="10505" width="8.875" style="2574"/>
    <col min="10506" max="10506" width="5.75" style="2574" customWidth="1"/>
    <col min="10507" max="10507" width="11.75" style="2574" customWidth="1"/>
    <col min="10508" max="10509" width="10.75" style="2574" customWidth="1"/>
    <col min="10510" max="10510" width="10" style="2574" customWidth="1"/>
    <col min="10511" max="10512" width="10.5" style="2574" bestFit="1" customWidth="1"/>
    <col min="10513" max="10513" width="10" style="2574" customWidth="1"/>
    <col min="10514" max="10514" width="10.125" style="2574" customWidth="1"/>
    <col min="10515" max="10515" width="10" style="2574" customWidth="1"/>
    <col min="10516" max="10516" width="26.125" style="2574" customWidth="1"/>
    <col min="10517" max="10752" width="8.875" style="2574"/>
    <col min="10753" max="10753" width="9.5" style="2574" customWidth="1"/>
    <col min="10754" max="10754" width="8.875" style="2574"/>
    <col min="10755" max="10757" width="12.875" style="2574" customWidth="1"/>
    <col min="10758" max="10758" width="47.5" style="2574" customWidth="1"/>
    <col min="10759" max="10759" width="13" style="2574" customWidth="1"/>
    <col min="10760" max="10761" width="8.875" style="2574"/>
    <col min="10762" max="10762" width="5.75" style="2574" customWidth="1"/>
    <col min="10763" max="10763" width="11.75" style="2574" customWidth="1"/>
    <col min="10764" max="10765" width="10.75" style="2574" customWidth="1"/>
    <col min="10766" max="10766" width="10" style="2574" customWidth="1"/>
    <col min="10767" max="10768" width="10.5" style="2574" bestFit="1" customWidth="1"/>
    <col min="10769" max="10769" width="10" style="2574" customWidth="1"/>
    <col min="10770" max="10770" width="10.125" style="2574" customWidth="1"/>
    <col min="10771" max="10771" width="10" style="2574" customWidth="1"/>
    <col min="10772" max="10772" width="26.125" style="2574" customWidth="1"/>
    <col min="10773" max="11008" width="8.875" style="2574"/>
    <col min="11009" max="11009" width="9.5" style="2574" customWidth="1"/>
    <col min="11010" max="11010" width="8.875" style="2574"/>
    <col min="11011" max="11013" width="12.875" style="2574" customWidth="1"/>
    <col min="11014" max="11014" width="47.5" style="2574" customWidth="1"/>
    <col min="11015" max="11015" width="13" style="2574" customWidth="1"/>
    <col min="11016" max="11017" width="8.875" style="2574"/>
    <col min="11018" max="11018" width="5.75" style="2574" customWidth="1"/>
    <col min="11019" max="11019" width="11.75" style="2574" customWidth="1"/>
    <col min="11020" max="11021" width="10.75" style="2574" customWidth="1"/>
    <col min="11022" max="11022" width="10" style="2574" customWidth="1"/>
    <col min="11023" max="11024" width="10.5" style="2574" bestFit="1" customWidth="1"/>
    <col min="11025" max="11025" width="10" style="2574" customWidth="1"/>
    <col min="11026" max="11026" width="10.125" style="2574" customWidth="1"/>
    <col min="11027" max="11027" width="10" style="2574" customWidth="1"/>
    <col min="11028" max="11028" width="26.125" style="2574" customWidth="1"/>
    <col min="11029" max="11264" width="8.875" style="2574"/>
    <col min="11265" max="11265" width="9.5" style="2574" customWidth="1"/>
    <col min="11266" max="11266" width="8.875" style="2574"/>
    <col min="11267" max="11269" width="12.875" style="2574" customWidth="1"/>
    <col min="11270" max="11270" width="47.5" style="2574" customWidth="1"/>
    <col min="11271" max="11271" width="13" style="2574" customWidth="1"/>
    <col min="11272" max="11273" width="8.875" style="2574"/>
    <col min="11274" max="11274" width="5.75" style="2574" customWidth="1"/>
    <col min="11275" max="11275" width="11.75" style="2574" customWidth="1"/>
    <col min="11276" max="11277" width="10.75" style="2574" customWidth="1"/>
    <col min="11278" max="11278" width="10" style="2574" customWidth="1"/>
    <col min="11279" max="11280" width="10.5" style="2574" bestFit="1" customWidth="1"/>
    <col min="11281" max="11281" width="10" style="2574" customWidth="1"/>
    <col min="11282" max="11282" width="10.125" style="2574" customWidth="1"/>
    <col min="11283" max="11283" width="10" style="2574" customWidth="1"/>
    <col min="11284" max="11284" width="26.125" style="2574" customWidth="1"/>
    <col min="11285" max="11520" width="8.875" style="2574"/>
    <col min="11521" max="11521" width="9.5" style="2574" customWidth="1"/>
    <col min="11522" max="11522" width="8.875" style="2574"/>
    <col min="11523" max="11525" width="12.875" style="2574" customWidth="1"/>
    <col min="11526" max="11526" width="47.5" style="2574" customWidth="1"/>
    <col min="11527" max="11527" width="13" style="2574" customWidth="1"/>
    <col min="11528" max="11529" width="8.875" style="2574"/>
    <col min="11530" max="11530" width="5.75" style="2574" customWidth="1"/>
    <col min="11531" max="11531" width="11.75" style="2574" customWidth="1"/>
    <col min="11532" max="11533" width="10.75" style="2574" customWidth="1"/>
    <col min="11534" max="11534" width="10" style="2574" customWidth="1"/>
    <col min="11535" max="11536" width="10.5" style="2574" bestFit="1" customWidth="1"/>
    <col min="11537" max="11537" width="10" style="2574" customWidth="1"/>
    <col min="11538" max="11538" width="10.125" style="2574" customWidth="1"/>
    <col min="11539" max="11539" width="10" style="2574" customWidth="1"/>
    <col min="11540" max="11540" width="26.125" style="2574" customWidth="1"/>
    <col min="11541" max="11776" width="8.875" style="2574"/>
    <col min="11777" max="11777" width="9.5" style="2574" customWidth="1"/>
    <col min="11778" max="11778" width="8.875" style="2574"/>
    <col min="11779" max="11781" width="12.875" style="2574" customWidth="1"/>
    <col min="11782" max="11782" width="47.5" style="2574" customWidth="1"/>
    <col min="11783" max="11783" width="13" style="2574" customWidth="1"/>
    <col min="11784" max="11785" width="8.875" style="2574"/>
    <col min="11786" max="11786" width="5.75" style="2574" customWidth="1"/>
    <col min="11787" max="11787" width="11.75" style="2574" customWidth="1"/>
    <col min="11788" max="11789" width="10.75" style="2574" customWidth="1"/>
    <col min="11790" max="11790" width="10" style="2574" customWidth="1"/>
    <col min="11791" max="11792" width="10.5" style="2574" bestFit="1" customWidth="1"/>
    <col min="11793" max="11793" width="10" style="2574" customWidth="1"/>
    <col min="11794" max="11794" width="10.125" style="2574" customWidth="1"/>
    <col min="11795" max="11795" width="10" style="2574" customWidth="1"/>
    <col min="11796" max="11796" width="26.125" style="2574" customWidth="1"/>
    <col min="11797" max="12032" width="8.875" style="2574"/>
    <col min="12033" max="12033" width="9.5" style="2574" customWidth="1"/>
    <col min="12034" max="12034" width="8.875" style="2574"/>
    <col min="12035" max="12037" width="12.875" style="2574" customWidth="1"/>
    <col min="12038" max="12038" width="47.5" style="2574" customWidth="1"/>
    <col min="12039" max="12039" width="13" style="2574" customWidth="1"/>
    <col min="12040" max="12041" width="8.875" style="2574"/>
    <col min="12042" max="12042" width="5.75" style="2574" customWidth="1"/>
    <col min="12043" max="12043" width="11.75" style="2574" customWidth="1"/>
    <col min="12044" max="12045" width="10.75" style="2574" customWidth="1"/>
    <col min="12046" max="12046" width="10" style="2574" customWidth="1"/>
    <col min="12047" max="12048" width="10.5" style="2574" bestFit="1" customWidth="1"/>
    <col min="12049" max="12049" width="10" style="2574" customWidth="1"/>
    <col min="12050" max="12050" width="10.125" style="2574" customWidth="1"/>
    <col min="12051" max="12051" width="10" style="2574" customWidth="1"/>
    <col min="12052" max="12052" width="26.125" style="2574" customWidth="1"/>
    <col min="12053" max="12288" width="8.875" style="2574"/>
    <col min="12289" max="12289" width="9.5" style="2574" customWidth="1"/>
    <col min="12290" max="12290" width="8.875" style="2574"/>
    <col min="12291" max="12293" width="12.875" style="2574" customWidth="1"/>
    <col min="12294" max="12294" width="47.5" style="2574" customWidth="1"/>
    <col min="12295" max="12295" width="13" style="2574" customWidth="1"/>
    <col min="12296" max="12297" width="8.875" style="2574"/>
    <col min="12298" max="12298" width="5.75" style="2574" customWidth="1"/>
    <col min="12299" max="12299" width="11.75" style="2574" customWidth="1"/>
    <col min="12300" max="12301" width="10.75" style="2574" customWidth="1"/>
    <col min="12302" max="12302" width="10" style="2574" customWidth="1"/>
    <col min="12303" max="12304" width="10.5" style="2574" bestFit="1" customWidth="1"/>
    <col min="12305" max="12305" width="10" style="2574" customWidth="1"/>
    <col min="12306" max="12306" width="10.125" style="2574" customWidth="1"/>
    <col min="12307" max="12307" width="10" style="2574" customWidth="1"/>
    <col min="12308" max="12308" width="26.125" style="2574" customWidth="1"/>
    <col min="12309" max="12544" width="8.875" style="2574"/>
    <col min="12545" max="12545" width="9.5" style="2574" customWidth="1"/>
    <col min="12546" max="12546" width="8.875" style="2574"/>
    <col min="12547" max="12549" width="12.875" style="2574" customWidth="1"/>
    <col min="12550" max="12550" width="47.5" style="2574" customWidth="1"/>
    <col min="12551" max="12551" width="13" style="2574" customWidth="1"/>
    <col min="12552" max="12553" width="8.875" style="2574"/>
    <col min="12554" max="12554" width="5.75" style="2574" customWidth="1"/>
    <col min="12555" max="12555" width="11.75" style="2574" customWidth="1"/>
    <col min="12556" max="12557" width="10.75" style="2574" customWidth="1"/>
    <col min="12558" max="12558" width="10" style="2574" customWidth="1"/>
    <col min="12559" max="12560" width="10.5" style="2574" bestFit="1" customWidth="1"/>
    <col min="12561" max="12561" width="10" style="2574" customWidth="1"/>
    <col min="12562" max="12562" width="10.125" style="2574" customWidth="1"/>
    <col min="12563" max="12563" width="10" style="2574" customWidth="1"/>
    <col min="12564" max="12564" width="26.125" style="2574" customWidth="1"/>
    <col min="12565" max="12800" width="8.875" style="2574"/>
    <col min="12801" max="12801" width="9.5" style="2574" customWidth="1"/>
    <col min="12802" max="12802" width="8.875" style="2574"/>
    <col min="12803" max="12805" width="12.875" style="2574" customWidth="1"/>
    <col min="12806" max="12806" width="47.5" style="2574" customWidth="1"/>
    <col min="12807" max="12807" width="13" style="2574" customWidth="1"/>
    <col min="12808" max="12809" width="8.875" style="2574"/>
    <col min="12810" max="12810" width="5.75" style="2574" customWidth="1"/>
    <col min="12811" max="12811" width="11.75" style="2574" customWidth="1"/>
    <col min="12812" max="12813" width="10.75" style="2574" customWidth="1"/>
    <col min="12814" max="12814" width="10" style="2574" customWidth="1"/>
    <col min="12815" max="12816" width="10.5" style="2574" bestFit="1" customWidth="1"/>
    <col min="12817" max="12817" width="10" style="2574" customWidth="1"/>
    <col min="12818" max="12818" width="10.125" style="2574" customWidth="1"/>
    <col min="12819" max="12819" width="10" style="2574" customWidth="1"/>
    <col min="12820" max="12820" width="26.125" style="2574" customWidth="1"/>
    <col min="12821" max="13056" width="8.875" style="2574"/>
    <col min="13057" max="13057" width="9.5" style="2574" customWidth="1"/>
    <col min="13058" max="13058" width="8.875" style="2574"/>
    <col min="13059" max="13061" width="12.875" style="2574" customWidth="1"/>
    <col min="13062" max="13062" width="47.5" style="2574" customWidth="1"/>
    <col min="13063" max="13063" width="13" style="2574" customWidth="1"/>
    <col min="13064" max="13065" width="8.875" style="2574"/>
    <col min="13066" max="13066" width="5.75" style="2574" customWidth="1"/>
    <col min="13067" max="13067" width="11.75" style="2574" customWidth="1"/>
    <col min="13068" max="13069" width="10.75" style="2574" customWidth="1"/>
    <col min="13070" max="13070" width="10" style="2574" customWidth="1"/>
    <col min="13071" max="13072" width="10.5" style="2574" bestFit="1" customWidth="1"/>
    <col min="13073" max="13073" width="10" style="2574" customWidth="1"/>
    <col min="13074" max="13074" width="10.125" style="2574" customWidth="1"/>
    <col min="13075" max="13075" width="10" style="2574" customWidth="1"/>
    <col min="13076" max="13076" width="26.125" style="2574" customWidth="1"/>
    <col min="13077" max="13312" width="8.875" style="2574"/>
    <col min="13313" max="13313" width="9.5" style="2574" customWidth="1"/>
    <col min="13314" max="13314" width="8.875" style="2574"/>
    <col min="13315" max="13317" width="12.875" style="2574" customWidth="1"/>
    <col min="13318" max="13318" width="47.5" style="2574" customWidth="1"/>
    <col min="13319" max="13319" width="13" style="2574" customWidth="1"/>
    <col min="13320" max="13321" width="8.875" style="2574"/>
    <col min="13322" max="13322" width="5.75" style="2574" customWidth="1"/>
    <col min="13323" max="13323" width="11.75" style="2574" customWidth="1"/>
    <col min="13324" max="13325" width="10.75" style="2574" customWidth="1"/>
    <col min="13326" max="13326" width="10" style="2574" customWidth="1"/>
    <col min="13327" max="13328" width="10.5" style="2574" bestFit="1" customWidth="1"/>
    <col min="13329" max="13329" width="10" style="2574" customWidth="1"/>
    <col min="13330" max="13330" width="10.125" style="2574" customWidth="1"/>
    <col min="13331" max="13331" width="10" style="2574" customWidth="1"/>
    <col min="13332" max="13332" width="26.125" style="2574" customWidth="1"/>
    <col min="13333" max="13568" width="8.875" style="2574"/>
    <col min="13569" max="13569" width="9.5" style="2574" customWidth="1"/>
    <col min="13570" max="13570" width="8.875" style="2574"/>
    <col min="13571" max="13573" width="12.875" style="2574" customWidth="1"/>
    <col min="13574" max="13574" width="47.5" style="2574" customWidth="1"/>
    <col min="13575" max="13575" width="13" style="2574" customWidth="1"/>
    <col min="13576" max="13577" width="8.875" style="2574"/>
    <col min="13578" max="13578" width="5.75" style="2574" customWidth="1"/>
    <col min="13579" max="13579" width="11.75" style="2574" customWidth="1"/>
    <col min="13580" max="13581" width="10.75" style="2574" customWidth="1"/>
    <col min="13582" max="13582" width="10" style="2574" customWidth="1"/>
    <col min="13583" max="13584" width="10.5" style="2574" bestFit="1" customWidth="1"/>
    <col min="13585" max="13585" width="10" style="2574" customWidth="1"/>
    <col min="13586" max="13586" width="10.125" style="2574" customWidth="1"/>
    <col min="13587" max="13587" width="10" style="2574" customWidth="1"/>
    <col min="13588" max="13588" width="26.125" style="2574" customWidth="1"/>
    <col min="13589" max="13824" width="8.875" style="2574"/>
    <col min="13825" max="13825" width="9.5" style="2574" customWidth="1"/>
    <col min="13826" max="13826" width="8.875" style="2574"/>
    <col min="13827" max="13829" width="12.875" style="2574" customWidth="1"/>
    <col min="13830" max="13830" width="47.5" style="2574" customWidth="1"/>
    <col min="13831" max="13831" width="13" style="2574" customWidth="1"/>
    <col min="13832" max="13833" width="8.875" style="2574"/>
    <col min="13834" max="13834" width="5.75" style="2574" customWidth="1"/>
    <col min="13835" max="13835" width="11.75" style="2574" customWidth="1"/>
    <col min="13836" max="13837" width="10.75" style="2574" customWidth="1"/>
    <col min="13838" max="13838" width="10" style="2574" customWidth="1"/>
    <col min="13839" max="13840" width="10.5" style="2574" bestFit="1" customWidth="1"/>
    <col min="13841" max="13841" width="10" style="2574" customWidth="1"/>
    <col min="13842" max="13842" width="10.125" style="2574" customWidth="1"/>
    <col min="13843" max="13843" width="10" style="2574" customWidth="1"/>
    <col min="13844" max="13844" width="26.125" style="2574" customWidth="1"/>
    <col min="13845" max="14080" width="8.875" style="2574"/>
    <col min="14081" max="14081" width="9.5" style="2574" customWidth="1"/>
    <col min="14082" max="14082" width="8.875" style="2574"/>
    <col min="14083" max="14085" width="12.875" style="2574" customWidth="1"/>
    <col min="14086" max="14086" width="47.5" style="2574" customWidth="1"/>
    <col min="14087" max="14087" width="13" style="2574" customWidth="1"/>
    <col min="14088" max="14089" width="8.875" style="2574"/>
    <col min="14090" max="14090" width="5.75" style="2574" customWidth="1"/>
    <col min="14091" max="14091" width="11.75" style="2574" customWidth="1"/>
    <col min="14092" max="14093" width="10.75" style="2574" customWidth="1"/>
    <col min="14094" max="14094" width="10" style="2574" customWidth="1"/>
    <col min="14095" max="14096" width="10.5" style="2574" bestFit="1" customWidth="1"/>
    <col min="14097" max="14097" width="10" style="2574" customWidth="1"/>
    <col min="14098" max="14098" width="10.125" style="2574" customWidth="1"/>
    <col min="14099" max="14099" width="10" style="2574" customWidth="1"/>
    <col min="14100" max="14100" width="26.125" style="2574" customWidth="1"/>
    <col min="14101" max="14336" width="8.875" style="2574"/>
    <col min="14337" max="14337" width="9.5" style="2574" customWidth="1"/>
    <col min="14338" max="14338" width="8.875" style="2574"/>
    <col min="14339" max="14341" width="12.875" style="2574" customWidth="1"/>
    <col min="14342" max="14342" width="47.5" style="2574" customWidth="1"/>
    <col min="14343" max="14343" width="13" style="2574" customWidth="1"/>
    <col min="14344" max="14345" width="8.875" style="2574"/>
    <col min="14346" max="14346" width="5.75" style="2574" customWidth="1"/>
    <col min="14347" max="14347" width="11.75" style="2574" customWidth="1"/>
    <col min="14348" max="14349" width="10.75" style="2574" customWidth="1"/>
    <col min="14350" max="14350" width="10" style="2574" customWidth="1"/>
    <col min="14351" max="14352" width="10.5" style="2574" bestFit="1" customWidth="1"/>
    <col min="14353" max="14353" width="10" style="2574" customWidth="1"/>
    <col min="14354" max="14354" width="10.125" style="2574" customWidth="1"/>
    <col min="14355" max="14355" width="10" style="2574" customWidth="1"/>
    <col min="14356" max="14356" width="26.125" style="2574" customWidth="1"/>
    <col min="14357" max="14592" width="8.875" style="2574"/>
    <col min="14593" max="14593" width="9.5" style="2574" customWidth="1"/>
    <col min="14594" max="14594" width="8.875" style="2574"/>
    <col min="14595" max="14597" width="12.875" style="2574" customWidth="1"/>
    <col min="14598" max="14598" width="47.5" style="2574" customWidth="1"/>
    <col min="14599" max="14599" width="13" style="2574" customWidth="1"/>
    <col min="14600" max="14601" width="8.875" style="2574"/>
    <col min="14602" max="14602" width="5.75" style="2574" customWidth="1"/>
    <col min="14603" max="14603" width="11.75" style="2574" customWidth="1"/>
    <col min="14604" max="14605" width="10.75" style="2574" customWidth="1"/>
    <col min="14606" max="14606" width="10" style="2574" customWidth="1"/>
    <col min="14607" max="14608" width="10.5" style="2574" bestFit="1" customWidth="1"/>
    <col min="14609" max="14609" width="10" style="2574" customWidth="1"/>
    <col min="14610" max="14610" width="10.125" style="2574" customWidth="1"/>
    <col min="14611" max="14611" width="10" style="2574" customWidth="1"/>
    <col min="14612" max="14612" width="26.125" style="2574" customWidth="1"/>
    <col min="14613" max="14848" width="8.875" style="2574"/>
    <col min="14849" max="14849" width="9.5" style="2574" customWidth="1"/>
    <col min="14850" max="14850" width="8.875" style="2574"/>
    <col min="14851" max="14853" width="12.875" style="2574" customWidth="1"/>
    <col min="14854" max="14854" width="47.5" style="2574" customWidth="1"/>
    <col min="14855" max="14855" width="13" style="2574" customWidth="1"/>
    <col min="14856" max="14857" width="8.875" style="2574"/>
    <col min="14858" max="14858" width="5.75" style="2574" customWidth="1"/>
    <col min="14859" max="14859" width="11.75" style="2574" customWidth="1"/>
    <col min="14860" max="14861" width="10.75" style="2574" customWidth="1"/>
    <col min="14862" max="14862" width="10" style="2574" customWidth="1"/>
    <col min="14863" max="14864" width="10.5" style="2574" bestFit="1" customWidth="1"/>
    <col min="14865" max="14865" width="10" style="2574" customWidth="1"/>
    <col min="14866" max="14866" width="10.125" style="2574" customWidth="1"/>
    <col min="14867" max="14867" width="10" style="2574" customWidth="1"/>
    <col min="14868" max="14868" width="26.125" style="2574" customWidth="1"/>
    <col min="14869" max="15104" width="8.875" style="2574"/>
    <col min="15105" max="15105" width="9.5" style="2574" customWidth="1"/>
    <col min="15106" max="15106" width="8.875" style="2574"/>
    <col min="15107" max="15109" width="12.875" style="2574" customWidth="1"/>
    <col min="15110" max="15110" width="47.5" style="2574" customWidth="1"/>
    <col min="15111" max="15111" width="13" style="2574" customWidth="1"/>
    <col min="15112" max="15113" width="8.875" style="2574"/>
    <col min="15114" max="15114" width="5.75" style="2574" customWidth="1"/>
    <col min="15115" max="15115" width="11.75" style="2574" customWidth="1"/>
    <col min="15116" max="15117" width="10.75" style="2574" customWidth="1"/>
    <col min="15118" max="15118" width="10" style="2574" customWidth="1"/>
    <col min="15119" max="15120" width="10.5" style="2574" bestFit="1" customWidth="1"/>
    <col min="15121" max="15121" width="10" style="2574" customWidth="1"/>
    <col min="15122" max="15122" width="10.125" style="2574" customWidth="1"/>
    <col min="15123" max="15123" width="10" style="2574" customWidth="1"/>
    <col min="15124" max="15124" width="26.125" style="2574" customWidth="1"/>
    <col min="15125" max="15360" width="8.875" style="2574"/>
    <col min="15361" max="15361" width="9.5" style="2574" customWidth="1"/>
    <col min="15362" max="15362" width="8.875" style="2574"/>
    <col min="15363" max="15365" width="12.875" style="2574" customWidth="1"/>
    <col min="15366" max="15366" width="47.5" style="2574" customWidth="1"/>
    <col min="15367" max="15367" width="13" style="2574" customWidth="1"/>
    <col min="15368" max="15369" width="8.875" style="2574"/>
    <col min="15370" max="15370" width="5.75" style="2574" customWidth="1"/>
    <col min="15371" max="15371" width="11.75" style="2574" customWidth="1"/>
    <col min="15372" max="15373" width="10.75" style="2574" customWidth="1"/>
    <col min="15374" max="15374" width="10" style="2574" customWidth="1"/>
    <col min="15375" max="15376" width="10.5" style="2574" bestFit="1" customWidth="1"/>
    <col min="15377" max="15377" width="10" style="2574" customWidth="1"/>
    <col min="15378" max="15378" width="10.125" style="2574" customWidth="1"/>
    <col min="15379" max="15379" width="10" style="2574" customWidth="1"/>
    <col min="15380" max="15380" width="26.125" style="2574" customWidth="1"/>
    <col min="15381" max="15616" width="8.875" style="2574"/>
    <col min="15617" max="15617" width="9.5" style="2574" customWidth="1"/>
    <col min="15618" max="15618" width="8.875" style="2574"/>
    <col min="15619" max="15621" width="12.875" style="2574" customWidth="1"/>
    <col min="15622" max="15622" width="47.5" style="2574" customWidth="1"/>
    <col min="15623" max="15623" width="13" style="2574" customWidth="1"/>
    <col min="15624" max="15625" width="8.875" style="2574"/>
    <col min="15626" max="15626" width="5.75" style="2574" customWidth="1"/>
    <col min="15627" max="15627" width="11.75" style="2574" customWidth="1"/>
    <col min="15628" max="15629" width="10.75" style="2574" customWidth="1"/>
    <col min="15630" max="15630" width="10" style="2574" customWidth="1"/>
    <col min="15631" max="15632" width="10.5" style="2574" bestFit="1" customWidth="1"/>
    <col min="15633" max="15633" width="10" style="2574" customWidth="1"/>
    <col min="15634" max="15634" width="10.125" style="2574" customWidth="1"/>
    <col min="15635" max="15635" width="10" style="2574" customWidth="1"/>
    <col min="15636" max="15636" width="26.125" style="2574" customWidth="1"/>
    <col min="15637" max="15872" width="8.875" style="2574"/>
    <col min="15873" max="15873" width="9.5" style="2574" customWidth="1"/>
    <col min="15874" max="15874" width="8.875" style="2574"/>
    <col min="15875" max="15877" width="12.875" style="2574" customWidth="1"/>
    <col min="15878" max="15878" width="47.5" style="2574" customWidth="1"/>
    <col min="15879" max="15879" width="13" style="2574" customWidth="1"/>
    <col min="15880" max="15881" width="8.875" style="2574"/>
    <col min="15882" max="15882" width="5.75" style="2574" customWidth="1"/>
    <col min="15883" max="15883" width="11.75" style="2574" customWidth="1"/>
    <col min="15884" max="15885" width="10.75" style="2574" customWidth="1"/>
    <col min="15886" max="15886" width="10" style="2574" customWidth="1"/>
    <col min="15887" max="15888" width="10.5" style="2574" bestFit="1" customWidth="1"/>
    <col min="15889" max="15889" width="10" style="2574" customWidth="1"/>
    <col min="15890" max="15890" width="10.125" style="2574" customWidth="1"/>
    <col min="15891" max="15891" width="10" style="2574" customWidth="1"/>
    <col min="15892" max="15892" width="26.125" style="2574" customWidth="1"/>
    <col min="15893" max="16128" width="8.875" style="2574"/>
    <col min="16129" max="16129" width="9.5" style="2574" customWidth="1"/>
    <col min="16130" max="16130" width="8.875" style="2574"/>
    <col min="16131" max="16133" width="12.875" style="2574" customWidth="1"/>
    <col min="16134" max="16134" width="47.5" style="2574" customWidth="1"/>
    <col min="16135" max="16135" width="13" style="2574" customWidth="1"/>
    <col min="16136" max="16137" width="8.875" style="2574"/>
    <col min="16138" max="16138" width="5.75" style="2574" customWidth="1"/>
    <col min="16139" max="16139" width="11.75" style="2574" customWidth="1"/>
    <col min="16140" max="16141" width="10.75" style="2574" customWidth="1"/>
    <col min="16142" max="16142" width="10" style="2574" customWidth="1"/>
    <col min="16143" max="16144" width="10.5" style="2574" bestFit="1" customWidth="1"/>
    <col min="16145" max="16145" width="10" style="2574" customWidth="1"/>
    <col min="16146" max="16146" width="10.125" style="2574" customWidth="1"/>
    <col min="16147" max="16147" width="10" style="2574" customWidth="1"/>
    <col min="16148" max="16148" width="26.125" style="2574" customWidth="1"/>
    <col min="16149" max="16384" width="8.875" style="2574"/>
  </cols>
  <sheetData>
    <row r="1" spans="1:22" ht="21" customHeight="1">
      <c r="A1" s="2563" t="s">
        <v>2433</v>
      </c>
      <c r="B1" s="2564"/>
      <c r="C1" s="2576"/>
      <c r="D1" s="2576"/>
      <c r="E1" s="2565"/>
      <c r="F1" s="2566"/>
      <c r="G1" s="2567"/>
      <c r="J1" s="2570" t="s">
        <v>2312</v>
      </c>
      <c r="K1" s="2571"/>
      <c r="L1" s="2571"/>
      <c r="M1" s="2571"/>
      <c r="N1" s="2571"/>
      <c r="O1" s="2571"/>
      <c r="P1" s="2571"/>
      <c r="Q1" s="2571"/>
      <c r="R1" s="2572"/>
      <c r="S1" s="2573"/>
      <c r="T1" s="2573"/>
      <c r="U1" s="2573"/>
    </row>
    <row r="2" spans="1:22" s="2585" customFormat="1" ht="13.15" customHeight="1">
      <c r="A2" s="1285" t="s">
        <v>2313</v>
      </c>
      <c r="B2" s="2575" t="e">
        <f>IF(D2="——",C40,C40+E2)</f>
        <v>#DIV/0!</v>
      </c>
      <c r="C2" s="2576" t="s">
        <v>2314</v>
      </c>
      <c r="D2" s="3117" t="s">
        <v>3356</v>
      </c>
      <c r="E2" s="3118"/>
      <c r="F2" s="2578"/>
      <c r="G2" s="2579"/>
      <c r="H2" s="2580"/>
      <c r="I2" s="2581"/>
      <c r="J2" s="3497" t="s">
        <v>2315</v>
      </c>
      <c r="K2" s="3498"/>
      <c r="L2" s="2582" t="s">
        <v>2316</v>
      </c>
      <c r="M2" s="2582" t="s">
        <v>2317</v>
      </c>
      <c r="N2" s="2582" t="s">
        <v>2318</v>
      </c>
      <c r="O2" s="2582" t="s">
        <v>2319</v>
      </c>
      <c r="P2" s="2582" t="s">
        <v>2320</v>
      </c>
      <c r="Q2" s="2583" t="s">
        <v>2321</v>
      </c>
      <c r="R2" s="2584" t="s">
        <v>2322</v>
      </c>
      <c r="S2" s="2573"/>
      <c r="T2" s="2573"/>
      <c r="U2" s="2573"/>
      <c r="V2" s="2581"/>
    </row>
    <row r="3" spans="1:22" s="2585" customFormat="1" ht="13.15" customHeight="1">
      <c r="A3" s="2586" t="s">
        <v>2323</v>
      </c>
      <c r="B3" s="2587" t="e">
        <f>ROUND(B2*10000/B4,0)</f>
        <v>#DIV/0!</v>
      </c>
      <c r="C3" s="2576" t="s">
        <v>2324</v>
      </c>
      <c r="D3" s="2576"/>
      <c r="E3" s="2577"/>
      <c r="F3" s="2578"/>
      <c r="G3" s="2579"/>
      <c r="H3" s="2580"/>
      <c r="I3" s="2581"/>
      <c r="J3" s="3499" t="s">
        <v>2325</v>
      </c>
      <c r="K3" s="3500"/>
      <c r="L3" s="2588"/>
      <c r="M3" s="2588"/>
      <c r="N3" s="2588"/>
      <c r="O3" s="2588"/>
      <c r="P3" s="2588"/>
      <c r="Q3" s="2589"/>
      <c r="R3" s="2590">
        <f>SUM(L3:Q3)</f>
        <v>0</v>
      </c>
      <c r="S3" s="2573"/>
      <c r="T3" s="2573"/>
      <c r="U3" s="2573"/>
      <c r="V3" s="2581"/>
    </row>
    <row r="4" spans="1:22" s="2585" customFormat="1" ht="13.15" customHeight="1">
      <c r="A4" s="2591" t="s">
        <v>2326</v>
      </c>
      <c r="B4" s="2592"/>
      <c r="C4" s="2576"/>
      <c r="D4" s="2576"/>
      <c r="E4" s="2577"/>
      <c r="F4" s="2578"/>
      <c r="G4" s="2579"/>
      <c r="H4" s="2580"/>
      <c r="I4" s="2581"/>
      <c r="J4" s="3499" t="s">
        <v>2327</v>
      </c>
      <c r="K4" s="3500"/>
      <c r="L4" s="2593"/>
      <c r="M4" s="2593"/>
      <c r="N4" s="2593"/>
      <c r="O4" s="2593"/>
      <c r="P4" s="2593"/>
      <c r="Q4" s="2594"/>
      <c r="R4" s="2595">
        <f>SUM(L4:Q4)</f>
        <v>0</v>
      </c>
      <c r="S4" s="2573"/>
      <c r="T4" s="2573"/>
      <c r="U4" s="2573"/>
      <c r="V4" s="2581"/>
    </row>
    <row r="5" spans="1:22" s="2585" customFormat="1" ht="13.15" customHeight="1" thickBot="1">
      <c r="A5" s="2596" t="s">
        <v>2328</v>
      </c>
      <c r="B5" s="2597"/>
      <c r="C5" s="2576"/>
      <c r="D5" s="2598"/>
      <c r="E5" s="2578"/>
      <c r="F5" s="2578"/>
      <c r="G5" s="2579"/>
      <c r="H5" s="2580"/>
      <c r="I5" s="2581"/>
      <c r="J5" s="2599" t="s">
        <v>2329</v>
      </c>
      <c r="K5" s="2600"/>
      <c r="L5" s="2600"/>
      <c r="M5" s="2601"/>
      <c r="N5" s="2601"/>
      <c r="O5" s="2601"/>
      <c r="P5" s="2601"/>
      <c r="Q5" s="2601"/>
      <c r="R5" s="2584">
        <f>SUM(R14,R19,R24,R25,R27,R28)</f>
        <v>0</v>
      </c>
      <c r="S5" s="2573"/>
      <c r="T5" s="2573" t="s">
        <v>2330</v>
      </c>
      <c r="U5" s="2573" t="e">
        <f>ROUND(R5*10000/365/R3,1)</f>
        <v>#DIV/0!</v>
      </c>
      <c r="V5" s="2581"/>
    </row>
    <row r="6" spans="1:22" s="2585" customFormat="1" ht="13.15" customHeight="1" thickBot="1">
      <c r="A6" s="3505" t="s">
        <v>2331</v>
      </c>
      <c r="B6" s="3506"/>
      <c r="C6" s="3507"/>
      <c r="D6" s="2602"/>
      <c r="E6" s="2603"/>
      <c r="F6" s="2604"/>
      <c r="G6" s="2605"/>
      <c r="H6" s="2580"/>
      <c r="I6" s="2581"/>
      <c r="J6" s="3491">
        <v>1</v>
      </c>
      <c r="K6" s="3492" t="s">
        <v>2332</v>
      </c>
      <c r="L6" s="2606" t="s">
        <v>2333</v>
      </c>
      <c r="M6" s="2607" t="s">
        <v>2334</v>
      </c>
      <c r="N6" s="2607" t="s">
        <v>2335</v>
      </c>
      <c r="O6" s="2607" t="s">
        <v>2336</v>
      </c>
      <c r="P6" s="2607" t="s">
        <v>2337</v>
      </c>
      <c r="Q6" s="2607" t="s">
        <v>2338</v>
      </c>
      <c r="R6" s="2590" t="s">
        <v>2339</v>
      </c>
      <c r="S6" s="2573"/>
      <c r="T6" s="2573" t="s">
        <v>2340</v>
      </c>
      <c r="U6" s="2573"/>
      <c r="V6" s="2581"/>
    </row>
    <row r="7" spans="1:22" s="2585" customFormat="1" ht="13.15" customHeight="1">
      <c r="A7" s="2608" t="s">
        <v>2341</v>
      </c>
      <c r="B7" s="2609"/>
      <c r="C7" s="2610"/>
      <c r="D7" s="2611">
        <f>SUM(D9,D10,D11,D17,0)</f>
        <v>0</v>
      </c>
      <c r="E7" s="2612" t="e">
        <f>E9+E10+E11+E17</f>
        <v>#DIV/0!</v>
      </c>
      <c r="F7" s="2613"/>
      <c r="G7" s="2614"/>
      <c r="H7" s="2580"/>
      <c r="I7" s="2581"/>
      <c r="J7" s="3491"/>
      <c r="K7" s="3493"/>
      <c r="L7" s="2615" t="s">
        <v>2342</v>
      </c>
      <c r="M7" s="2616"/>
      <c r="N7" s="2592"/>
      <c r="O7" s="2617"/>
      <c r="P7" s="2617"/>
      <c r="Q7" s="2618">
        <v>365</v>
      </c>
      <c r="R7" s="2619">
        <f>ROUND(M7*N7*O7*P7*Q7/10000,0)</f>
        <v>0</v>
      </c>
      <c r="S7" s="2573"/>
      <c r="T7" s="2573" t="s">
        <v>2343</v>
      </c>
      <c r="U7" s="2573"/>
      <c r="V7" s="2581"/>
    </row>
    <row r="8" spans="1:22" s="2585" customFormat="1" ht="13.15" customHeight="1">
      <c r="A8" s="2620" t="s">
        <v>2344</v>
      </c>
      <c r="B8" s="3508" t="s">
        <v>2345</v>
      </c>
      <c r="C8" s="3509"/>
      <c r="D8" s="2621" t="s">
        <v>2346</v>
      </c>
      <c r="E8" s="2622" t="s">
        <v>2347</v>
      </c>
      <c r="F8" s="2623" t="s">
        <v>2348</v>
      </c>
      <c r="G8" s="2624"/>
      <c r="H8" s="2580"/>
      <c r="I8" s="2581"/>
      <c r="J8" s="3491"/>
      <c r="K8" s="3493"/>
      <c r="L8" s="2615" t="s">
        <v>2349</v>
      </c>
      <c r="M8" s="2616"/>
      <c r="N8" s="2592"/>
      <c r="O8" s="2617"/>
      <c r="P8" s="2617"/>
      <c r="Q8" s="2618">
        <v>365</v>
      </c>
      <c r="R8" s="2619">
        <f t="shared" ref="R8:R13" si="0">ROUND(M8*N8*O8*P8*Q8/10000,0)</f>
        <v>0</v>
      </c>
      <c r="S8" s="2573"/>
      <c r="T8" s="2573" t="s">
        <v>2350</v>
      </c>
      <c r="U8" s="2573"/>
      <c r="V8" s="2581"/>
    </row>
    <row r="9" spans="1:22" s="2585" customFormat="1" ht="13.15" customHeight="1">
      <c r="A9" s="2620">
        <v>1</v>
      </c>
      <c r="B9" s="3508" t="s">
        <v>2351</v>
      </c>
      <c r="C9" s="3509"/>
      <c r="D9" s="2621">
        <f>ROUND(D6*E9,0)</f>
        <v>0</v>
      </c>
      <c r="E9" s="2625"/>
      <c r="F9" s="2626" t="s">
        <v>2352</v>
      </c>
      <c r="G9" s="2605"/>
      <c r="H9" s="2580"/>
      <c r="I9" s="2581"/>
      <c r="J9" s="3491"/>
      <c r="K9" s="3493"/>
      <c r="L9" s="2615" t="s">
        <v>2353</v>
      </c>
      <c r="M9" s="2616"/>
      <c r="N9" s="2592"/>
      <c r="O9" s="2617"/>
      <c r="P9" s="2617"/>
      <c r="Q9" s="2618">
        <v>365</v>
      </c>
      <c r="R9" s="2619">
        <f t="shared" si="0"/>
        <v>0</v>
      </c>
      <c r="S9" s="2573"/>
      <c r="T9" s="2573"/>
      <c r="U9" s="2573"/>
      <c r="V9" s="2581"/>
    </row>
    <row r="10" spans="1:22" s="2585" customFormat="1" ht="13.15" customHeight="1">
      <c r="A10" s="2620">
        <v>2</v>
      </c>
      <c r="B10" s="3508" t="s">
        <v>2354</v>
      </c>
      <c r="C10" s="3509"/>
      <c r="D10" s="2621">
        <f>ROUND(D6*E10,0)</f>
        <v>0</v>
      </c>
      <c r="E10" s="2625"/>
      <c r="F10" s="2626" t="s">
        <v>2355</v>
      </c>
      <c r="G10" s="2605"/>
      <c r="H10" s="2580"/>
      <c r="I10" s="2581"/>
      <c r="J10" s="3491"/>
      <c r="K10" s="3493"/>
      <c r="L10" s="2615" t="s">
        <v>2356</v>
      </c>
      <c r="M10" s="2616"/>
      <c r="N10" s="2592"/>
      <c r="O10" s="2617"/>
      <c r="P10" s="2617"/>
      <c r="Q10" s="2618">
        <v>365</v>
      </c>
      <c r="R10" s="2619">
        <f t="shared" si="0"/>
        <v>0</v>
      </c>
      <c r="S10" s="2573"/>
      <c r="T10" s="2573"/>
      <c r="U10" s="2573"/>
      <c r="V10" s="2581"/>
    </row>
    <row r="11" spans="1:22" s="2585" customFormat="1" ht="13.15" customHeight="1">
      <c r="A11" s="2620">
        <v>3</v>
      </c>
      <c r="B11" s="3508" t="s">
        <v>2357</v>
      </c>
      <c r="C11" s="3509"/>
      <c r="D11" s="2621">
        <f>D12+D14+D15+D16</f>
        <v>0</v>
      </c>
      <c r="E11" s="2627" t="e">
        <f>D11/D6</f>
        <v>#DIV/0!</v>
      </c>
      <c r="F11" s="2623"/>
      <c r="G11" s="2624"/>
      <c r="H11" s="2580"/>
      <c r="I11" s="2581"/>
      <c r="J11" s="3491"/>
      <c r="K11" s="3493"/>
      <c r="L11" s="2615" t="s">
        <v>2358</v>
      </c>
      <c r="M11" s="2616"/>
      <c r="N11" s="2592"/>
      <c r="O11" s="2617"/>
      <c r="P11" s="2617"/>
      <c r="Q11" s="2618">
        <v>365</v>
      </c>
      <c r="R11" s="2619">
        <f t="shared" si="0"/>
        <v>0</v>
      </c>
      <c r="S11" s="2573"/>
      <c r="T11" s="2573"/>
      <c r="U11" s="2573"/>
      <c r="V11" s="2581"/>
    </row>
    <row r="12" spans="1:22" s="2585" customFormat="1" ht="13.15" customHeight="1">
      <c r="A12" s="2628" t="s">
        <v>2359</v>
      </c>
      <c r="B12" s="3501" t="s">
        <v>2360</v>
      </c>
      <c r="C12" s="3502"/>
      <c r="D12" s="2629">
        <f>ROUND(D13*1.2%*(1-30%),0)</f>
        <v>0</v>
      </c>
      <c r="E12" s="2630">
        <v>1.2E-2</v>
      </c>
      <c r="F12" s="2623" t="s">
        <v>2361</v>
      </c>
      <c r="G12" s="2624"/>
      <c r="H12" s="2580"/>
      <c r="I12" s="2581"/>
      <c r="J12" s="3491"/>
      <c r="K12" s="3493"/>
      <c r="L12" s="2615" t="s">
        <v>2362</v>
      </c>
      <c r="M12" s="2616"/>
      <c r="N12" s="2592"/>
      <c r="O12" s="2617"/>
      <c r="P12" s="2617"/>
      <c r="Q12" s="2618">
        <v>365</v>
      </c>
      <c r="R12" s="2619">
        <f t="shared" si="0"/>
        <v>0</v>
      </c>
      <c r="S12" s="2573"/>
      <c r="T12" s="2573"/>
      <c r="U12" s="2573"/>
      <c r="V12" s="2581"/>
    </row>
    <row r="13" spans="1:22" s="2585" customFormat="1" ht="13.15" customHeight="1">
      <c r="A13" s="2628"/>
      <c r="B13" s="2631"/>
      <c r="C13" s="2632" t="s">
        <v>2363</v>
      </c>
      <c r="D13" s="2633"/>
      <c r="E13" s="2634"/>
      <c r="F13" s="2623"/>
      <c r="G13" s="2624"/>
      <c r="H13" s="2580"/>
      <c r="I13" s="2581"/>
      <c r="J13" s="3491"/>
      <c r="K13" s="3493"/>
      <c r="L13" s="2615" t="s">
        <v>2364</v>
      </c>
      <c r="M13" s="2616"/>
      <c r="N13" s="2592"/>
      <c r="O13" s="2617"/>
      <c r="P13" s="2617"/>
      <c r="Q13" s="2618">
        <v>365</v>
      </c>
      <c r="R13" s="2619">
        <f t="shared" si="0"/>
        <v>0</v>
      </c>
      <c r="S13" s="2573"/>
      <c r="T13" s="2573"/>
      <c r="U13" s="2573"/>
      <c r="V13" s="2581"/>
    </row>
    <row r="14" spans="1:22" s="2585" customFormat="1" ht="13.15" customHeight="1">
      <c r="A14" s="2628" t="s">
        <v>2365</v>
      </c>
      <c r="B14" s="3501" t="s">
        <v>2366</v>
      </c>
      <c r="C14" s="3502"/>
      <c r="D14" s="2629">
        <f>ROUND(E14*B5/10000,0)</f>
        <v>0</v>
      </c>
      <c r="E14" s="2618"/>
      <c r="F14" s="2623" t="s">
        <v>2367</v>
      </c>
      <c r="G14" s="2624"/>
      <c r="H14" s="2580"/>
      <c r="I14" s="2581"/>
      <c r="J14" s="3491"/>
      <c r="K14" s="3494"/>
      <c r="L14" s="2635" t="s">
        <v>2368</v>
      </c>
      <c r="M14" s="2636">
        <f>SUM(M7:M13)</f>
        <v>0</v>
      </c>
      <c r="N14" s="2636" t="e">
        <f>ROUND((N7*M7+N8*M8+N9*M9+N10*M10+N11*M11+N12*M12+N13*M13)/M14,0)</f>
        <v>#DIV/0!</v>
      </c>
      <c r="O14" s="2637"/>
      <c r="P14" s="2637"/>
      <c r="Q14" s="2638"/>
      <c r="R14" s="2584">
        <f>SUM(R7:R13)</f>
        <v>0</v>
      </c>
      <c r="S14" s="2573"/>
      <c r="T14" s="2573"/>
      <c r="U14" s="2573"/>
      <c r="V14" s="2581"/>
    </row>
    <row r="15" spans="1:22" s="2585" customFormat="1" ht="13.15" customHeight="1">
      <c r="A15" s="2628" t="s">
        <v>2369</v>
      </c>
      <c r="B15" s="3501" t="s">
        <v>2370</v>
      </c>
      <c r="C15" s="3502"/>
      <c r="D15" s="2629">
        <f>ROUND(D6*E15,0)</f>
        <v>0</v>
      </c>
      <c r="E15" s="2630">
        <v>5.5E-2</v>
      </c>
      <c r="F15" s="2623" t="s">
        <v>2371</v>
      </c>
      <c r="G15" s="2605"/>
      <c r="H15" s="2580"/>
      <c r="I15" s="2581"/>
      <c r="J15" s="3491">
        <v>2</v>
      </c>
      <c r="K15" s="3492" t="s">
        <v>2372</v>
      </c>
      <c r="L15" s="2615" t="s">
        <v>2373</v>
      </c>
      <c r="M15" s="2616" t="s">
        <v>2374</v>
      </c>
      <c r="N15" s="2616" t="s">
        <v>2375</v>
      </c>
      <c r="O15" s="2617" t="s">
        <v>2376</v>
      </c>
      <c r="P15" s="2617" t="s">
        <v>2338</v>
      </c>
      <c r="Q15" s="2592" t="s">
        <v>2377</v>
      </c>
      <c r="R15" s="2639" t="s">
        <v>2339</v>
      </c>
      <c r="S15" s="2573"/>
      <c r="T15" s="2573"/>
      <c r="U15" s="2573"/>
      <c r="V15" s="2581"/>
    </row>
    <row r="16" spans="1:22" s="2585" customFormat="1" ht="13.15" customHeight="1">
      <c r="A16" s="2628" t="s">
        <v>2378</v>
      </c>
      <c r="B16" s="3501" t="s">
        <v>2379</v>
      </c>
      <c r="C16" s="3502"/>
      <c r="D16" s="2640">
        <f>D6*E16</f>
        <v>0</v>
      </c>
      <c r="E16" s="2641"/>
      <c r="F16" s="2626" t="s">
        <v>2380</v>
      </c>
      <c r="G16" s="2605"/>
      <c r="H16" s="2580"/>
      <c r="I16" s="2581"/>
      <c r="J16" s="3491"/>
      <c r="K16" s="3493"/>
      <c r="L16" s="2615" t="s">
        <v>2381</v>
      </c>
      <c r="M16" s="2616"/>
      <c r="N16" s="2616"/>
      <c r="O16" s="2617"/>
      <c r="P16" s="2618">
        <v>365</v>
      </c>
      <c r="Q16" s="2592"/>
      <c r="R16" s="2639">
        <f>ROUND(M16*N16*O16*P16/10000,0)</f>
        <v>0</v>
      </c>
      <c r="S16" s="2573"/>
      <c r="T16" s="2573"/>
      <c r="U16" s="2573"/>
      <c r="V16" s="2581"/>
    </row>
    <row r="17" spans="1:22" s="2585" customFormat="1" ht="13.15" customHeight="1" thickBot="1">
      <c r="A17" s="2642">
        <v>4</v>
      </c>
      <c r="B17" s="3503" t="s">
        <v>2382</v>
      </c>
      <c r="C17" s="3504"/>
      <c r="D17" s="2643">
        <f>ROUND(D6*E17,0)</f>
        <v>0</v>
      </c>
      <c r="E17" s="2644"/>
      <c r="F17" s="2645" t="s">
        <v>2383</v>
      </c>
      <c r="G17" s="2605"/>
      <c r="H17" s="2580"/>
      <c r="I17" s="2581"/>
      <c r="J17" s="3491"/>
      <c r="K17" s="3493"/>
      <c r="L17" s="2615" t="s">
        <v>2384</v>
      </c>
      <c r="M17" s="2616"/>
      <c r="N17" s="2616"/>
      <c r="O17" s="2617"/>
      <c r="P17" s="2618">
        <v>365</v>
      </c>
      <c r="Q17" s="2592"/>
      <c r="R17" s="2639">
        <f>ROUND(M17*N17*O17*P17/10000,0)</f>
        <v>0</v>
      </c>
      <c r="S17" s="2573"/>
      <c r="T17" s="2573"/>
      <c r="U17" s="2573"/>
      <c r="V17" s="2581"/>
    </row>
    <row r="18" spans="1:22" s="2585" customFormat="1" ht="13.15" customHeight="1" thickBot="1">
      <c r="A18" s="2608" t="s">
        <v>2385</v>
      </c>
      <c r="B18" s="2609"/>
      <c r="C18" s="2609"/>
      <c r="D18" s="2646">
        <f>ROUND(D6*E18,0)</f>
        <v>0</v>
      </c>
      <c r="E18" s="2647"/>
      <c r="F18" s="2648" t="s">
        <v>2386</v>
      </c>
      <c r="G18" s="2605"/>
      <c r="H18" s="2580"/>
      <c r="I18" s="2581"/>
      <c r="J18" s="3491"/>
      <c r="K18" s="3493"/>
      <c r="L18" s="2615" t="s">
        <v>2387</v>
      </c>
      <c r="M18" s="2616"/>
      <c r="N18" s="2616"/>
      <c r="O18" s="2617"/>
      <c r="P18" s="2618">
        <v>365</v>
      </c>
      <c r="Q18" s="2592"/>
      <c r="R18" s="2639">
        <f>ROUND(M18*N18*O18*P18/10000,0)</f>
        <v>0</v>
      </c>
      <c r="S18" s="2573"/>
      <c r="T18" s="2573"/>
      <c r="U18" s="2573"/>
      <c r="V18" s="2581"/>
    </row>
    <row r="19" spans="1:22" s="2585" customFormat="1" ht="13.15" customHeight="1" thickBot="1">
      <c r="A19" s="2649" t="s">
        <v>2388</v>
      </c>
      <c r="B19" s="2603"/>
      <c r="C19" s="2603"/>
      <c r="D19" s="2603"/>
      <c r="E19" s="2603"/>
      <c r="F19" s="2604"/>
      <c r="G19" s="2624"/>
      <c r="H19" s="2580"/>
      <c r="I19" s="2581"/>
      <c r="J19" s="3491"/>
      <c r="K19" s="3494"/>
      <c r="L19" s="2635" t="s">
        <v>2368</v>
      </c>
      <c r="M19" s="2636"/>
      <c r="N19" s="2636">
        <f>SUM(N16:N18)</f>
        <v>0</v>
      </c>
      <c r="O19" s="2637"/>
      <c r="P19" s="2650" t="s">
        <v>2432</v>
      </c>
      <c r="Q19" s="2617">
        <v>0</v>
      </c>
      <c r="R19" s="2651">
        <f>ROUND(IF(P19="按比例",R14*Q19,SUM(R16:R18)),0)</f>
        <v>0</v>
      </c>
      <c r="S19" s="2573"/>
      <c r="T19" s="2573"/>
      <c r="U19" s="2573"/>
      <c r="V19" s="2581"/>
    </row>
    <row r="20" spans="1:22" s="2585" customFormat="1" ht="13.15" customHeight="1">
      <c r="A20" s="2608"/>
      <c r="B20" s="2609"/>
      <c r="C20" s="2609"/>
      <c r="D20" s="2609"/>
      <c r="E20" s="2609"/>
      <c r="F20" s="2652"/>
      <c r="G20" s="2624"/>
      <c r="H20" s="2580"/>
      <c r="I20" s="2581"/>
      <c r="J20" s="3491">
        <v>3</v>
      </c>
      <c r="K20" s="3492" t="s">
        <v>2389</v>
      </c>
      <c r="L20" s="2615" t="s">
        <v>2390</v>
      </c>
      <c r="M20" s="2616" t="s">
        <v>2391</v>
      </c>
      <c r="N20" s="2653" t="s">
        <v>2392</v>
      </c>
      <c r="O20" s="2617" t="s">
        <v>2393</v>
      </c>
      <c r="P20" s="2618" t="s">
        <v>2394</v>
      </c>
      <c r="Q20" s="2592" t="s">
        <v>2395</v>
      </c>
      <c r="R20" s="2639" t="s">
        <v>2396</v>
      </c>
      <c r="S20" s="2573"/>
      <c r="T20" s="2573"/>
      <c r="U20" s="2573"/>
      <c r="V20" s="2581"/>
    </row>
    <row r="21" spans="1:22" s="2585" customFormat="1" ht="13.15" customHeight="1">
      <c r="A21" s="2608"/>
      <c r="B21" s="2609"/>
      <c r="C21" s="2654" t="s">
        <v>2397</v>
      </c>
      <c r="D21" s="2655" t="s">
        <v>2398</v>
      </c>
      <c r="E21" s="2656" t="s">
        <v>2399</v>
      </c>
      <c r="F21" s="2652"/>
      <c r="G21" s="2624"/>
      <c r="H21" s="2580"/>
      <c r="I21" s="2581"/>
      <c r="J21" s="3491"/>
      <c r="K21" s="3493"/>
      <c r="L21" s="2615" t="s">
        <v>2400</v>
      </c>
      <c r="M21" s="2616"/>
      <c r="N21" s="2616"/>
      <c r="O21" s="2617"/>
      <c r="P21" s="2618">
        <v>365</v>
      </c>
      <c r="Q21" s="2592"/>
      <c r="R21" s="2657">
        <f>ROUND(M21*N21*O21*P21/10000,0)</f>
        <v>0</v>
      </c>
      <c r="S21" s="2573"/>
      <c r="T21" s="2573"/>
      <c r="U21" s="2573"/>
      <c r="V21" s="2581"/>
    </row>
    <row r="22" spans="1:22" s="2585" customFormat="1" ht="13.15" customHeight="1">
      <c r="A22" s="2608"/>
      <c r="B22" s="2609"/>
      <c r="C22" s="2658" t="s">
        <v>2401</v>
      </c>
      <c r="D22" s="2659" t="s">
        <v>2402</v>
      </c>
      <c r="E22" s="2660" t="s">
        <v>2403</v>
      </c>
      <c r="F22" s="2652"/>
      <c r="G22" s="2573"/>
      <c r="H22" s="2580"/>
      <c r="I22" s="2581"/>
      <c r="J22" s="3491"/>
      <c r="K22" s="3493"/>
      <c r="L22" s="2615" t="s">
        <v>2404</v>
      </c>
      <c r="M22" s="2616"/>
      <c r="N22" s="2616"/>
      <c r="O22" s="2617"/>
      <c r="P22" s="2618">
        <v>365</v>
      </c>
      <c r="Q22" s="2592"/>
      <c r="R22" s="2657">
        <f>ROUND(M22*N22*O22*P22/10000,0)</f>
        <v>0</v>
      </c>
      <c r="S22" s="2573"/>
      <c r="T22" s="2573"/>
      <c r="U22" s="2573"/>
      <c r="V22" s="2581"/>
    </row>
    <row r="23" spans="1:22" s="2585" customFormat="1" ht="13.15" customHeight="1">
      <c r="A23" s="2661">
        <v>1</v>
      </c>
      <c r="B23" s="2662" t="s">
        <v>2405</v>
      </c>
      <c r="C23" s="2663">
        <f>D6</f>
        <v>0</v>
      </c>
      <c r="D23" s="2664">
        <f>C23*(1+D24)</f>
        <v>0</v>
      </c>
      <c r="E23" s="2665">
        <f>D23*(1+E24)</f>
        <v>0</v>
      </c>
      <c r="F23" s="2666"/>
      <c r="G23" s="2667"/>
      <c r="H23" s="2580"/>
      <c r="I23" s="2581"/>
      <c r="J23" s="3491"/>
      <c r="K23" s="3493"/>
      <c r="L23" s="2615" t="s">
        <v>2406</v>
      </c>
      <c r="M23" s="2616"/>
      <c r="N23" s="2616"/>
      <c r="O23" s="2617"/>
      <c r="P23" s="2618">
        <v>365</v>
      </c>
      <c r="Q23" s="2592"/>
      <c r="R23" s="2657">
        <f>ROUND(M23*N23*O23*P23/10000,0)</f>
        <v>0</v>
      </c>
      <c r="S23" s="2573"/>
      <c r="T23" s="2573"/>
      <c r="U23" s="2573"/>
      <c r="V23" s="2581"/>
    </row>
    <row r="24" spans="1:22" s="2585" customFormat="1" ht="13.15" customHeight="1">
      <c r="A24" s="2668"/>
      <c r="B24" s="2669" t="s">
        <v>2407</v>
      </c>
      <c r="C24" s="2670"/>
      <c r="D24" s="2671"/>
      <c r="E24" s="2672"/>
      <c r="F24" s="2673"/>
      <c r="G24" s="2667"/>
      <c r="H24" s="2580"/>
      <c r="I24" s="2581"/>
      <c r="J24" s="3491"/>
      <c r="K24" s="3494"/>
      <c r="L24" s="2635" t="s">
        <v>2368</v>
      </c>
      <c r="M24" s="2636">
        <f>SUM(M21:M23)</f>
        <v>0</v>
      </c>
      <c r="N24" s="2636"/>
      <c r="O24" s="2637"/>
      <c r="P24" s="2650" t="s">
        <v>2432</v>
      </c>
      <c r="Q24" s="2617">
        <v>0</v>
      </c>
      <c r="R24" s="2651">
        <f>ROUND(IF(P24="按比例",R14*Q24,SUM(R21:R23)),0)</f>
        <v>0</v>
      </c>
      <c r="S24" s="2573"/>
      <c r="T24" s="2573"/>
      <c r="U24" s="2573"/>
      <c r="V24" s="2581"/>
    </row>
    <row r="25" spans="1:22" s="2680" customFormat="1" ht="13.15" customHeight="1">
      <c r="A25" s="2668"/>
      <c r="B25" s="2669"/>
      <c r="C25" s="2670"/>
      <c r="D25" s="2671"/>
      <c r="E25" s="2672"/>
      <c r="F25" s="2673"/>
      <c r="G25" s="2573"/>
      <c r="H25" s="2580"/>
      <c r="I25" s="2581"/>
      <c r="J25" s="2674">
        <v>4</v>
      </c>
      <c r="K25" s="2675" t="s">
        <v>2408</v>
      </c>
      <c r="L25" s="2676"/>
      <c r="M25" s="2676"/>
      <c r="N25" s="2676"/>
      <c r="O25" s="2676"/>
      <c r="P25" s="2677"/>
      <c r="Q25" s="2678">
        <v>0</v>
      </c>
      <c r="R25" s="2651">
        <f>ROUND(R14*Q25,0)</f>
        <v>0</v>
      </c>
      <c r="S25" s="2573"/>
      <c r="T25" s="2573"/>
      <c r="U25" s="2573"/>
      <c r="V25" s="2679"/>
    </row>
    <row r="26" spans="1:22" s="2680" customFormat="1" ht="13.15" customHeight="1">
      <c r="A26" s="2661">
        <v>2</v>
      </c>
      <c r="B26" s="2662" t="s">
        <v>2409</v>
      </c>
      <c r="C26" s="2663">
        <f>D7</f>
        <v>0</v>
      </c>
      <c r="D26" s="2664">
        <f>D23*D27</f>
        <v>0</v>
      </c>
      <c r="E26" s="2665">
        <f>E23*E27</f>
        <v>0</v>
      </c>
      <c r="F26" s="2666"/>
      <c r="G26" s="2667"/>
      <c r="H26" s="2580"/>
      <c r="I26" s="2581"/>
      <c r="J26" s="3495">
        <v>5</v>
      </c>
      <c r="K26" s="2681" t="s">
        <v>2410</v>
      </c>
      <c r="L26" s="2682"/>
      <c r="M26" s="2683"/>
      <c r="N26" s="2684" t="s">
        <v>2411</v>
      </c>
      <c r="O26" s="2684" t="s">
        <v>2412</v>
      </c>
      <c r="P26" s="2685" t="s">
        <v>2413</v>
      </c>
      <c r="Q26" s="2685" t="s">
        <v>2414</v>
      </c>
      <c r="R26" s="2590" t="s">
        <v>2339</v>
      </c>
      <c r="S26" s="2624"/>
      <c r="T26" s="2624"/>
      <c r="U26" s="2624"/>
      <c r="V26" s="2679"/>
    </row>
    <row r="27" spans="1:22" s="2585" customFormat="1" ht="13.15" customHeight="1">
      <c r="A27" s="2668"/>
      <c r="B27" s="2669" t="s">
        <v>2415</v>
      </c>
      <c r="C27" s="2686" t="e">
        <f>E7</f>
        <v>#DIV/0!</v>
      </c>
      <c r="D27" s="2671"/>
      <c r="E27" s="2672"/>
      <c r="F27" s="2673"/>
      <c r="G27" s="2667"/>
      <c r="H27" s="2687"/>
      <c r="I27" s="2679"/>
      <c r="J27" s="3496"/>
      <c r="K27" s="2688"/>
      <c r="L27" s="2689"/>
      <c r="M27" s="2690"/>
      <c r="N27" s="2691"/>
      <c r="O27" s="2691"/>
      <c r="P27" s="2691"/>
      <c r="Q27" s="2692"/>
      <c r="R27" s="2651">
        <f>ROUND(O27*N27*P27*(1-Q27)/10000,0)</f>
        <v>0</v>
      </c>
      <c r="S27" s="2573"/>
      <c r="T27" s="2573"/>
      <c r="U27" s="2573"/>
      <c r="V27" s="2581"/>
    </row>
    <row r="28" spans="1:22" s="2680" customFormat="1" ht="13.15" customHeight="1" thickBot="1">
      <c r="A28" s="2668"/>
      <c r="B28" s="2669"/>
      <c r="C28" s="2686"/>
      <c r="D28" s="2671"/>
      <c r="E28" s="2672" t="s">
        <v>2416</v>
      </c>
      <c r="F28" s="2673"/>
      <c r="G28" s="2573"/>
      <c r="H28" s="2687"/>
      <c r="I28" s="2679"/>
      <c r="J28" s="2693">
        <v>6</v>
      </c>
      <c r="K28" s="2694" t="s">
        <v>2417</v>
      </c>
      <c r="L28" s="2695" t="s">
        <v>2418</v>
      </c>
      <c r="M28" s="2696"/>
      <c r="N28" s="2695" t="s">
        <v>2419</v>
      </c>
      <c r="O28" s="2697"/>
      <c r="P28" s="2695" t="s">
        <v>2420</v>
      </c>
      <c r="Q28" s="2698">
        <v>1.4999999999999999E-2</v>
      </c>
      <c r="R28" s="2699"/>
      <c r="S28" s="2573"/>
      <c r="T28" s="2573"/>
      <c r="U28" s="2573"/>
      <c r="V28" s="2679"/>
    </row>
    <row r="29" spans="1:22" s="2680" customFormat="1" ht="13.15" customHeight="1">
      <c r="A29" s="2661">
        <v>3</v>
      </c>
      <c r="B29" s="2662" t="s">
        <v>2421</v>
      </c>
      <c r="C29" s="2663">
        <f>C23*C30</f>
        <v>0</v>
      </c>
      <c r="D29" s="2664">
        <f>D23*C30</f>
        <v>0</v>
      </c>
      <c r="E29" s="2665">
        <f>E23*C30</f>
        <v>0</v>
      </c>
      <c r="F29" s="2666"/>
      <c r="G29" s="2667"/>
      <c r="H29" s="2580"/>
      <c r="I29" s="2581"/>
      <c r="J29" s="2573"/>
      <c r="K29" s="2573"/>
      <c r="L29" s="2573"/>
      <c r="M29" s="2573"/>
      <c r="N29" s="2573"/>
      <c r="O29" s="2573"/>
      <c r="P29" s="2573"/>
      <c r="Q29" s="2573"/>
      <c r="R29" s="2573"/>
      <c r="S29" s="2573"/>
      <c r="T29" s="2573"/>
      <c r="U29" s="2573"/>
      <c r="V29" s="2679"/>
    </row>
    <row r="30" spans="1:22" s="2585" customFormat="1" ht="13.15" customHeight="1" thickBot="1">
      <c r="A30" s="2668"/>
      <c r="B30" s="2669" t="s">
        <v>2415</v>
      </c>
      <c r="C30" s="2686">
        <f>E18</f>
        <v>0</v>
      </c>
      <c r="D30" s="2700"/>
      <c r="E30" s="2634"/>
      <c r="F30" s="2673"/>
      <c r="G30" s="2667"/>
      <c r="H30" s="2687"/>
      <c r="I30" s="2679"/>
      <c r="J30" s="2573"/>
      <c r="K30" s="2573"/>
      <c r="L30" s="2573"/>
      <c r="M30" s="2573"/>
      <c r="N30" s="2573"/>
      <c r="O30" s="2573"/>
      <c r="P30" s="2573"/>
      <c r="Q30" s="2573"/>
      <c r="R30" s="2573"/>
      <c r="S30" s="2573"/>
      <c r="T30" s="2573"/>
      <c r="U30" s="2573"/>
      <c r="V30" s="2581"/>
    </row>
    <row r="31" spans="1:22" s="2680" customFormat="1" ht="13.15" customHeight="1">
      <c r="A31" s="2668"/>
      <c r="B31" s="2669"/>
      <c r="C31" s="2701"/>
      <c r="D31" s="2700"/>
      <c r="E31" s="2634"/>
      <c r="F31" s="2673"/>
      <c r="G31" s="2573"/>
      <c r="H31" s="2687"/>
      <c r="I31" s="2679"/>
      <c r="J31" s="2570" t="s">
        <v>2422</v>
      </c>
      <c r="K31" s="2571"/>
      <c r="L31" s="2571"/>
      <c r="M31" s="2571"/>
      <c r="N31" s="2571"/>
      <c r="O31" s="2571"/>
      <c r="P31" s="2571"/>
      <c r="Q31" s="2571"/>
      <c r="R31" s="2572"/>
      <c r="S31" s="2573"/>
      <c r="T31" s="2573"/>
      <c r="U31" s="2573"/>
      <c r="V31" s="2679"/>
    </row>
    <row r="32" spans="1:22" s="2680" customFormat="1" ht="13.15" customHeight="1">
      <c r="A32" s="2661">
        <v>4</v>
      </c>
      <c r="B32" s="2662" t="s">
        <v>2423</v>
      </c>
      <c r="C32" s="2663">
        <f>C23-C26-C29</f>
        <v>0</v>
      </c>
      <c r="D32" s="2664">
        <f>D23-D26-D29</f>
        <v>0</v>
      </c>
      <c r="E32" s="2665">
        <f>E23-E26-E29</f>
        <v>0</v>
      </c>
      <c r="F32" s="2666"/>
      <c r="G32" s="2573"/>
      <c r="H32" s="2580"/>
      <c r="I32" s="2581"/>
      <c r="J32" s="3497" t="s">
        <v>2315</v>
      </c>
      <c r="K32" s="3498"/>
      <c r="L32" s="2582" t="s">
        <v>2316</v>
      </c>
      <c r="M32" s="2582" t="s">
        <v>2317</v>
      </c>
      <c r="N32" s="2582" t="s">
        <v>2318</v>
      </c>
      <c r="O32" s="2582" t="s">
        <v>2319</v>
      </c>
      <c r="P32" s="2582" t="s">
        <v>2320</v>
      </c>
      <c r="Q32" s="2583" t="s">
        <v>2321</v>
      </c>
      <c r="R32" s="2702" t="s">
        <v>2322</v>
      </c>
      <c r="S32" s="2573"/>
      <c r="T32" s="2573"/>
      <c r="U32" s="2573"/>
      <c r="V32" s="2679"/>
    </row>
    <row r="33" spans="1:23" s="2585" customFormat="1" ht="13.15" customHeight="1">
      <c r="A33" s="2661"/>
      <c r="B33" s="2662"/>
      <c r="C33" s="2663"/>
      <c r="D33" s="2703"/>
      <c r="E33" s="2704"/>
      <c r="F33" s="2666"/>
      <c r="G33" s="2573"/>
      <c r="H33" s="2687"/>
      <c r="I33" s="2679"/>
      <c r="J33" s="3499" t="s">
        <v>2325</v>
      </c>
      <c r="K33" s="3500"/>
      <c r="L33" s="2588"/>
      <c r="M33" s="2588"/>
      <c r="N33" s="2588"/>
      <c r="O33" s="2588"/>
      <c r="P33" s="2588"/>
      <c r="Q33" s="2589"/>
      <c r="R33" s="2705">
        <f>SUM(L33:Q33)</f>
        <v>0</v>
      </c>
      <c r="S33" s="2573"/>
      <c r="T33" s="2573"/>
      <c r="U33" s="2573"/>
      <c r="V33" s="2581"/>
    </row>
    <row r="34" spans="1:23" s="2585" customFormat="1" ht="13.15" customHeight="1">
      <c r="A34" s="2661">
        <v>5</v>
      </c>
      <c r="B34" s="2662" t="s">
        <v>2424</v>
      </c>
      <c r="C34" s="2706"/>
      <c r="D34" s="2707"/>
      <c r="E34" s="2708"/>
      <c r="F34" s="2666"/>
      <c r="G34" s="2573"/>
      <c r="H34" s="2687"/>
      <c r="I34" s="2679"/>
      <c r="J34" s="3499" t="s">
        <v>2327</v>
      </c>
      <c r="K34" s="3500"/>
      <c r="L34" s="2593"/>
      <c r="M34" s="2593"/>
      <c r="N34" s="2593"/>
      <c r="O34" s="2593"/>
      <c r="P34" s="2593"/>
      <c r="Q34" s="2594"/>
      <c r="R34" s="2709">
        <f>SUM(L34:Q34)</f>
        <v>0</v>
      </c>
      <c r="S34" s="2573"/>
      <c r="T34" s="2573"/>
      <c r="U34" s="2573" t="e">
        <f>ROUND(R35*10000/365/R33,1)</f>
        <v>#DIV/0!</v>
      </c>
      <c r="V34" s="2581"/>
    </row>
    <row r="35" spans="1:23" s="2585" customFormat="1" ht="13.15" customHeight="1">
      <c r="A35" s="2661">
        <v>6</v>
      </c>
      <c r="B35" s="2662" t="s">
        <v>2425</v>
      </c>
      <c r="C35" s="2710"/>
      <c r="D35" s="2711"/>
      <c r="E35" s="2712"/>
      <c r="F35" s="2666"/>
      <c r="G35" s="2713"/>
      <c r="H35" s="2580"/>
      <c r="I35" s="2679"/>
      <c r="J35" s="2599" t="s">
        <v>2329</v>
      </c>
      <c r="K35" s="2600"/>
      <c r="L35" s="2600"/>
      <c r="M35" s="2601"/>
      <c r="N35" s="2601"/>
      <c r="O35" s="2601"/>
      <c r="P35" s="2601"/>
      <c r="Q35" s="2601"/>
      <c r="R35" s="2714">
        <f>R40+R41+R43</f>
        <v>0</v>
      </c>
      <c r="S35" s="2573"/>
      <c r="T35" s="2573" t="s">
        <v>2330</v>
      </c>
      <c r="U35" s="2573"/>
      <c r="V35" s="2581"/>
    </row>
    <row r="36" spans="1:23" s="2585" customFormat="1" ht="13.15" customHeight="1" thickBot="1">
      <c r="A36" s="2661">
        <v>7</v>
      </c>
      <c r="B36" s="2715" t="s">
        <v>2426</v>
      </c>
      <c r="C36" s="2716"/>
      <c r="D36" s="2717"/>
      <c r="E36" s="2718"/>
      <c r="F36" s="2719">
        <f>C36+D36+E36</f>
        <v>0</v>
      </c>
      <c r="G36" s="2573"/>
      <c r="H36" s="2580"/>
      <c r="I36" s="2581"/>
      <c r="J36" s="3491">
        <v>1</v>
      </c>
      <c r="K36" s="3492" t="s">
        <v>2427</v>
      </c>
      <c r="L36" s="2606"/>
      <c r="M36" s="2607"/>
      <c r="N36" s="2607"/>
      <c r="O36" s="2607"/>
      <c r="P36" s="2607"/>
      <c r="Q36" s="2607"/>
      <c r="R36" s="2590" t="s">
        <v>2339</v>
      </c>
      <c r="S36" s="2573"/>
      <c r="T36" s="2573" t="s">
        <v>2340</v>
      </c>
      <c r="U36" s="2573"/>
      <c r="V36" s="2581"/>
    </row>
    <row r="37" spans="1:23" s="2585" customFormat="1" ht="13.15" customHeight="1">
      <c r="A37" s="2661"/>
      <c r="B37" s="2662"/>
      <c r="C37" s="2662"/>
      <c r="D37" s="2662"/>
      <c r="E37" s="2662"/>
      <c r="F37" s="2666"/>
      <c r="G37" s="2573"/>
      <c r="H37" s="2580"/>
      <c r="I37" s="2581"/>
      <c r="J37" s="3491"/>
      <c r="K37" s="3493"/>
      <c r="L37" s="2615"/>
      <c r="M37" s="2616"/>
      <c r="N37" s="2592"/>
      <c r="O37" s="2617"/>
      <c r="P37" s="2617"/>
      <c r="Q37" s="2618"/>
      <c r="R37" s="2619"/>
      <c r="S37" s="2573"/>
      <c r="T37" s="2573" t="s">
        <v>2343</v>
      </c>
      <c r="U37" s="2573"/>
      <c r="V37" s="2581"/>
    </row>
    <row r="38" spans="1:23" s="2585" customFormat="1" ht="13.15" customHeight="1">
      <c r="A38" s="2661">
        <v>8</v>
      </c>
      <c r="B38" s="2662"/>
      <c r="C38" s="2621" t="e">
        <f>ROUND(C32*(1-((1+C35)/(1+C34))^C36)/(C34-C35),0)</f>
        <v>#DIV/0!</v>
      </c>
      <c r="D38" s="2621">
        <f>IF(D23=0,0,ROUND(D32*(1-((1+D35)/(1+D34))^D36)/(D34-D35),0))</f>
        <v>0</v>
      </c>
      <c r="E38" s="2621">
        <f>IF(E23=0,0,ROUND(E32*(1-((1+E35)/(1+E34))^E36)/(E34-E35),0))</f>
        <v>0</v>
      </c>
      <c r="F38" s="2666"/>
      <c r="G38" s="2573"/>
      <c r="H38" s="2580"/>
      <c r="I38" s="2581"/>
      <c r="J38" s="3491"/>
      <c r="K38" s="3493"/>
      <c r="L38" s="2615"/>
      <c r="M38" s="2616"/>
      <c r="N38" s="2592"/>
      <c r="O38" s="2617"/>
      <c r="P38" s="2617"/>
      <c r="Q38" s="2618"/>
      <c r="R38" s="2619"/>
      <c r="S38" s="2573"/>
      <c r="T38" s="2573" t="s">
        <v>2350</v>
      </c>
      <c r="U38" s="2573"/>
      <c r="V38" s="2581"/>
    </row>
    <row r="39" spans="1:23" s="2585" customFormat="1" ht="13.15" customHeight="1">
      <c r="A39" s="2661">
        <v>9</v>
      </c>
      <c r="B39" s="2662" t="s">
        <v>2428</v>
      </c>
      <c r="C39" s="2629" t="e">
        <f>C38</f>
        <v>#DIV/0!</v>
      </c>
      <c r="D39" s="2662">
        <f>D38/(1+D34)^C36</f>
        <v>0</v>
      </c>
      <c r="E39" s="2662">
        <f>E38/(1+E34)^(C36+D36)</f>
        <v>0</v>
      </c>
      <c r="F39" s="2666"/>
      <c r="G39" s="2581"/>
      <c r="H39" s="2580"/>
      <c r="I39" s="2581"/>
      <c r="J39" s="3491"/>
      <c r="K39" s="3493"/>
      <c r="L39" s="2615"/>
      <c r="M39" s="2616"/>
      <c r="N39" s="2592"/>
      <c r="O39" s="2617"/>
      <c r="P39" s="2617"/>
      <c r="Q39" s="2618"/>
      <c r="R39" s="2619"/>
      <c r="S39" s="2573"/>
      <c r="T39" s="2573"/>
      <c r="U39" s="2573"/>
      <c r="V39" s="2581"/>
    </row>
    <row r="40" spans="1:23" s="2585" customFormat="1" ht="13.15" customHeight="1">
      <c r="A40" s="2720">
        <v>10</v>
      </c>
      <c r="B40" s="2662" t="s">
        <v>2429</v>
      </c>
      <c r="C40" s="2721" t="e">
        <f>C39+D39+E39</f>
        <v>#DIV/0!</v>
      </c>
      <c r="D40" s="2722"/>
      <c r="E40" s="2722"/>
      <c r="F40" s="2723"/>
      <c r="G40" s="2573"/>
      <c r="H40" s="2580"/>
      <c r="I40" s="2581"/>
      <c r="J40" s="3491"/>
      <c r="K40" s="3494"/>
      <c r="L40" s="2635" t="s">
        <v>2368</v>
      </c>
      <c r="M40" s="2636"/>
      <c r="N40" s="2636"/>
      <c r="O40" s="2637"/>
      <c r="P40" s="2637"/>
      <c r="Q40" s="2638"/>
      <c r="R40" s="2584">
        <f>SUM(R37:R39)</f>
        <v>0</v>
      </c>
      <c r="S40" s="2573"/>
      <c r="T40" s="2573"/>
      <c r="U40" s="2573"/>
      <c r="V40" s="2581"/>
    </row>
    <row r="41" spans="1:23" s="2585" customFormat="1" ht="13.15" customHeight="1" thickBot="1">
      <c r="A41" s="2724">
        <v>11</v>
      </c>
      <c r="B41" s="2725" t="s">
        <v>2430</v>
      </c>
      <c r="C41" s="2725" t="e">
        <f>ROUND(C40*10000/B4,0)</f>
        <v>#DIV/0!</v>
      </c>
      <c r="D41" s="2726"/>
      <c r="E41" s="2726"/>
      <c r="F41" s="2727"/>
      <c r="G41" s="2580"/>
      <c r="H41" s="2580"/>
      <c r="I41" s="2581"/>
      <c r="J41" s="2674">
        <v>2</v>
      </c>
      <c r="K41" s="2675" t="s">
        <v>2408</v>
      </c>
      <c r="L41" s="2676"/>
      <c r="M41" s="2676"/>
      <c r="N41" s="2676"/>
      <c r="O41" s="2676"/>
      <c r="P41" s="2677"/>
      <c r="Q41" s="2678"/>
      <c r="R41" s="2651">
        <f>ROUND(R40*Q41,0)</f>
        <v>0</v>
      </c>
      <c r="S41" s="2573"/>
      <c r="T41" s="2573"/>
      <c r="U41" s="2624"/>
      <c r="V41" s="2581"/>
    </row>
    <row r="42" spans="1:23" s="2585" customFormat="1" ht="13.15" customHeight="1">
      <c r="G42" s="2580"/>
      <c r="H42" s="2580"/>
      <c r="I42" s="2581"/>
      <c r="J42" s="3495">
        <v>3</v>
      </c>
      <c r="K42" s="2681" t="s">
        <v>2410</v>
      </c>
      <c r="L42" s="2682"/>
      <c r="M42" s="2683"/>
      <c r="N42" s="2684" t="s">
        <v>2411</v>
      </c>
      <c r="O42" s="2684" t="s">
        <v>2412</v>
      </c>
      <c r="P42" s="2685" t="s">
        <v>2413</v>
      </c>
      <c r="Q42" s="2685" t="s">
        <v>2414</v>
      </c>
      <c r="R42" s="2590" t="s">
        <v>2339</v>
      </c>
      <c r="S42" s="2624"/>
      <c r="T42" s="2624"/>
      <c r="U42" s="2573"/>
      <c r="V42" s="2581"/>
    </row>
    <row r="43" spans="1:23" ht="13.15" customHeight="1">
      <c r="A43" s="2585"/>
      <c r="B43" s="2585"/>
      <c r="C43" s="2585"/>
      <c r="D43" s="2585"/>
      <c r="E43" s="2585"/>
      <c r="F43" s="2585"/>
      <c r="I43" s="2568"/>
      <c r="J43" s="3496"/>
      <c r="K43" s="2688"/>
      <c r="L43" s="2689"/>
      <c r="M43" s="2690"/>
      <c r="N43" s="2616"/>
      <c r="O43" s="2616"/>
      <c r="P43" s="2616"/>
      <c r="Q43" s="2678"/>
      <c r="R43" s="2651">
        <f>ROUND(O43*N43*P43*(1-Q43)/10000,0)</f>
        <v>0</v>
      </c>
      <c r="S43" s="2573"/>
      <c r="T43" s="2573"/>
      <c r="V43" s="2728"/>
      <c r="W43" s="2729"/>
    </row>
    <row r="44" spans="1:23" ht="13.15" customHeight="1" thickBot="1">
      <c r="J44" s="2693">
        <v>6</v>
      </c>
      <c r="K44" s="2694" t="s">
        <v>2417</v>
      </c>
      <c r="L44" s="2730" t="s">
        <v>2418</v>
      </c>
      <c r="M44" s="2696"/>
      <c r="N44" s="2730" t="s">
        <v>2419</v>
      </c>
      <c r="O44" s="2696"/>
      <c r="P44" s="2730" t="s">
        <v>2420</v>
      </c>
      <c r="Q44" s="2698">
        <v>1.4999999999999999E-2</v>
      </c>
      <c r="R44" s="26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7" t="s">
        <v>1652</v>
      </c>
      <c r="B1" s="1718"/>
      <c r="C1" s="1718"/>
      <c r="D1" s="1718"/>
      <c r="E1" s="1719"/>
      <c r="F1" s="2460"/>
      <c r="G1" s="453"/>
      <c r="H1" s="453"/>
      <c r="I1" s="453"/>
      <c r="J1" s="453"/>
      <c r="K1" s="453"/>
      <c r="L1" s="453"/>
      <c r="M1" s="453"/>
      <c r="N1" s="453"/>
      <c r="O1" s="453"/>
      <c r="P1" s="453"/>
      <c r="Q1" s="453"/>
      <c r="R1" s="453"/>
      <c r="S1" s="453"/>
    </row>
    <row r="2" spans="1:22" ht="15.75">
      <c r="A2" s="1720" t="s">
        <v>1456</v>
      </c>
      <c r="B2" s="804">
        <f ca="1">SUMIF(B6:B13,"&lt;&gt;#ref!",B6:B13)</f>
        <v>10052</v>
      </c>
      <c r="C2" s="1721" t="s">
        <v>1645</v>
      </c>
      <c r="D2" s="1722" t="s">
        <v>1646</v>
      </c>
      <c r="E2" s="2376">
        <f>SUM(E6:E13)</f>
        <v>5979.5300000000007</v>
      </c>
      <c r="F2" s="2460"/>
      <c r="G2" s="453"/>
      <c r="H2" s="453"/>
      <c r="I2" s="453"/>
      <c r="J2" s="453"/>
      <c r="K2" s="453"/>
      <c r="L2" s="453"/>
      <c r="M2" s="453"/>
      <c r="N2" s="453"/>
      <c r="O2" s="453"/>
      <c r="P2" s="453"/>
      <c r="Q2" s="453"/>
      <c r="R2" s="453"/>
      <c r="S2" s="453"/>
    </row>
    <row r="3" spans="1:22" ht="15.75">
      <c r="A3" s="1720" t="s">
        <v>683</v>
      </c>
      <c r="B3" s="2370">
        <f ca="1">ROUND(B2*10000/E2,0)</f>
        <v>16811</v>
      </c>
      <c r="C3" s="1721" t="s">
        <v>1653</v>
      </c>
      <c r="D3" s="2460"/>
      <c r="E3" s="2463"/>
      <c r="F3" s="2460"/>
      <c r="G3" s="453"/>
      <c r="H3" s="453"/>
      <c r="I3" s="453"/>
      <c r="J3" s="453"/>
      <c r="K3" s="453"/>
      <c r="L3" s="453"/>
      <c r="M3" s="453"/>
      <c r="N3" s="453"/>
      <c r="O3" s="453"/>
      <c r="P3" s="453"/>
      <c r="Q3" s="453"/>
      <c r="R3" s="453"/>
      <c r="S3" s="453"/>
    </row>
    <row r="4" spans="1:22" ht="15.75">
      <c r="A4" s="2464"/>
      <c r="B4" s="2460"/>
      <c r="C4" s="2460"/>
      <c r="D4" s="2460"/>
      <c r="E4" s="2463"/>
      <c r="F4" s="2460"/>
      <c r="G4" s="453"/>
      <c r="H4" s="453"/>
      <c r="I4" s="453"/>
      <c r="J4" s="453"/>
      <c r="K4" s="453"/>
      <c r="L4" s="453"/>
      <c r="M4" s="453"/>
      <c r="N4" s="453"/>
      <c r="O4" s="453"/>
      <c r="P4" s="453"/>
      <c r="Q4" s="453"/>
      <c r="R4" s="453"/>
      <c r="S4" s="453"/>
    </row>
    <row r="5" spans="1:22" ht="15">
      <c r="A5" s="2372" t="s">
        <v>1647</v>
      </c>
      <c r="B5" s="3510" t="s">
        <v>1648</v>
      </c>
      <c r="C5" s="3511"/>
      <c r="D5" s="2461"/>
      <c r="E5" s="1723" t="s">
        <v>1649</v>
      </c>
      <c r="F5" s="123" t="s">
        <v>1650</v>
      </c>
      <c r="G5" s="453"/>
      <c r="H5" s="453"/>
      <c r="I5" s="453"/>
      <c r="J5" s="453"/>
      <c r="K5" s="453"/>
      <c r="L5" s="453"/>
      <c r="M5" s="453"/>
      <c r="N5" s="453"/>
      <c r="O5" s="453"/>
      <c r="P5" s="453"/>
      <c r="Q5" s="453"/>
      <c r="R5" s="453"/>
      <c r="S5" s="453"/>
    </row>
    <row r="6" spans="1:22">
      <c r="A6" s="2373" t="str">
        <f>'数据-取费表'!AN6</f>
        <v>收益法-地下2层</v>
      </c>
      <c r="B6" s="2371">
        <f ca="1">IF(F6="是",'数据-取费表'!AO6,0)</f>
        <v>5833</v>
      </c>
      <c r="C6" s="1721" t="s">
        <v>1645</v>
      </c>
      <c r="D6" s="2460"/>
      <c r="E6" s="2375">
        <f>IF(OR(A6=0,F6="否"),0,'数据-取费表'!K6+'数据-取费表'!S6)</f>
        <v>2852.38</v>
      </c>
      <c r="F6" s="1724" t="s">
        <v>1651</v>
      </c>
      <c r="G6" s="453"/>
      <c r="H6" s="453"/>
      <c r="I6" s="453"/>
      <c r="J6" s="453"/>
      <c r="K6" s="453"/>
      <c r="L6" s="453"/>
      <c r="M6" s="453"/>
      <c r="N6" s="453"/>
      <c r="O6" s="453"/>
      <c r="P6" s="453"/>
      <c r="Q6" s="453"/>
      <c r="R6" s="453"/>
      <c r="S6" s="453"/>
    </row>
    <row r="7" spans="1:22">
      <c r="A7" s="2373" t="str">
        <f>'数据-取费表'!AN7</f>
        <v>收益法-地下3层</v>
      </c>
      <c r="B7" s="2371">
        <f ca="1">IF(F7="是",'数据-取费表'!AO7,0)</f>
        <v>4219</v>
      </c>
      <c r="C7" s="1721" t="s">
        <v>1645</v>
      </c>
      <c r="D7" s="2460"/>
      <c r="E7" s="2375">
        <f>IF(OR(A7=0,F7="否"),0,'数据-取费表'!K7+'数据-取费表'!S7)</f>
        <v>3127.15</v>
      </c>
      <c r="F7" s="1724" t="s">
        <v>1651</v>
      </c>
      <c r="G7" s="453"/>
      <c r="H7" s="453"/>
      <c r="I7" s="453"/>
      <c r="J7" s="453"/>
      <c r="K7" s="453"/>
      <c r="L7" s="453"/>
      <c r="M7" s="453"/>
      <c r="N7" s="453"/>
      <c r="O7" s="453"/>
      <c r="P7" s="453"/>
      <c r="Q7" s="453"/>
      <c r="R7" s="453"/>
      <c r="S7" s="453"/>
    </row>
    <row r="8" spans="1:22">
      <c r="A8" s="2373">
        <f>'数据-取费表'!AN8</f>
        <v>0</v>
      </c>
      <c r="B8" s="2371" t="e">
        <f ca="1">IF(F8="是",'数据-取费表'!AO8,0)</f>
        <v>#REF!</v>
      </c>
      <c r="C8" s="1721" t="s">
        <v>1645</v>
      </c>
      <c r="D8" s="2460"/>
      <c r="E8" s="2375">
        <f>IF(OR(A8=0,F8="否"),0,'数据-取费表'!K8+'数据-取费表'!S8)</f>
        <v>0</v>
      </c>
      <c r="F8" s="1724" t="s">
        <v>1651</v>
      </c>
      <c r="G8" s="453"/>
      <c r="H8" s="453"/>
      <c r="I8" s="453"/>
      <c r="J8" s="453"/>
      <c r="K8" s="453"/>
      <c r="L8" s="453"/>
      <c r="M8" s="453"/>
      <c r="N8" s="453"/>
      <c r="O8" s="453"/>
      <c r="P8" s="453"/>
      <c r="Q8" s="453"/>
      <c r="R8" s="453"/>
      <c r="S8" s="453"/>
    </row>
    <row r="9" spans="1:22">
      <c r="A9" s="2373">
        <f>'数据-取费表'!AN9</f>
        <v>0</v>
      </c>
      <c r="B9" s="2371" t="e">
        <f ca="1">IF(F9="是",'数据-取费表'!AO9,0)</f>
        <v>#REF!</v>
      </c>
      <c r="C9" s="1721" t="s">
        <v>1645</v>
      </c>
      <c r="D9" s="2460"/>
      <c r="E9" s="2375">
        <f>IF(OR(A9=0,F9="否"),0,'数据-取费表'!K9+'数据-取费表'!S9)</f>
        <v>0</v>
      </c>
      <c r="F9" s="1724" t="s">
        <v>1651</v>
      </c>
      <c r="G9" s="453"/>
      <c r="H9" s="453"/>
      <c r="I9" s="453"/>
      <c r="J9" s="453"/>
      <c r="K9" s="453"/>
      <c r="L9" s="453"/>
      <c r="M9" s="453"/>
      <c r="N9" s="453"/>
      <c r="O9" s="453"/>
      <c r="P9" s="453"/>
      <c r="Q9" s="453"/>
      <c r="R9" s="453"/>
      <c r="S9" s="453"/>
    </row>
    <row r="10" spans="1:22">
      <c r="A10" s="2373">
        <f>'数据-取费表'!AN10</f>
        <v>0</v>
      </c>
      <c r="B10" s="2371" t="e">
        <f ca="1">IF(F10="是",'数据-取费表'!AO10,0)</f>
        <v>#REF!</v>
      </c>
      <c r="C10" s="1721" t="s">
        <v>1645</v>
      </c>
      <c r="D10" s="2460"/>
      <c r="E10" s="2375">
        <f>IF(OR(A10=0,F10="否"),0,'数据-取费表'!K10+'数据-取费表'!S10)</f>
        <v>0</v>
      </c>
      <c r="F10" s="1724" t="s">
        <v>1651</v>
      </c>
      <c r="G10" s="453"/>
      <c r="H10" s="453"/>
      <c r="I10" s="453"/>
      <c r="J10" s="453"/>
      <c r="K10" s="453"/>
      <c r="L10" s="453"/>
      <c r="M10" s="453"/>
      <c r="N10" s="453"/>
      <c r="O10" s="453"/>
      <c r="P10" s="453"/>
      <c r="Q10" s="453"/>
      <c r="R10" s="453"/>
      <c r="S10" s="453"/>
    </row>
    <row r="11" spans="1:22">
      <c r="A11" s="2373">
        <f>'数据-取费表'!AN11</f>
        <v>0</v>
      </c>
      <c r="B11" s="2371" t="e">
        <f ca="1">IF(F11="是",'数据-取费表'!AO11,0)</f>
        <v>#REF!</v>
      </c>
      <c r="C11" s="1721" t="s">
        <v>1645</v>
      </c>
      <c r="D11" s="2460"/>
      <c r="E11" s="2375">
        <f>IF(OR(A11=0,F11="否"),0,'数据-取费表'!K11+'数据-取费表'!S11)</f>
        <v>0</v>
      </c>
      <c r="F11" s="1724" t="s">
        <v>1651</v>
      </c>
      <c r="G11" s="453"/>
      <c r="H11" s="453"/>
      <c r="I11" s="453"/>
      <c r="J11" s="453"/>
      <c r="K11" s="453"/>
      <c r="L11" s="453"/>
      <c r="M11" s="453"/>
      <c r="N11" s="453"/>
      <c r="O11" s="453"/>
      <c r="P11" s="453"/>
      <c r="Q11" s="453"/>
      <c r="R11" s="453"/>
      <c r="S11" s="453"/>
    </row>
    <row r="12" spans="1:22">
      <c r="A12" s="2373">
        <f>'数据-取费表'!AN12</f>
        <v>0</v>
      </c>
      <c r="B12" s="2371" t="e">
        <f ca="1">IF(F12="是",'数据-取费表'!AO12,0)</f>
        <v>#REF!</v>
      </c>
      <c r="C12" s="1721" t="s">
        <v>1645</v>
      </c>
      <c r="D12" s="2460"/>
      <c r="E12" s="2375">
        <f>IF(OR(A12=0,F12="否"),0,'数据-取费表'!K12+'数据-取费表'!S12)</f>
        <v>0</v>
      </c>
      <c r="F12" s="1724" t="s">
        <v>1651</v>
      </c>
      <c r="G12" s="453"/>
      <c r="H12" s="453"/>
      <c r="I12" s="453"/>
      <c r="J12" s="453"/>
      <c r="K12" s="453"/>
      <c r="L12" s="453"/>
      <c r="M12" s="453"/>
      <c r="N12" s="453"/>
      <c r="O12" s="453"/>
      <c r="P12" s="453"/>
      <c r="Q12" s="453"/>
      <c r="R12" s="453"/>
      <c r="S12" s="453"/>
    </row>
    <row r="13" spans="1:22" ht="15" thickBot="1">
      <c r="A13" s="2374">
        <f>'数据-取费表'!AN13</f>
        <v>0</v>
      </c>
      <c r="B13" s="2371" t="e">
        <f ca="1">IF(F13="是",'数据-取费表'!AO13,0)</f>
        <v>#REF!</v>
      </c>
      <c r="C13" s="1725" t="s">
        <v>1645</v>
      </c>
      <c r="D13" s="2462"/>
      <c r="E13" s="2375">
        <f>IF(OR(A13=0,F13="否"),0,'数据-取费表'!K13+'数据-取费表'!S13)</f>
        <v>0</v>
      </c>
      <c r="F13" s="1724" t="s">
        <v>1651</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1654</v>
      </c>
      <c r="B1" s="1726" t="s">
        <v>1655</v>
      </c>
      <c r="C1" s="1148" t="s">
        <v>1656</v>
      </c>
      <c r="D1" s="1135"/>
      <c r="E1" s="3105"/>
      <c r="F1" s="1727"/>
      <c r="G1" s="1145" t="s">
        <v>1657</v>
      </c>
      <c r="H1" s="1144"/>
      <c r="I1" s="1144"/>
      <c r="J1" s="1144"/>
      <c r="K1" s="1146"/>
      <c r="L1" s="1147"/>
      <c r="M1" s="1148"/>
      <c r="N1" s="1148"/>
      <c r="O1" s="1148"/>
      <c r="P1" s="1728"/>
      <c r="Q1" s="1134"/>
      <c r="R1" s="1134"/>
      <c r="S1" s="1134"/>
      <c r="T1" s="1134"/>
      <c r="U1" s="1134"/>
      <c r="V1" s="1134"/>
      <c r="W1" s="1134"/>
      <c r="X1" s="1134"/>
      <c r="Y1" s="1134"/>
      <c r="Z1" s="1134"/>
      <c r="AA1" s="1134"/>
      <c r="AB1" s="1134"/>
      <c r="AC1" s="1142"/>
    </row>
    <row r="2" spans="1:29" s="332" customFormat="1" ht="28.5" customHeight="1" thickTop="1">
      <c r="A2" s="1131" t="s">
        <v>682</v>
      </c>
      <c r="B2" s="3106" t="b">
        <f>IF(E1="项目模式",IF(C2="——",ROUND(C49*D3/10000,0),ROUND(C49*D3/10000,0)-D2),IF(E1="单套模式",IF(C2="——",ROUND(C49*D3/10000,4),ROUND(C49*D3/10000,4)-D2)))</f>
        <v>0</v>
      </c>
      <c r="C2" s="1729"/>
      <c r="D2" s="1045" t="e">
        <f ca="1">IF(E1="项目模式",SUMIF(INDIRECT("'"&amp;F2&amp;"'"&amp;"!A:A"),"承租人权益价值",INDIRECT("'"&amp;F2&amp;"'"&amp;"!c:c")),SUMIF(INDIRECT("'"&amp;F2&amp;"'"&amp;"!A:A"),"承租人权益价值（单套）",INDIRECT("'"&amp;F2&amp;"'"&amp;"!c:c")))</f>
        <v>#REF!</v>
      </c>
      <c r="E2" s="1730" t="s">
        <v>1658</v>
      </c>
      <c r="F2" s="1731"/>
      <c r="G2" s="847"/>
      <c r="H2" s="847"/>
      <c r="I2" s="847"/>
      <c r="J2" s="847"/>
      <c r="K2" s="1732"/>
      <c r="L2" s="2465"/>
      <c r="M2" s="2466"/>
      <c r="N2" s="2466"/>
      <c r="O2" s="2466"/>
      <c r="P2" s="1733"/>
      <c r="Q2" s="1734"/>
      <c r="R2" s="1734"/>
      <c r="S2" s="1734"/>
      <c r="T2" s="1734"/>
      <c r="U2" s="1734"/>
      <c r="V2" s="1734"/>
      <c r="W2" s="1734"/>
      <c r="X2" s="1734"/>
      <c r="Y2" s="1734"/>
      <c r="Z2" s="1734"/>
      <c r="AA2" s="1734"/>
      <c r="AB2" s="1734"/>
      <c r="AC2" s="991"/>
    </row>
    <row r="3" spans="1:29" s="332" customFormat="1" ht="28.5" customHeight="1" thickBot="1">
      <c r="A3" s="189" t="s">
        <v>683</v>
      </c>
      <c r="B3" s="337">
        <f>IF(C2="——",C49,ROUND(B2*10000/D3,0))</f>
        <v>0</v>
      </c>
      <c r="C3" s="338" t="s">
        <v>1659</v>
      </c>
      <c r="D3" s="337">
        <f>IF(D1="",'数据-汇总表'!E3,SUMIF('数据-汇总表'!$C19:$C33,D1,'数据-汇总表'!$E19:$E33))</f>
        <v>5979.5300000000007</v>
      </c>
      <c r="E3" s="847"/>
      <c r="F3" s="1735"/>
      <c r="G3" s="847"/>
      <c r="H3" s="847"/>
      <c r="I3" s="847"/>
      <c r="J3" s="847"/>
      <c r="K3" s="1732"/>
      <c r="L3" s="2465"/>
      <c r="M3" s="2466"/>
      <c r="N3" s="2466"/>
      <c r="O3" s="2466"/>
      <c r="P3" s="1733"/>
      <c r="Q3" s="1734"/>
      <c r="R3" s="1734"/>
      <c r="S3" s="1734"/>
      <c r="T3" s="1734"/>
      <c r="U3" s="1734"/>
      <c r="V3" s="1734"/>
      <c r="W3" s="1734"/>
      <c r="X3" s="1734"/>
      <c r="Y3" s="1734"/>
      <c r="Z3" s="1734"/>
      <c r="AA3" s="1734"/>
      <c r="AB3" s="1734"/>
      <c r="AC3" s="991"/>
    </row>
    <row r="4" spans="1:29" ht="15">
      <c r="A4" s="339" t="s">
        <v>1660</v>
      </c>
      <c r="B4" s="340"/>
      <c r="C4" s="3530" t="s">
        <v>1661</v>
      </c>
      <c r="D4" s="3531"/>
      <c r="E4" s="3532" t="s">
        <v>1662</v>
      </c>
      <c r="F4" s="3533"/>
      <c r="G4" s="3530" t="s">
        <v>1663</v>
      </c>
      <c r="H4" s="3531"/>
      <c r="I4" s="3530" t="s">
        <v>1664</v>
      </c>
      <c r="J4" s="3531"/>
      <c r="K4" s="1736" t="s">
        <v>1665</v>
      </c>
      <c r="L4" s="2467"/>
      <c r="M4" s="2468"/>
      <c r="N4" s="2468"/>
      <c r="O4" s="2468"/>
      <c r="P4" s="3534" t="s">
        <v>1666</v>
      </c>
      <c r="Q4" s="3535"/>
      <c r="R4" s="3540" t="s">
        <v>1662</v>
      </c>
      <c r="S4" s="3541"/>
      <c r="T4" s="3540" t="s">
        <v>1663</v>
      </c>
      <c r="U4" s="3541"/>
      <c r="V4" s="3516" t="s">
        <v>1664</v>
      </c>
      <c r="W4" s="3516"/>
      <c r="X4" s="1257"/>
      <c r="Y4" s="3540" t="s">
        <v>1666</v>
      </c>
      <c r="Z4" s="3541"/>
      <c r="AA4" s="3527" t="s">
        <v>1662</v>
      </c>
      <c r="AB4" s="3527" t="s">
        <v>1663</v>
      </c>
      <c r="AC4" s="3527" t="s">
        <v>1664</v>
      </c>
    </row>
    <row r="5" spans="1:29" ht="15">
      <c r="A5" s="342"/>
      <c r="B5" s="343"/>
      <c r="C5" s="3548" t="s">
        <v>1667</v>
      </c>
      <c r="D5" s="3549"/>
      <c r="E5" s="3555" t="s">
        <v>1668</v>
      </c>
      <c r="F5" s="3556"/>
      <c r="G5" s="3548" t="s">
        <v>1669</v>
      </c>
      <c r="H5" s="3549"/>
      <c r="I5" s="3548" t="s">
        <v>1670</v>
      </c>
      <c r="J5" s="3549"/>
      <c r="K5" s="1737"/>
      <c r="L5" s="2467"/>
      <c r="M5" s="2468"/>
      <c r="N5" s="2468"/>
      <c r="O5" s="2468"/>
      <c r="P5" s="3536"/>
      <c r="Q5" s="3537"/>
      <c r="R5" s="3542"/>
      <c r="S5" s="3543"/>
      <c r="T5" s="3542"/>
      <c r="U5" s="3543"/>
      <c r="V5" s="3516"/>
      <c r="W5" s="3516"/>
      <c r="X5" s="1257"/>
      <c r="Y5" s="3542"/>
      <c r="Z5" s="3543"/>
      <c r="AA5" s="3528"/>
      <c r="AB5" s="3528"/>
      <c r="AC5" s="3528"/>
    </row>
    <row r="6" spans="1:29" ht="15.75" thickBot="1">
      <c r="A6" s="344"/>
      <c r="B6" s="345"/>
      <c r="C6" s="3546" t="s">
        <v>1671</v>
      </c>
      <c r="D6" s="3547"/>
      <c r="E6" s="3553" t="s">
        <v>1671</v>
      </c>
      <c r="F6" s="3554"/>
      <c r="G6" s="3546" t="s">
        <v>1671</v>
      </c>
      <c r="H6" s="3547"/>
      <c r="I6" s="3546" t="s">
        <v>1671</v>
      </c>
      <c r="J6" s="3547"/>
      <c r="K6" s="1737" t="s">
        <v>1672</v>
      </c>
      <c r="L6" s="2467"/>
      <c r="M6" s="2468"/>
      <c r="N6" s="2468"/>
      <c r="O6" s="2468"/>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SUMIF(58:58,YEAR(E7)&amp;"-"&amp;MONTH(E7),59:59)</f>
        <v>0</v>
      </c>
      <c r="G7" s="350"/>
      <c r="H7" s="349">
        <f>SUMIF(58:58,YEAR(G7)&amp;"-"&amp;MONTH(G7),59:59)</f>
        <v>0</v>
      </c>
      <c r="I7" s="350"/>
      <c r="J7" s="349">
        <f>SUMIF(58:58,YEAR(I7)&amp;"-"&amp;MONTH(I7),59:59)</f>
        <v>0</v>
      </c>
      <c r="K7" s="1738"/>
      <c r="L7" s="2469"/>
      <c r="M7" s="2423"/>
      <c r="N7" s="2423"/>
      <c r="O7" s="2423"/>
      <c r="P7" s="3550" t="s">
        <v>1674</v>
      </c>
      <c r="Q7" s="3552"/>
      <c r="R7" s="656" t="s">
        <v>20</v>
      </c>
      <c r="S7" s="657">
        <f t="shared" ref="S7:S15" si="0">F7</f>
        <v>0</v>
      </c>
      <c r="T7" s="656" t="s">
        <v>20</v>
      </c>
      <c r="U7" s="657">
        <f t="shared" ref="U7:U15" si="1">H7</f>
        <v>0</v>
      </c>
      <c r="V7" s="656" t="s">
        <v>20</v>
      </c>
      <c r="W7" s="657">
        <f t="shared" ref="W7:W15" si="2">J7</f>
        <v>0</v>
      </c>
      <c r="X7" s="658"/>
      <c r="Y7" s="3550" t="s">
        <v>1674</v>
      </c>
      <c r="Z7" s="3551"/>
      <c r="AA7" s="50" t="e">
        <f>D7/F7</f>
        <v>#DIV/0!</v>
      </c>
      <c r="AB7" s="50" t="e">
        <f>D7/H7</f>
        <v>#DIV/0!</v>
      </c>
      <c r="AC7" s="50" t="e">
        <f>D7/J7</f>
        <v>#DIV/0!</v>
      </c>
    </row>
    <row r="8" spans="1:29" s="101" customFormat="1" ht="15.75" thickBot="1">
      <c r="A8" s="346" t="s">
        <v>1675</v>
      </c>
      <c r="B8" s="347"/>
      <c r="C8" s="352"/>
      <c r="D8" s="349">
        <v>100</v>
      </c>
      <c r="E8" s="1739"/>
      <c r="F8" s="351">
        <f>SUMIF(61:61,E8,62:62)-SUMIF(61:61,C8,62:62)+100</f>
        <v>100</v>
      </c>
      <c r="G8" s="352"/>
      <c r="H8" s="349">
        <f>SUMIF(61:61,G8,62:62)-SUMIF(61:61,C8,62:62)+100</f>
        <v>100</v>
      </c>
      <c r="I8" s="1739"/>
      <c r="J8" s="349">
        <f>SUMIF(61:61,I8,62:62)-SUMIF(61:61,C8,62:62)+100</f>
        <v>100</v>
      </c>
      <c r="K8" s="1738"/>
      <c r="L8" s="2469"/>
      <c r="M8" s="2423"/>
      <c r="N8" s="2423"/>
      <c r="O8" s="2423"/>
      <c r="P8" s="3550" t="s">
        <v>1677</v>
      </c>
      <c r="Q8" s="3551"/>
      <c r="R8" s="656" t="s">
        <v>20</v>
      </c>
      <c r="S8" s="657">
        <f t="shared" si="0"/>
        <v>100</v>
      </c>
      <c r="T8" s="656" t="s">
        <v>20</v>
      </c>
      <c r="U8" s="657">
        <f t="shared" si="1"/>
        <v>100</v>
      </c>
      <c r="V8" s="656" t="s">
        <v>20</v>
      </c>
      <c r="W8" s="657">
        <f t="shared" si="2"/>
        <v>100</v>
      </c>
      <c r="X8" s="658"/>
      <c r="Y8" s="3550" t="s">
        <v>1677</v>
      </c>
      <c r="Z8" s="3551"/>
      <c r="AA8" s="50">
        <f t="shared" ref="AA8:AA19" si="3">D8/F8</f>
        <v>1</v>
      </c>
      <c r="AB8" s="50">
        <f t="shared" ref="AB8:AB19" si="4">D8/H8</f>
        <v>1</v>
      </c>
      <c r="AC8" s="50">
        <f t="shared" ref="AC8:AC19" si="5">D8/J8</f>
        <v>1</v>
      </c>
    </row>
    <row r="9" spans="1:29" s="101" customFormat="1">
      <c r="A9" s="353" t="s">
        <v>1678</v>
      </c>
      <c r="B9" s="60" t="s">
        <v>1679</v>
      </c>
      <c r="C9" s="354"/>
      <c r="D9" s="59">
        <v>100</v>
      </c>
      <c r="E9" s="355"/>
      <c r="F9" s="60">
        <f>SUMIF(63:63,E9,64:64)-SUMIF(63:63,C9,64:64)+100</f>
        <v>100</v>
      </c>
      <c r="G9" s="356"/>
      <c r="H9" s="59">
        <f>SUMIF(63:63,G9,64:64)-SUMIF(63:63,C9,64:64)+100</f>
        <v>100</v>
      </c>
      <c r="I9" s="356"/>
      <c r="J9" s="59">
        <f>SUMIF(63:63,I9,64:64)-SUMIF(63:63,C9,64:64)+100</f>
        <v>100</v>
      </c>
      <c r="K9" s="1738"/>
      <c r="L9" s="2469"/>
      <c r="M9" s="2423"/>
      <c r="N9" s="2423"/>
      <c r="O9" s="2423"/>
      <c r="P9" s="3526"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50">
        <f t="shared" si="5"/>
        <v>1</v>
      </c>
    </row>
    <row r="10" spans="1:29" s="360" customFormat="1" ht="27">
      <c r="A10" s="357"/>
      <c r="B10" s="358" t="s">
        <v>1682</v>
      </c>
      <c r="C10" s="3113"/>
      <c r="D10" s="113">
        <v>100</v>
      </c>
      <c r="E10" s="3114"/>
      <c r="F10" s="358">
        <f>SUMIF(65:65,E10,66:66)-SUMIF(65:65,C10,66:66)+100</f>
        <v>100</v>
      </c>
      <c r="G10" s="3113"/>
      <c r="H10" s="113">
        <f>SUMIF(65:65,G10,66:66)-SUMIF(65:65,C10,66:66)+100</f>
        <v>100</v>
      </c>
      <c r="I10" s="3113"/>
      <c r="J10" s="113">
        <f>SUMIF(65:65,I10,66:66)-SUMIF(65:65,C10,66:66)+100</f>
        <v>100</v>
      </c>
      <c r="K10" s="1738"/>
      <c r="L10" s="2470"/>
      <c r="M10" s="2471"/>
      <c r="N10" s="2471"/>
      <c r="O10" s="2471"/>
      <c r="P10" s="3526"/>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50">
        <f t="shared" si="5"/>
        <v>1</v>
      </c>
    </row>
    <row r="11" spans="1:29" ht="15">
      <c r="A11" s="361"/>
      <c r="B11" s="358" t="s">
        <v>1683</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72"/>
      <c r="M11" s="2468"/>
      <c r="N11" s="2468"/>
      <c r="O11" s="2468"/>
      <c r="P11" s="3526"/>
      <c r="Q11" s="524" t="str">
        <f t="shared" si="6"/>
        <v>容积率</v>
      </c>
      <c r="R11" s="656" t="s">
        <v>18</v>
      </c>
      <c r="S11" s="657" t="e">
        <f t="shared" si="0"/>
        <v>#N/A</v>
      </c>
      <c r="T11" s="656" t="s">
        <v>18</v>
      </c>
      <c r="U11" s="657" t="e">
        <f t="shared" si="1"/>
        <v>#N/A</v>
      </c>
      <c r="V11" s="656" t="s">
        <v>18</v>
      </c>
      <c r="W11" s="657" t="e">
        <f t="shared" si="2"/>
        <v>#N/A</v>
      </c>
      <c r="X11" s="658"/>
      <c r="Y11" s="3367"/>
      <c r="Z11" s="50" t="str">
        <f t="shared" si="7"/>
        <v>容积率</v>
      </c>
      <c r="AA11" s="50" t="e">
        <f t="shared" si="3"/>
        <v>#N/A</v>
      </c>
      <c r="AB11" s="50" t="e">
        <f t="shared" si="4"/>
        <v>#N/A</v>
      </c>
      <c r="AC11" s="50" t="e">
        <f t="shared" si="5"/>
        <v>#N/A</v>
      </c>
    </row>
    <row r="12" spans="1:29" s="101"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40"/>
      <c r="L12" s="2469"/>
      <c r="M12" s="2423"/>
      <c r="N12" s="2423"/>
      <c r="O12" s="2423"/>
      <c r="P12" s="3526"/>
      <c r="Q12" s="524">
        <f t="shared" si="6"/>
        <v>111</v>
      </c>
      <c r="R12" s="656" t="s">
        <v>18</v>
      </c>
      <c r="S12" s="657">
        <f t="shared" si="0"/>
        <v>100</v>
      </c>
      <c r="T12" s="656" t="s">
        <v>18</v>
      </c>
      <c r="U12" s="657">
        <f t="shared" si="1"/>
        <v>100</v>
      </c>
      <c r="V12" s="656" t="s">
        <v>18</v>
      </c>
      <c r="W12" s="657">
        <f t="shared" si="2"/>
        <v>100</v>
      </c>
      <c r="X12" s="658"/>
      <c r="Y12" s="3367"/>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40"/>
      <c r="L13" s="2473"/>
      <c r="M13" s="2468"/>
      <c r="N13" s="2468"/>
      <c r="O13" s="2468"/>
      <c r="P13" s="3526"/>
      <c r="Q13" s="524">
        <f t="shared" si="6"/>
        <v>111</v>
      </c>
      <c r="R13" s="656" t="s">
        <v>18</v>
      </c>
      <c r="S13" s="657">
        <f t="shared" si="0"/>
        <v>100</v>
      </c>
      <c r="T13" s="656" t="s">
        <v>18</v>
      </c>
      <c r="U13" s="657">
        <f t="shared" si="1"/>
        <v>100</v>
      </c>
      <c r="V13" s="656" t="s">
        <v>18</v>
      </c>
      <c r="W13" s="657">
        <f t="shared" si="2"/>
        <v>100</v>
      </c>
      <c r="X13" s="658"/>
      <c r="Y13" s="3367"/>
      <c r="Z13" s="50">
        <f t="shared" si="7"/>
        <v>111</v>
      </c>
      <c r="AA13" s="50">
        <f t="shared" si="3"/>
        <v>1</v>
      </c>
      <c r="AB13" s="50">
        <f t="shared" si="4"/>
        <v>1</v>
      </c>
      <c r="AC13" s="50">
        <f t="shared" si="5"/>
        <v>1</v>
      </c>
    </row>
    <row r="14" spans="1:29" ht="15.75" thickBot="1">
      <c r="A14" s="369"/>
      <c r="B14" s="1741">
        <v>111</v>
      </c>
      <c r="C14" s="370"/>
      <c r="D14" s="371">
        <v>100</v>
      </c>
      <c r="E14" s="370"/>
      <c r="F14" s="372">
        <f>SUMIF(74:74,E14,75:75)-SUMIF(74:74,C14,75:75)+100</f>
        <v>100</v>
      </c>
      <c r="G14" s="370"/>
      <c r="H14" s="371">
        <f>SUMIF(74:74,G14,75:75)-SUMIF(74:74,C14,75:75)+100</f>
        <v>100</v>
      </c>
      <c r="I14" s="370"/>
      <c r="J14" s="371">
        <f>SUMIF(74:74,I14,75:75)-SUMIF(74:74,C14,75:75)+100</f>
        <v>100</v>
      </c>
      <c r="K14" s="1740"/>
      <c r="L14" s="2473"/>
      <c r="M14" s="2468"/>
      <c r="N14" s="2468"/>
      <c r="O14" s="2468"/>
      <c r="P14" s="3526"/>
      <c r="Q14" s="524">
        <f t="shared" si="6"/>
        <v>111</v>
      </c>
      <c r="R14" s="656" t="s">
        <v>18</v>
      </c>
      <c r="S14" s="657">
        <f t="shared" si="0"/>
        <v>100</v>
      </c>
      <c r="T14" s="656" t="s">
        <v>18</v>
      </c>
      <c r="U14" s="657">
        <f t="shared" si="1"/>
        <v>100</v>
      </c>
      <c r="V14" s="656" t="s">
        <v>18</v>
      </c>
      <c r="W14" s="657">
        <f t="shared" si="2"/>
        <v>100</v>
      </c>
      <c r="X14" s="658"/>
      <c r="Y14" s="3367"/>
      <c r="Z14" s="50">
        <f t="shared" si="7"/>
        <v>111</v>
      </c>
      <c r="AA14" s="50">
        <f t="shared" si="3"/>
        <v>1</v>
      </c>
      <c r="AB14" s="50">
        <f t="shared" si="4"/>
        <v>1</v>
      </c>
      <c r="AC14" s="50">
        <f t="shared" si="5"/>
        <v>1</v>
      </c>
    </row>
    <row r="15" spans="1:29" ht="85.5">
      <c r="A15" s="373" t="s">
        <v>1684</v>
      </c>
      <c r="B15" s="58" t="s">
        <v>1254</v>
      </c>
      <c r="C15" s="1742" t="str">
        <f>估价对象房地状况!C3</f>
        <v>估价对象周边居住用地比例、居住小区规模和社区发展完善程度，综合评价居住社区成熟度一般</v>
      </c>
      <c r="D15" s="374">
        <v>100</v>
      </c>
      <c r="E15" s="377"/>
      <c r="F15" s="374">
        <f>SUMIF(76:76,E16,77:77)-SUMIF(76:76,C16,77:77)+100</f>
        <v>100</v>
      </c>
      <c r="G15" s="375"/>
      <c r="H15" s="374">
        <f>SUMIF(76:76,G16,77:77)-SUMIF(76:76,C16,77:77)+100</f>
        <v>100</v>
      </c>
      <c r="I15" s="375"/>
      <c r="J15" s="374">
        <f>SUMIF(76:76,I16,77:77)-SUMIF(76:76,C16,77:77)+100</f>
        <v>100</v>
      </c>
      <c r="K15" s="378"/>
      <c r="L15" s="2473"/>
      <c r="M15" s="2468"/>
      <c r="N15" s="2468"/>
      <c r="O15" s="2468"/>
      <c r="P15" s="3524" t="s">
        <v>1685</v>
      </c>
      <c r="Q15" s="1255" t="str">
        <f t="shared" si="6"/>
        <v>居住社区成熟度</v>
      </c>
      <c r="R15" s="659" t="s">
        <v>18</v>
      </c>
      <c r="S15" s="660">
        <f t="shared" si="0"/>
        <v>100</v>
      </c>
      <c r="T15" s="659" t="s">
        <v>18</v>
      </c>
      <c r="U15" s="660">
        <f t="shared" si="1"/>
        <v>100</v>
      </c>
      <c r="V15" s="659" t="s">
        <v>18</v>
      </c>
      <c r="W15" s="660">
        <f t="shared" si="2"/>
        <v>100</v>
      </c>
      <c r="X15" s="1257"/>
      <c r="Y15" s="3517" t="s">
        <v>1685</v>
      </c>
      <c r="Z15" s="1256" t="str">
        <f t="shared" si="7"/>
        <v>居住社区成熟度</v>
      </c>
      <c r="AA15" s="1256">
        <f t="shared" si="3"/>
        <v>1</v>
      </c>
      <c r="AB15" s="1256">
        <f t="shared" si="4"/>
        <v>1</v>
      </c>
      <c r="AC15" s="1256">
        <f t="shared" si="5"/>
        <v>1</v>
      </c>
    </row>
    <row r="16" spans="1:29" ht="15">
      <c r="A16" s="361"/>
      <c r="B16" s="379"/>
      <c r="C16" s="380"/>
      <c r="D16" s="381"/>
      <c r="E16" s="1743"/>
      <c r="F16" s="381"/>
      <c r="G16" s="1744"/>
      <c r="H16" s="383"/>
      <c r="I16" s="1744"/>
      <c r="J16" s="381"/>
      <c r="K16" s="1745"/>
      <c r="L16" s="2473"/>
      <c r="M16" s="2468"/>
      <c r="N16" s="2468"/>
      <c r="O16" s="2468"/>
      <c r="P16" s="3525"/>
      <c r="Q16" s="1255"/>
      <c r="R16" s="659"/>
      <c r="S16" s="660"/>
      <c r="T16" s="659"/>
      <c r="U16" s="660"/>
      <c r="V16" s="659"/>
      <c r="W16" s="660"/>
      <c r="X16" s="1257"/>
      <c r="Y16" s="3518"/>
      <c r="Z16" s="1256"/>
      <c r="AA16" s="1256">
        <v>1</v>
      </c>
      <c r="AB16" s="1256">
        <v>1</v>
      </c>
      <c r="AC16" s="1256">
        <v>1</v>
      </c>
    </row>
    <row r="17" spans="1:29" ht="71.25">
      <c r="A17" s="361"/>
      <c r="B17" s="384" t="s">
        <v>1256</v>
      </c>
      <c r="C17" s="1746" t="str">
        <f>估价对象房地状况!C6</f>
        <v>估价对象周边道路状况、公共交通通达情况、停车便捷程度，综合评价交通便捷度较好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73"/>
      <c r="M17" s="2468"/>
      <c r="N17" s="2468"/>
      <c r="O17" s="2468"/>
      <c r="P17" s="3525"/>
      <c r="Q17" s="1255" t="str">
        <f>B17</f>
        <v>交通便捷度</v>
      </c>
      <c r="R17" s="659" t="s">
        <v>18</v>
      </c>
      <c r="S17" s="660">
        <f>F17</f>
        <v>100</v>
      </c>
      <c r="T17" s="659" t="s">
        <v>18</v>
      </c>
      <c r="U17" s="660">
        <f>H17</f>
        <v>100</v>
      </c>
      <c r="V17" s="659" t="s">
        <v>18</v>
      </c>
      <c r="W17" s="660">
        <f>J17</f>
        <v>100</v>
      </c>
      <c r="X17" s="1257"/>
      <c r="Y17" s="3518"/>
      <c r="Z17" s="1256" t="str">
        <f>Q17</f>
        <v>交通便捷度</v>
      </c>
      <c r="AA17" s="1256">
        <f t="shared" si="3"/>
        <v>1</v>
      </c>
      <c r="AB17" s="1256">
        <f t="shared" si="4"/>
        <v>1</v>
      </c>
      <c r="AC17" s="1256">
        <f t="shared" si="5"/>
        <v>1</v>
      </c>
    </row>
    <row r="18" spans="1:29" ht="15">
      <c r="A18" s="361"/>
      <c r="B18" s="389"/>
      <c r="C18" s="1747"/>
      <c r="D18" s="383"/>
      <c r="E18" s="1748"/>
      <c r="F18" s="383"/>
      <c r="G18" s="1749"/>
      <c r="H18" s="381"/>
      <c r="I18" s="1749"/>
      <c r="J18" s="381"/>
      <c r="K18" s="1745"/>
      <c r="L18" s="2473"/>
      <c r="M18" s="2468"/>
      <c r="N18" s="2468"/>
      <c r="O18" s="2468"/>
      <c r="P18" s="3525"/>
      <c r="Q18" s="1255"/>
      <c r="R18" s="659"/>
      <c r="S18" s="660"/>
      <c r="T18" s="659"/>
      <c r="U18" s="660"/>
      <c r="V18" s="659"/>
      <c r="W18" s="660"/>
      <c r="X18" s="1257"/>
      <c r="Y18" s="3518"/>
      <c r="Z18" s="1256"/>
      <c r="AA18" s="1256">
        <v>1</v>
      </c>
      <c r="AB18" s="1256">
        <v>1</v>
      </c>
      <c r="AC18" s="1256">
        <v>1</v>
      </c>
    </row>
    <row r="19" spans="1:29" ht="42.75">
      <c r="A19" s="361"/>
      <c r="B19" s="384" t="s">
        <v>1255</v>
      </c>
      <c r="C19" s="1746" t="str">
        <f>估价对象房地状况!C7</f>
        <v>估价对象所在区域公共配套设施齐备情况</v>
      </c>
      <c r="D19" s="388">
        <v>100</v>
      </c>
      <c r="E19" s="392"/>
      <c r="F19" s="388">
        <f>SUMIF(80:80,E20,81:81)-SUMIF(80:80,C20,81:81)+100</f>
        <v>100</v>
      </c>
      <c r="G19" s="390"/>
      <c r="H19" s="383">
        <f>SUMIF(80:80,G20,81:81)-SUMIF(80:80,C20,81:81)+100</f>
        <v>100</v>
      </c>
      <c r="I19" s="390"/>
      <c r="J19" s="383">
        <f>SUMIF(80:80,I20,81:81)-SUMIF(80:80,C20,81:81)+100</f>
        <v>100</v>
      </c>
      <c r="K19" s="378"/>
      <c r="L19" s="2473"/>
      <c r="M19" s="2468"/>
      <c r="N19" s="2468"/>
      <c r="O19" s="2468"/>
      <c r="P19" s="3525"/>
      <c r="Q19" s="1255" t="str">
        <f>B19</f>
        <v>公共配套设施</v>
      </c>
      <c r="R19" s="659" t="s">
        <v>18</v>
      </c>
      <c r="S19" s="660">
        <f>F19</f>
        <v>100</v>
      </c>
      <c r="T19" s="659" t="s">
        <v>18</v>
      </c>
      <c r="U19" s="660">
        <f>H19</f>
        <v>100</v>
      </c>
      <c r="V19" s="659" t="s">
        <v>18</v>
      </c>
      <c r="W19" s="660">
        <f>J19</f>
        <v>100</v>
      </c>
      <c r="X19" s="1257"/>
      <c r="Y19" s="3518"/>
      <c r="Z19" s="1256" t="str">
        <f>Q19</f>
        <v>公共配套设施</v>
      </c>
      <c r="AA19" s="1256">
        <f t="shared" si="3"/>
        <v>1</v>
      </c>
      <c r="AB19" s="1256">
        <f t="shared" si="4"/>
        <v>1</v>
      </c>
      <c r="AC19" s="1256">
        <f t="shared" si="5"/>
        <v>1</v>
      </c>
    </row>
    <row r="20" spans="1:29" ht="15">
      <c r="A20" s="361"/>
      <c r="B20" s="389"/>
      <c r="C20" s="380"/>
      <c r="D20" s="381"/>
      <c r="E20" s="1743"/>
      <c r="F20" s="381"/>
      <c r="G20" s="1744"/>
      <c r="H20" s="381"/>
      <c r="I20" s="1744"/>
      <c r="J20" s="381"/>
      <c r="K20" s="1745"/>
      <c r="L20" s="2473"/>
      <c r="M20" s="2468"/>
      <c r="N20" s="2468"/>
      <c r="O20" s="2468"/>
      <c r="P20" s="3525"/>
      <c r="Q20" s="1255"/>
      <c r="R20" s="659"/>
      <c r="S20" s="660"/>
      <c r="T20" s="659"/>
      <c r="U20" s="660"/>
      <c r="V20" s="659"/>
      <c r="W20" s="660"/>
      <c r="X20" s="1257"/>
      <c r="Y20" s="3518"/>
      <c r="Z20" s="1256"/>
      <c r="AA20" s="1256">
        <v>1</v>
      </c>
      <c r="AB20" s="1256">
        <v>1</v>
      </c>
      <c r="AC20" s="1256">
        <v>1</v>
      </c>
    </row>
    <row r="21" spans="1:29" ht="28.5">
      <c r="A21" s="361"/>
      <c r="B21" s="580" t="s">
        <v>1257</v>
      </c>
      <c r="C21" s="1746" t="str">
        <f>估价对象房地状况!C8</f>
        <v>估价对象所在区域基础设施水平</v>
      </c>
      <c r="D21" s="383">
        <v>100</v>
      </c>
      <c r="E21" s="392"/>
      <c r="F21" s="388">
        <f>SUMIF(82:82,E22,83:83)-SUMIF(82:82,C22,83:83)+100</f>
        <v>100</v>
      </c>
      <c r="G21" s="390"/>
      <c r="H21" s="383">
        <f>SUMIF(82:82,G22,83:83)-SUMIF(82:82,C22,83:83)+100</f>
        <v>100</v>
      </c>
      <c r="I21" s="390"/>
      <c r="J21" s="383">
        <f>SUMIF(82:82,I22,83:83)-SUMIF(82:82,C22,83:83)+100</f>
        <v>100</v>
      </c>
      <c r="K21" s="378"/>
      <c r="L21" s="2473"/>
      <c r="M21" s="2468"/>
      <c r="N21" s="2468"/>
      <c r="O21" s="2468"/>
      <c r="P21" s="3525"/>
      <c r="Q21" s="1255" t="str">
        <f>B21</f>
        <v>基础设施水平</v>
      </c>
      <c r="R21" s="659" t="s">
        <v>14</v>
      </c>
      <c r="S21" s="660">
        <f>F21</f>
        <v>100</v>
      </c>
      <c r="T21" s="659" t="s">
        <v>14</v>
      </c>
      <c r="U21" s="660">
        <f>H21</f>
        <v>100</v>
      </c>
      <c r="V21" s="659" t="s">
        <v>14</v>
      </c>
      <c r="W21" s="660">
        <f>J21</f>
        <v>100</v>
      </c>
      <c r="X21" s="1257"/>
      <c r="Y21" s="3518"/>
      <c r="Z21" s="1256" t="str">
        <f>Q21</f>
        <v>基础设施水平</v>
      </c>
      <c r="AA21" s="1256">
        <f t="shared" ref="AA21" si="8">D21/F21</f>
        <v>1</v>
      </c>
      <c r="AB21" s="1256">
        <f t="shared" ref="AB21" si="9">D21/H21</f>
        <v>1</v>
      </c>
      <c r="AC21" s="1256">
        <f t="shared" ref="AC21" si="10">D21/J21</f>
        <v>1</v>
      </c>
    </row>
    <row r="22" spans="1:29" ht="15">
      <c r="A22" s="361"/>
      <c r="B22" s="580"/>
      <c r="C22" s="1747"/>
      <c r="D22" s="381"/>
      <c r="E22" s="380"/>
      <c r="F22" s="381"/>
      <c r="G22" s="1750"/>
      <c r="H22" s="381"/>
      <c r="I22" s="380"/>
      <c r="J22" s="381"/>
      <c r="K22" s="1751"/>
      <c r="L22" s="2473"/>
      <c r="M22" s="2468"/>
      <c r="N22" s="2468"/>
      <c r="O22" s="2468"/>
      <c r="P22" s="3525"/>
      <c r="Q22" s="1255"/>
      <c r="R22" s="659"/>
      <c r="S22" s="660"/>
      <c r="T22" s="659"/>
      <c r="U22" s="660"/>
      <c r="V22" s="659"/>
      <c r="W22" s="660"/>
      <c r="X22" s="1257"/>
      <c r="Y22" s="3518"/>
      <c r="Z22" s="1256"/>
      <c r="AA22" s="1256">
        <v>1</v>
      </c>
      <c r="AB22" s="1256">
        <v>1</v>
      </c>
      <c r="AC22" s="1256">
        <v>1</v>
      </c>
    </row>
    <row r="23" spans="1:29" ht="42.75">
      <c r="A23" s="361"/>
      <c r="B23" s="384" t="s">
        <v>1258</v>
      </c>
      <c r="C23" s="1746" t="str">
        <f>估价对象房地状况!C9</f>
        <v>区域自然环境：；人文环境；综合评价环境状况一般</v>
      </c>
      <c r="D23" s="383">
        <v>100</v>
      </c>
      <c r="E23" s="387"/>
      <c r="F23" s="383">
        <f>SUMIF(84:84,E24,85:85)-SUMIF(84:84,C24,85:85)+100</f>
        <v>100</v>
      </c>
      <c r="G23" s="385"/>
      <c r="H23" s="383">
        <f>SUMIF(84:84,G24,85:85)-SUMIF(84:84,C24,85:85)+100</f>
        <v>100</v>
      </c>
      <c r="I23" s="385"/>
      <c r="J23" s="383">
        <f>SUMIF(84:84,I24,85:85)-SUMIF(84:84,C24,85:85)+100</f>
        <v>100</v>
      </c>
      <c r="K23" s="378"/>
      <c r="L23" s="2473"/>
      <c r="M23" s="2468"/>
      <c r="N23" s="2468"/>
      <c r="O23" s="2468"/>
      <c r="P23" s="3525"/>
      <c r="Q23" s="1255" t="str">
        <f>B23</f>
        <v>自然及人文环境</v>
      </c>
      <c r="R23" s="659" t="s">
        <v>18</v>
      </c>
      <c r="S23" s="660">
        <f>F23</f>
        <v>100</v>
      </c>
      <c r="T23" s="659" t="s">
        <v>18</v>
      </c>
      <c r="U23" s="660">
        <f>H23</f>
        <v>100</v>
      </c>
      <c r="V23" s="659" t="s">
        <v>18</v>
      </c>
      <c r="W23" s="660">
        <f>J23</f>
        <v>100</v>
      </c>
      <c r="X23" s="1257"/>
      <c r="Y23" s="3518"/>
      <c r="Z23" s="1256" t="str">
        <f>Q23</f>
        <v>自然及人文环境</v>
      </c>
      <c r="AA23" s="1256">
        <f>D23/F23</f>
        <v>1</v>
      </c>
      <c r="AB23" s="1256">
        <f>D23/H23</f>
        <v>1</v>
      </c>
      <c r="AC23" s="1256">
        <f>D23/J23</f>
        <v>1</v>
      </c>
    </row>
    <row r="24" spans="1:29" ht="15">
      <c r="A24" s="361"/>
      <c r="B24" s="389"/>
      <c r="C24" s="380"/>
      <c r="D24" s="381"/>
      <c r="E24" s="1743"/>
      <c r="F24" s="381"/>
      <c r="G24" s="1744"/>
      <c r="H24" s="381"/>
      <c r="I24" s="1744"/>
      <c r="J24" s="381"/>
      <c r="K24" s="1745"/>
      <c r="L24" s="2473"/>
      <c r="M24" s="2468"/>
      <c r="N24" s="2468"/>
      <c r="O24" s="2468"/>
      <c r="P24" s="3525"/>
      <c r="Q24" s="1255"/>
      <c r="R24" s="659"/>
      <c r="S24" s="660"/>
      <c r="T24" s="659"/>
      <c r="U24" s="660"/>
      <c r="V24" s="659"/>
      <c r="W24" s="660"/>
      <c r="X24" s="1257"/>
      <c r="Y24" s="3518"/>
      <c r="Z24" s="1256"/>
      <c r="AA24" s="1256">
        <v>1</v>
      </c>
      <c r="AB24" s="1256">
        <v>1</v>
      </c>
      <c r="AC24" s="1256">
        <v>1</v>
      </c>
    </row>
    <row r="25" spans="1:29" ht="15">
      <c r="A25" s="361"/>
      <c r="B25" s="358" t="s">
        <v>1686</v>
      </c>
      <c r="C25" s="393"/>
      <c r="D25" s="368">
        <v>100</v>
      </c>
      <c r="E25" s="1752"/>
      <c r="F25" s="368">
        <f>SUMIF(86:86,E25,87:87)-SUMIF(86:86,C25,87:87)+100</f>
        <v>100</v>
      </c>
      <c r="G25" s="1753"/>
      <c r="H25" s="368">
        <f>SUMIF(86:86,G25,87:87)-SUMIF(86:86,C25,87:87)+100</f>
        <v>100</v>
      </c>
      <c r="I25" s="1753"/>
      <c r="J25" s="368">
        <f>SUMIF(86:86,I25,87:87)-SUMIF(86:86,C25,87:87)+100</f>
        <v>100</v>
      </c>
      <c r="K25" s="359"/>
      <c r="L25" s="2473"/>
      <c r="M25" s="2468"/>
      <c r="N25" s="2468"/>
      <c r="O25" s="2468"/>
      <c r="P25" s="3525"/>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518"/>
      <c r="Z25" s="1256" t="str">
        <f>Q25</f>
        <v>楼层-1</v>
      </c>
      <c r="AA25" s="1256">
        <f t="shared" ref="AA25:AA46" si="15">D25/F25</f>
        <v>1</v>
      </c>
      <c r="AB25" s="1256">
        <f t="shared" ref="AB25:AB46" si="16">D25/H25</f>
        <v>1</v>
      </c>
      <c r="AC25" s="1256">
        <f t="shared" ref="AC25:AC46" si="17">D25/J25</f>
        <v>1</v>
      </c>
    </row>
    <row r="26" spans="1:29" ht="15">
      <c r="A26" s="361"/>
      <c r="B26" s="358" t="s">
        <v>1687</v>
      </c>
      <c r="C26" s="393"/>
      <c r="D26" s="368">
        <v>100</v>
      </c>
      <c r="E26" s="1752"/>
      <c r="F26" s="368">
        <f>SUMIF(88:88,E26,89:89)-SUMIF(88:88,C26,89:89)+100</f>
        <v>100</v>
      </c>
      <c r="G26" s="1753"/>
      <c r="H26" s="368">
        <f>SUMIF(88:88,G26,89:89)-SUMIF(88:88,C26,89:89)+100</f>
        <v>100</v>
      </c>
      <c r="I26" s="1753"/>
      <c r="J26" s="368">
        <f>SUMIF(88:88,I26,89:89)-SUMIF(88:88,C26,89:89)+100</f>
        <v>100</v>
      </c>
      <c r="K26" s="359"/>
      <c r="L26" s="2473"/>
      <c r="M26" s="2468"/>
      <c r="N26" s="2468"/>
      <c r="O26" s="2468"/>
      <c r="P26" s="3525"/>
      <c r="Q26" s="1255" t="str">
        <f t="shared" si="11"/>
        <v>朝向</v>
      </c>
      <c r="R26" s="659" t="s">
        <v>18</v>
      </c>
      <c r="S26" s="660">
        <f t="shared" si="12"/>
        <v>100</v>
      </c>
      <c r="T26" s="659" t="s">
        <v>18</v>
      </c>
      <c r="U26" s="660">
        <f t="shared" si="13"/>
        <v>100</v>
      </c>
      <c r="V26" s="659" t="s">
        <v>18</v>
      </c>
      <c r="W26" s="660">
        <f t="shared" si="14"/>
        <v>100</v>
      </c>
      <c r="X26" s="1257"/>
      <c r="Y26" s="3518"/>
      <c r="Z26" s="1256" t="str">
        <f>Q26</f>
        <v>朝向</v>
      </c>
      <c r="AA26" s="1256">
        <f t="shared" si="15"/>
        <v>1</v>
      </c>
      <c r="AB26" s="1256">
        <f t="shared" si="16"/>
        <v>1</v>
      </c>
      <c r="AC26" s="1256">
        <f t="shared" si="17"/>
        <v>1</v>
      </c>
    </row>
    <row r="27" spans="1:29" s="101"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40"/>
      <c r="L27" s="2469"/>
      <c r="M27" s="2423"/>
      <c r="N27" s="2423"/>
      <c r="O27" s="2423"/>
      <c r="P27" s="3525"/>
      <c r="Q27" s="524">
        <f t="shared" si="11"/>
        <v>111</v>
      </c>
      <c r="R27" s="656" t="s">
        <v>18</v>
      </c>
      <c r="S27" s="657">
        <f t="shared" si="12"/>
        <v>100</v>
      </c>
      <c r="T27" s="656" t="s">
        <v>18</v>
      </c>
      <c r="U27" s="657">
        <f t="shared" si="13"/>
        <v>100</v>
      </c>
      <c r="V27" s="656" t="s">
        <v>18</v>
      </c>
      <c r="W27" s="657">
        <f t="shared" si="14"/>
        <v>100</v>
      </c>
      <c r="X27" s="658"/>
      <c r="Y27" s="3518"/>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4"/>
      <c r="H28" s="368">
        <f>SUMIF(92:92,G28,93:93)-SUMIF(92:92,C28,93:93)+100</f>
        <v>100</v>
      </c>
      <c r="I28" s="367"/>
      <c r="J28" s="368">
        <f>SUMIF(92:92,I28,93:93)-SUMIF(92:92,C28,93:93)+100</f>
        <v>100</v>
      </c>
      <c r="K28" s="1740"/>
      <c r="L28" s="2473"/>
      <c r="M28" s="2468"/>
      <c r="N28" s="2468"/>
      <c r="O28" s="2468"/>
      <c r="P28" s="3525"/>
      <c r="Q28" s="1255">
        <f t="shared" si="11"/>
        <v>111</v>
      </c>
      <c r="R28" s="659" t="s">
        <v>18</v>
      </c>
      <c r="S28" s="660">
        <f t="shared" si="12"/>
        <v>100</v>
      </c>
      <c r="T28" s="659" t="s">
        <v>18</v>
      </c>
      <c r="U28" s="660">
        <f t="shared" si="13"/>
        <v>100</v>
      </c>
      <c r="V28" s="659" t="s">
        <v>18</v>
      </c>
      <c r="W28" s="660">
        <f t="shared" si="14"/>
        <v>100</v>
      </c>
      <c r="X28" s="1257"/>
      <c r="Y28" s="3518"/>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4"/>
      <c r="H29" s="368">
        <f>SUMIF(94:94,G29,95:95)-SUMIF(94:94,C29,95:95)+100</f>
        <v>100</v>
      </c>
      <c r="I29" s="367"/>
      <c r="J29" s="368">
        <f>SUMIF(94:94,I29,95:95)-SUMIF(94:94,C29,95:95)+100</f>
        <v>100</v>
      </c>
      <c r="K29" s="1740"/>
      <c r="L29" s="2473"/>
      <c r="M29" s="2468"/>
      <c r="N29" s="2468"/>
      <c r="O29" s="2468"/>
      <c r="P29" s="3525"/>
      <c r="Q29" s="1255">
        <f t="shared" si="11"/>
        <v>111</v>
      </c>
      <c r="R29" s="659" t="s">
        <v>18</v>
      </c>
      <c r="S29" s="660">
        <f t="shared" si="12"/>
        <v>100</v>
      </c>
      <c r="T29" s="659" t="s">
        <v>18</v>
      </c>
      <c r="U29" s="660">
        <f t="shared" si="13"/>
        <v>100</v>
      </c>
      <c r="V29" s="659" t="s">
        <v>18</v>
      </c>
      <c r="W29" s="660">
        <f t="shared" si="14"/>
        <v>100</v>
      </c>
      <c r="X29" s="1257"/>
      <c r="Y29" s="3518"/>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4"/>
      <c r="H30" s="368">
        <f>SUMIF(96:96,G30,97:97)-SUMIF(96:96,C30,97:97)+100</f>
        <v>100</v>
      </c>
      <c r="I30" s="367"/>
      <c r="J30" s="368">
        <f>SUMIF(96:96,I30,97:97)-SUMIF(96:96,C30,97:97)+100</f>
        <v>100</v>
      </c>
      <c r="K30" s="1740"/>
      <c r="L30" s="2473"/>
      <c r="M30" s="2468"/>
      <c r="N30" s="2468"/>
      <c r="O30" s="2468"/>
      <c r="P30" s="3525"/>
      <c r="Q30" s="1255">
        <f t="shared" si="11"/>
        <v>111</v>
      </c>
      <c r="R30" s="659" t="s">
        <v>18</v>
      </c>
      <c r="S30" s="660">
        <f t="shared" si="12"/>
        <v>100</v>
      </c>
      <c r="T30" s="659" t="s">
        <v>18</v>
      </c>
      <c r="U30" s="660">
        <f t="shared" si="13"/>
        <v>100</v>
      </c>
      <c r="V30" s="659" t="s">
        <v>18</v>
      </c>
      <c r="W30" s="660">
        <f t="shared" si="14"/>
        <v>100</v>
      </c>
      <c r="X30" s="1257"/>
      <c r="Y30" s="3518"/>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5"/>
      <c r="H31" s="371">
        <f>SUMIF(98:98,G31,99:99)-SUMIF(98:98,C31,99:99)+100</f>
        <v>100</v>
      </c>
      <c r="I31" s="370"/>
      <c r="J31" s="371">
        <f>SUMIF(98:98,I31,99:99)-SUMIF(98:98,C31,99:99)+100</f>
        <v>100</v>
      </c>
      <c r="K31" s="1740"/>
      <c r="L31" s="2473"/>
      <c r="M31" s="2468"/>
      <c r="N31" s="2468"/>
      <c r="O31" s="2468"/>
      <c r="P31" s="3525"/>
      <c r="Q31" s="1255">
        <f t="shared" si="11"/>
        <v>111</v>
      </c>
      <c r="R31" s="659" t="s">
        <v>18</v>
      </c>
      <c r="S31" s="660">
        <f t="shared" si="12"/>
        <v>100</v>
      </c>
      <c r="T31" s="659" t="s">
        <v>18</v>
      </c>
      <c r="U31" s="660">
        <f t="shared" si="13"/>
        <v>100</v>
      </c>
      <c r="V31" s="659" t="s">
        <v>18</v>
      </c>
      <c r="W31" s="660">
        <f t="shared" si="14"/>
        <v>100</v>
      </c>
      <c r="X31" s="1257"/>
      <c r="Y31" s="3518"/>
      <c r="Z31" s="1256">
        <f t="shared" si="18"/>
        <v>111</v>
      </c>
      <c r="AA31" s="1256">
        <f t="shared" si="15"/>
        <v>1</v>
      </c>
      <c r="AB31" s="1256">
        <f t="shared" si="16"/>
        <v>1</v>
      </c>
      <c r="AC31" s="1256">
        <f t="shared" si="17"/>
        <v>1</v>
      </c>
    </row>
    <row r="32" spans="1:29" ht="15">
      <c r="A32" s="373" t="s">
        <v>1688</v>
      </c>
      <c r="B32" s="60" t="s">
        <v>1689</v>
      </c>
      <c r="C32" s="1756"/>
      <c r="D32" s="399">
        <v>100</v>
      </c>
      <c r="E32" s="1757"/>
      <c r="F32" s="394">
        <f>SUMIF(100:100,E32,101:101)-SUMIF(100:100,C32,101:101)+100</f>
        <v>100</v>
      </c>
      <c r="G32" s="1756"/>
      <c r="H32" s="399">
        <f>SUMIF(100:100,G32,101:101)-SUMIF(100:100,C32,101:101)+100</f>
        <v>100</v>
      </c>
      <c r="I32" s="1757"/>
      <c r="J32" s="368">
        <f>SUMIF(100:100,I32,101:101)-SUMIF(100:100,C32,101:101)+100</f>
        <v>100</v>
      </c>
      <c r="K32" s="359"/>
      <c r="L32" s="2473"/>
      <c r="M32" s="2468"/>
      <c r="N32" s="2468"/>
      <c r="O32" s="2468"/>
      <c r="P32" s="3519" t="s">
        <v>1690</v>
      </c>
      <c r="Q32" s="1255" t="str">
        <f t="shared" si="11"/>
        <v>建筑类型</v>
      </c>
      <c r="R32" s="659" t="s">
        <v>18</v>
      </c>
      <c r="S32" s="660">
        <f t="shared" si="12"/>
        <v>100</v>
      </c>
      <c r="T32" s="659" t="s">
        <v>18</v>
      </c>
      <c r="U32" s="660">
        <f t="shared" si="13"/>
        <v>100</v>
      </c>
      <c r="V32" s="659" t="s">
        <v>18</v>
      </c>
      <c r="W32" s="660">
        <f t="shared" si="14"/>
        <v>100</v>
      </c>
      <c r="X32" s="1257"/>
      <c r="Y32" s="3522" t="s">
        <v>1690</v>
      </c>
      <c r="Z32" s="1256" t="str">
        <f t="shared" si="18"/>
        <v>建筑类型</v>
      </c>
      <c r="AA32" s="1256">
        <f t="shared" si="15"/>
        <v>1</v>
      </c>
      <c r="AB32" s="1256">
        <f t="shared" si="16"/>
        <v>1</v>
      </c>
      <c r="AC32" s="1256">
        <f t="shared" si="17"/>
        <v>1</v>
      </c>
    </row>
    <row r="33" spans="1:29" s="402" customFormat="1" ht="15">
      <c r="A33" s="400"/>
      <c r="B33" s="358" t="s">
        <v>1691</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40"/>
      <c r="L33" s="2472"/>
      <c r="M33" s="2474"/>
      <c r="N33" s="2474"/>
      <c r="O33" s="2474"/>
      <c r="P33" s="3520"/>
      <c r="Q33" s="525" t="str">
        <f t="shared" si="11"/>
        <v>项目建筑规模</v>
      </c>
      <c r="R33" s="661" t="s">
        <v>18</v>
      </c>
      <c r="S33" s="662" t="e">
        <f t="shared" si="12"/>
        <v>#N/A</v>
      </c>
      <c r="T33" s="661" t="s">
        <v>18</v>
      </c>
      <c r="U33" s="662" t="e">
        <f t="shared" si="13"/>
        <v>#N/A</v>
      </c>
      <c r="V33" s="661" t="s">
        <v>18</v>
      </c>
      <c r="W33" s="662" t="e">
        <f t="shared" si="14"/>
        <v>#N/A</v>
      </c>
      <c r="X33" s="663"/>
      <c r="Y33" s="3522"/>
      <c r="Z33" s="664" t="str">
        <f t="shared" si="18"/>
        <v>项目建筑规模</v>
      </c>
      <c r="AA33" s="1256" t="e">
        <f t="shared" si="15"/>
        <v>#N/A</v>
      </c>
      <c r="AB33" s="1256" t="e">
        <f t="shared" si="16"/>
        <v>#N/A</v>
      </c>
      <c r="AC33" s="1256" t="e">
        <f t="shared" si="17"/>
        <v>#N/A</v>
      </c>
    </row>
    <row r="34" spans="1:29" ht="15">
      <c r="A34" s="403"/>
      <c r="B34" s="358" t="s">
        <v>1692</v>
      </c>
      <c r="C34" s="393"/>
      <c r="D34" s="368">
        <v>100</v>
      </c>
      <c r="E34" s="1758"/>
      <c r="F34" s="394">
        <f>SUMIF(105:105,E34,106:106)-SUMIF(105:105,C34,106:106)+100</f>
        <v>100</v>
      </c>
      <c r="G34" s="393"/>
      <c r="H34" s="368">
        <f>SUMIF(105:105,G34,106:106)-SUMIF(105:105,C34,106:106)+100</f>
        <v>100</v>
      </c>
      <c r="I34" s="1758"/>
      <c r="J34" s="368">
        <f>SUMIF(105:105,I34,106:106)-SUMIF(105:105,C34,106:106)+100</f>
        <v>100</v>
      </c>
      <c r="K34" s="359"/>
      <c r="L34" s="2473"/>
      <c r="M34" s="2468"/>
      <c r="N34" s="2468"/>
      <c r="O34" s="2468"/>
      <c r="P34" s="3520"/>
      <c r="Q34" s="1255" t="str">
        <f t="shared" si="11"/>
        <v>建筑结构</v>
      </c>
      <c r="R34" s="659" t="s">
        <v>18</v>
      </c>
      <c r="S34" s="660">
        <f t="shared" si="12"/>
        <v>100</v>
      </c>
      <c r="T34" s="659" t="s">
        <v>18</v>
      </c>
      <c r="U34" s="660">
        <f t="shared" si="13"/>
        <v>100</v>
      </c>
      <c r="V34" s="659" t="s">
        <v>18</v>
      </c>
      <c r="W34" s="660">
        <f t="shared" si="14"/>
        <v>100</v>
      </c>
      <c r="X34" s="1257"/>
      <c r="Y34" s="3522"/>
      <c r="Z34" s="1256" t="str">
        <f t="shared" si="18"/>
        <v>建筑结构</v>
      </c>
      <c r="AA34" s="1256">
        <f t="shared" si="15"/>
        <v>1</v>
      </c>
      <c r="AB34" s="1256">
        <f t="shared" si="16"/>
        <v>1</v>
      </c>
      <c r="AC34" s="1256">
        <f t="shared" si="17"/>
        <v>1</v>
      </c>
    </row>
    <row r="35" spans="1:29" ht="15">
      <c r="A35" s="403"/>
      <c r="B35" s="358" t="s">
        <v>1693</v>
      </c>
      <c r="C35" s="1752"/>
      <c r="D35" s="368">
        <v>100</v>
      </c>
      <c r="E35" s="1753"/>
      <c r="F35" s="394">
        <f>SUMIF(107:107,E35,108:108)-SUMIF(107:107,C35,108:108)+100</f>
        <v>100</v>
      </c>
      <c r="G35" s="1752"/>
      <c r="H35" s="368">
        <f>SUMIF(107:107,G35,108:108)-SUMIF(107:107,C35,108:108)+100</f>
        <v>100</v>
      </c>
      <c r="I35" s="1753"/>
      <c r="J35" s="368">
        <f>SUMIF(107:107,I35,108:108)-SUMIF(107:107,C35,108:108)+100</f>
        <v>100</v>
      </c>
      <c r="K35" s="359"/>
      <c r="L35" s="2473"/>
      <c r="M35" s="2468"/>
      <c r="N35" s="2468"/>
      <c r="O35" s="2468"/>
      <c r="P35" s="3520"/>
      <c r="Q35" s="1255" t="str">
        <f t="shared" si="11"/>
        <v>建筑品质</v>
      </c>
      <c r="R35" s="659" t="s">
        <v>18</v>
      </c>
      <c r="S35" s="660">
        <f t="shared" si="12"/>
        <v>100</v>
      </c>
      <c r="T35" s="659" t="s">
        <v>18</v>
      </c>
      <c r="U35" s="660">
        <f t="shared" si="13"/>
        <v>100</v>
      </c>
      <c r="V35" s="659" t="s">
        <v>18</v>
      </c>
      <c r="W35" s="660">
        <f t="shared" si="14"/>
        <v>100</v>
      </c>
      <c r="X35" s="1257"/>
      <c r="Y35" s="3522"/>
      <c r="Z35" s="1256" t="str">
        <f t="shared" si="18"/>
        <v>建筑品质</v>
      </c>
      <c r="AA35" s="1256">
        <f t="shared" si="15"/>
        <v>1</v>
      </c>
      <c r="AB35" s="1256">
        <f t="shared" si="16"/>
        <v>1</v>
      </c>
      <c r="AC35" s="1256">
        <f t="shared" si="17"/>
        <v>1</v>
      </c>
    </row>
    <row r="36" spans="1:29" ht="15">
      <c r="A36" s="403"/>
      <c r="B36" s="358" t="s">
        <v>1694</v>
      </c>
      <c r="C36" s="1752"/>
      <c r="D36" s="368">
        <v>100</v>
      </c>
      <c r="E36" s="1753"/>
      <c r="F36" s="394">
        <f>SUMIF(109:109,E36,110:110)-SUMIF(109:109,C36,110:110)+100</f>
        <v>100</v>
      </c>
      <c r="G36" s="1752"/>
      <c r="H36" s="368">
        <f>SUMIF(109:109,G36,110:110)-SUMIF(109:109,C36,110:110)+100</f>
        <v>100</v>
      </c>
      <c r="I36" s="1753"/>
      <c r="J36" s="368">
        <f>SUMIF(109:109,I36,110:110)-SUMIF(109:109,C36,110:110)+100</f>
        <v>100</v>
      </c>
      <c r="K36" s="359"/>
      <c r="L36" s="2473"/>
      <c r="M36" s="2468"/>
      <c r="N36" s="2468"/>
      <c r="O36" s="2468"/>
      <c r="P36" s="3520"/>
      <c r="Q36" s="1255" t="str">
        <f t="shared" si="11"/>
        <v>公共部分装修</v>
      </c>
      <c r="R36" s="659" t="s">
        <v>18</v>
      </c>
      <c r="S36" s="660">
        <f t="shared" si="12"/>
        <v>100</v>
      </c>
      <c r="T36" s="659" t="s">
        <v>18</v>
      </c>
      <c r="U36" s="660">
        <f t="shared" si="13"/>
        <v>100</v>
      </c>
      <c r="V36" s="659" t="s">
        <v>18</v>
      </c>
      <c r="W36" s="660">
        <f t="shared" si="14"/>
        <v>100</v>
      </c>
      <c r="X36" s="1257"/>
      <c r="Y36" s="3522"/>
      <c r="Z36" s="1256" t="str">
        <f t="shared" si="18"/>
        <v>公共部分装修</v>
      </c>
      <c r="AA36" s="1256">
        <f t="shared" si="15"/>
        <v>1</v>
      </c>
      <c r="AB36" s="1256">
        <f t="shared" si="16"/>
        <v>1</v>
      </c>
      <c r="AC36" s="1256">
        <f t="shared" si="17"/>
        <v>1</v>
      </c>
    </row>
    <row r="37" spans="1:29" s="101" customFormat="1" ht="15">
      <c r="A37" s="404"/>
      <c r="B37" s="358" t="s">
        <v>1695</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69"/>
      <c r="M37" s="2423"/>
      <c r="N37" s="2423"/>
      <c r="O37" s="2423"/>
      <c r="P37" s="3520"/>
      <c r="Q37" s="524" t="str">
        <f t="shared" si="11"/>
        <v>成新度</v>
      </c>
      <c r="R37" s="656" t="s">
        <v>18</v>
      </c>
      <c r="S37" s="657" t="e">
        <f t="shared" si="12"/>
        <v>#N/A</v>
      </c>
      <c r="T37" s="656" t="s">
        <v>18</v>
      </c>
      <c r="U37" s="657" t="e">
        <f t="shared" si="13"/>
        <v>#N/A</v>
      </c>
      <c r="V37" s="656" t="s">
        <v>18</v>
      </c>
      <c r="W37" s="657" t="e">
        <f t="shared" si="14"/>
        <v>#N/A</v>
      </c>
      <c r="X37" s="658"/>
      <c r="Y37" s="3522"/>
      <c r="Z37" s="50" t="str">
        <f t="shared" si="18"/>
        <v>成新度</v>
      </c>
      <c r="AA37" s="50" t="e">
        <f t="shared" si="15"/>
        <v>#N/A</v>
      </c>
      <c r="AB37" s="50" t="e">
        <f t="shared" si="16"/>
        <v>#N/A</v>
      </c>
      <c r="AC37" s="50" t="e">
        <f t="shared" si="17"/>
        <v>#N/A</v>
      </c>
    </row>
    <row r="38" spans="1:29" ht="15">
      <c r="A38" s="403"/>
      <c r="B38" s="358" t="s">
        <v>1696</v>
      </c>
      <c r="C38" s="1752"/>
      <c r="D38" s="368">
        <v>100</v>
      </c>
      <c r="E38" s="1753"/>
      <c r="F38" s="394">
        <f>SUMIF(114:114,E38,115:115)-SUMIF(114:114,C38,115:115)+100</f>
        <v>100</v>
      </c>
      <c r="G38" s="1752"/>
      <c r="H38" s="368">
        <f>SUMIF(114:114,G38,115:115)-SUMIF(114:114,C38,115:115)+100</f>
        <v>100</v>
      </c>
      <c r="I38" s="1753"/>
      <c r="J38" s="368">
        <f>SUMIF(114:114,I38,115:115)-SUMIF(114:114,C38,115:115)+100</f>
        <v>100</v>
      </c>
      <c r="K38" s="359"/>
      <c r="L38" s="2473"/>
      <c r="M38" s="2468"/>
      <c r="N38" s="2468"/>
      <c r="O38" s="2468"/>
      <c r="P38" s="3520" t="s">
        <v>1690</v>
      </c>
      <c r="Q38" s="1255" t="str">
        <f t="shared" si="11"/>
        <v>物业管理</v>
      </c>
      <c r="R38" s="659" t="s">
        <v>18</v>
      </c>
      <c r="S38" s="660">
        <f t="shared" si="12"/>
        <v>100</v>
      </c>
      <c r="T38" s="659" t="s">
        <v>18</v>
      </c>
      <c r="U38" s="660">
        <f t="shared" si="13"/>
        <v>100</v>
      </c>
      <c r="V38" s="659" t="s">
        <v>18</v>
      </c>
      <c r="W38" s="660">
        <f t="shared" si="14"/>
        <v>100</v>
      </c>
      <c r="X38" s="1257"/>
      <c r="Y38" s="3522" t="s">
        <v>1690</v>
      </c>
      <c r="Z38" s="1256" t="str">
        <f t="shared" si="18"/>
        <v>物业管理</v>
      </c>
      <c r="AA38" s="1256">
        <f t="shared" si="15"/>
        <v>1</v>
      </c>
      <c r="AB38" s="1256">
        <f t="shared" si="16"/>
        <v>1</v>
      </c>
      <c r="AC38" s="1256">
        <f t="shared" si="17"/>
        <v>1</v>
      </c>
    </row>
    <row r="39" spans="1:29" ht="15">
      <c r="A39" s="403"/>
      <c r="B39" s="358" t="s">
        <v>1697</v>
      </c>
      <c r="C39" s="1752"/>
      <c r="D39" s="368">
        <v>100</v>
      </c>
      <c r="E39" s="1753"/>
      <c r="F39" s="394">
        <f>SUMIF(116:116,E39,117:117)-SUMIF(116:116,C39,117:117)+100</f>
        <v>100</v>
      </c>
      <c r="G39" s="1752"/>
      <c r="H39" s="368">
        <f>SUMIF(116:116,G39,117:117)-SUMIF(116:116,C39,117:117)+100</f>
        <v>100</v>
      </c>
      <c r="I39" s="1753"/>
      <c r="J39" s="368">
        <f>SUMIF(116:116,I39,117:117)-SUMIF(116:116,C39,117:117)+100</f>
        <v>100</v>
      </c>
      <c r="K39" s="359"/>
      <c r="L39" s="2473"/>
      <c r="M39" s="2468"/>
      <c r="N39" s="2468"/>
      <c r="O39" s="2468"/>
      <c r="P39" s="3520"/>
      <c r="Q39" s="1255" t="str">
        <f t="shared" si="11"/>
        <v>市政基础设施</v>
      </c>
      <c r="R39" s="659" t="s">
        <v>18</v>
      </c>
      <c r="S39" s="660">
        <f t="shared" si="12"/>
        <v>100</v>
      </c>
      <c r="T39" s="659" t="s">
        <v>18</v>
      </c>
      <c r="U39" s="660">
        <f t="shared" si="13"/>
        <v>100</v>
      </c>
      <c r="V39" s="659" t="s">
        <v>18</v>
      </c>
      <c r="W39" s="660">
        <f t="shared" si="14"/>
        <v>100</v>
      </c>
      <c r="X39" s="1257"/>
      <c r="Y39" s="3522"/>
      <c r="Z39" s="1256" t="str">
        <f t="shared" si="18"/>
        <v>市政基础设施</v>
      </c>
      <c r="AA39" s="1256">
        <f t="shared" si="15"/>
        <v>1</v>
      </c>
      <c r="AB39" s="1256">
        <f t="shared" si="16"/>
        <v>1</v>
      </c>
      <c r="AC39" s="1256">
        <f t="shared" si="17"/>
        <v>1</v>
      </c>
    </row>
    <row r="40" spans="1:29" ht="15">
      <c r="A40" s="403"/>
      <c r="B40" s="358" t="s">
        <v>1698</v>
      </c>
      <c r="C40" s="1752"/>
      <c r="D40" s="368">
        <v>100</v>
      </c>
      <c r="E40" s="1753"/>
      <c r="F40" s="394">
        <f>SUMIF(118:118,E40,119:119)-SUMIF(118:118,C40,119:119)+100</f>
        <v>100</v>
      </c>
      <c r="G40" s="1752"/>
      <c r="H40" s="368">
        <f>SUMIF(118:118,G40,119:119)-SUMIF(118:118,C40,119:119)+100</f>
        <v>100</v>
      </c>
      <c r="I40" s="1753"/>
      <c r="J40" s="368">
        <f>SUMIF(118:118,I40,119:119)-SUMIF(118:118,C40,119:119)+100</f>
        <v>100</v>
      </c>
      <c r="K40" s="359"/>
      <c r="L40" s="2473"/>
      <c r="M40" s="2468"/>
      <c r="N40" s="2468"/>
      <c r="O40" s="2468"/>
      <c r="P40" s="3520"/>
      <c r="Q40" s="1255" t="str">
        <f t="shared" si="11"/>
        <v>房型</v>
      </c>
      <c r="R40" s="659" t="s">
        <v>18</v>
      </c>
      <c r="S40" s="660">
        <f t="shared" si="12"/>
        <v>100</v>
      </c>
      <c r="T40" s="659" t="s">
        <v>18</v>
      </c>
      <c r="U40" s="660">
        <f t="shared" si="13"/>
        <v>100</v>
      </c>
      <c r="V40" s="659" t="s">
        <v>18</v>
      </c>
      <c r="W40" s="660">
        <f t="shared" si="14"/>
        <v>100</v>
      </c>
      <c r="X40" s="1257"/>
      <c r="Y40" s="3522"/>
      <c r="Z40" s="1256" t="str">
        <f t="shared" si="18"/>
        <v>房型</v>
      </c>
      <c r="AA40" s="1256">
        <f t="shared" si="15"/>
        <v>1</v>
      </c>
      <c r="AB40" s="1256">
        <f t="shared" si="16"/>
        <v>1</v>
      </c>
      <c r="AC40" s="1256">
        <f t="shared" si="17"/>
        <v>1</v>
      </c>
    </row>
    <row r="41" spans="1:29" s="402" customFormat="1" ht="28.5">
      <c r="A41" s="400"/>
      <c r="B41" s="358" t="s">
        <v>1699</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40"/>
      <c r="L41" s="2472"/>
      <c r="M41" s="2474"/>
      <c r="N41" s="2474"/>
      <c r="O41" s="2474"/>
      <c r="P41" s="3520"/>
      <c r="Q41" s="525" t="str">
        <f t="shared" si="11"/>
        <v>单套/主力户型建筑面积</v>
      </c>
      <c r="R41" s="661" t="s">
        <v>18</v>
      </c>
      <c r="S41" s="662">
        <f t="shared" si="12"/>
        <v>100</v>
      </c>
      <c r="T41" s="661" t="s">
        <v>18</v>
      </c>
      <c r="U41" s="662">
        <f t="shared" si="13"/>
        <v>100</v>
      </c>
      <c r="V41" s="661" t="s">
        <v>18</v>
      </c>
      <c r="W41" s="662">
        <f t="shared" si="14"/>
        <v>100</v>
      </c>
      <c r="X41" s="663"/>
      <c r="Y41" s="3522"/>
      <c r="Z41" s="664" t="str">
        <f t="shared" si="18"/>
        <v>单套/主力户型建筑面积</v>
      </c>
      <c r="AA41" s="1256">
        <f t="shared" si="15"/>
        <v>1</v>
      </c>
      <c r="AB41" s="1256">
        <f t="shared" si="16"/>
        <v>1</v>
      </c>
      <c r="AC41" s="1256">
        <f t="shared" si="17"/>
        <v>1</v>
      </c>
    </row>
    <row r="42" spans="1:29" ht="15">
      <c r="A42" s="403"/>
      <c r="B42" s="358" t="s">
        <v>1700</v>
      </c>
      <c r="C42" s="1752"/>
      <c r="D42" s="368">
        <v>100</v>
      </c>
      <c r="E42" s="1753"/>
      <c r="F42" s="394">
        <f>SUMIF(122:122,E42,123:123)-SUMIF(122:122,C42,123:123)+100</f>
        <v>100</v>
      </c>
      <c r="G42" s="1752"/>
      <c r="H42" s="368">
        <f>SUMIF(122:122,G42,123:123)-SUMIF(122:122,C42,123:123)+100</f>
        <v>100</v>
      </c>
      <c r="I42" s="1753"/>
      <c r="J42" s="368">
        <f>SUMIF(122:122,I42,123:123)-SUMIF(122:122,C42,123:123)+100</f>
        <v>100</v>
      </c>
      <c r="K42" s="359"/>
      <c r="L42" s="2473"/>
      <c r="M42" s="2468"/>
      <c r="N42" s="2468"/>
      <c r="O42" s="2468"/>
      <c r="P42" s="3520"/>
      <c r="Q42" s="1255" t="str">
        <f t="shared" si="11"/>
        <v>内部装修</v>
      </c>
      <c r="R42" s="659" t="s">
        <v>18</v>
      </c>
      <c r="S42" s="660">
        <f t="shared" si="12"/>
        <v>100</v>
      </c>
      <c r="T42" s="659" t="s">
        <v>18</v>
      </c>
      <c r="U42" s="660">
        <f t="shared" si="13"/>
        <v>100</v>
      </c>
      <c r="V42" s="659" t="s">
        <v>18</v>
      </c>
      <c r="W42" s="660">
        <f t="shared" si="14"/>
        <v>100</v>
      </c>
      <c r="X42" s="1257"/>
      <c r="Y42" s="3522"/>
      <c r="Z42" s="1256" t="str">
        <f t="shared" si="18"/>
        <v>内部装修</v>
      </c>
      <c r="AA42" s="1256">
        <f t="shared" si="15"/>
        <v>1</v>
      </c>
      <c r="AB42" s="1256">
        <f t="shared" si="16"/>
        <v>1</v>
      </c>
      <c r="AC42" s="1256">
        <f t="shared" si="17"/>
        <v>1</v>
      </c>
    </row>
    <row r="43" spans="1:29" ht="15">
      <c r="A43" s="403"/>
      <c r="B43" s="358" t="s">
        <v>1701</v>
      </c>
      <c r="C43" s="1752"/>
      <c r="D43" s="368">
        <v>100</v>
      </c>
      <c r="E43" s="1753"/>
      <c r="F43" s="394">
        <f>SUMIF(124:124,E43,125:125)-SUMIF(124:124,C43,125:125)+100</f>
        <v>100</v>
      </c>
      <c r="G43" s="1752"/>
      <c r="H43" s="368">
        <f>SUMIF(124:124,G43,125:125)-SUMIF(124:124,C43,125:125)+100</f>
        <v>100</v>
      </c>
      <c r="I43" s="1753"/>
      <c r="J43" s="368">
        <f>SUMIF(124:124,I43,125:125)-SUMIF(124:124,C43,125:125)+100</f>
        <v>100</v>
      </c>
      <c r="K43" s="359"/>
      <c r="L43" s="2473"/>
      <c r="M43" s="2468"/>
      <c r="N43" s="2468"/>
      <c r="O43" s="2468"/>
      <c r="P43" s="3520"/>
      <c r="Q43" s="1255" t="str">
        <f t="shared" si="11"/>
        <v>内部装修维护情况</v>
      </c>
      <c r="R43" s="659" t="s">
        <v>18</v>
      </c>
      <c r="S43" s="660">
        <f t="shared" si="12"/>
        <v>100</v>
      </c>
      <c r="T43" s="659" t="s">
        <v>18</v>
      </c>
      <c r="U43" s="660">
        <f t="shared" si="13"/>
        <v>100</v>
      </c>
      <c r="V43" s="659" t="s">
        <v>18</v>
      </c>
      <c r="W43" s="660">
        <f t="shared" si="14"/>
        <v>100</v>
      </c>
      <c r="X43" s="1257"/>
      <c r="Y43" s="3522"/>
      <c r="Z43" s="1256" t="str">
        <f t="shared" si="18"/>
        <v>内部装修维护情况</v>
      </c>
      <c r="AA43" s="1256">
        <f t="shared" si="15"/>
        <v>1</v>
      </c>
      <c r="AB43" s="1256">
        <f t="shared" si="16"/>
        <v>1</v>
      </c>
      <c r="AC43" s="1256">
        <f t="shared" si="17"/>
        <v>1</v>
      </c>
    </row>
    <row r="44" spans="1:29" s="101"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40"/>
      <c r="L44" s="2469"/>
      <c r="M44" s="2423"/>
      <c r="N44" s="2423"/>
      <c r="O44" s="2423"/>
      <c r="P44" s="3520"/>
      <c r="Q44" s="524">
        <f t="shared" si="11"/>
        <v>111</v>
      </c>
      <c r="R44" s="656" t="s">
        <v>18</v>
      </c>
      <c r="S44" s="657">
        <f t="shared" si="12"/>
        <v>100</v>
      </c>
      <c r="T44" s="656" t="s">
        <v>18</v>
      </c>
      <c r="U44" s="657">
        <f t="shared" si="13"/>
        <v>100</v>
      </c>
      <c r="V44" s="656" t="s">
        <v>18</v>
      </c>
      <c r="W44" s="657">
        <f t="shared" si="14"/>
        <v>100</v>
      </c>
      <c r="X44" s="658"/>
      <c r="Y44" s="3522"/>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40"/>
      <c r="L45" s="2473"/>
      <c r="M45" s="2468"/>
      <c r="N45" s="2468"/>
      <c r="O45" s="2468"/>
      <c r="P45" s="3520"/>
      <c r="Q45" s="1255">
        <f t="shared" si="11"/>
        <v>111</v>
      </c>
      <c r="R45" s="659" t="s">
        <v>18</v>
      </c>
      <c r="S45" s="660">
        <f t="shared" si="12"/>
        <v>100</v>
      </c>
      <c r="T45" s="659" t="s">
        <v>18</v>
      </c>
      <c r="U45" s="660">
        <f t="shared" si="13"/>
        <v>100</v>
      </c>
      <c r="V45" s="659" t="s">
        <v>18</v>
      </c>
      <c r="W45" s="660">
        <f t="shared" si="14"/>
        <v>100</v>
      </c>
      <c r="X45" s="1257"/>
      <c r="Y45" s="3522"/>
      <c r="Z45" s="1256">
        <f t="shared" si="18"/>
        <v>111</v>
      </c>
      <c r="AA45" s="1256">
        <f t="shared" si="15"/>
        <v>1</v>
      </c>
      <c r="AB45" s="1256">
        <f t="shared" si="16"/>
        <v>1</v>
      </c>
      <c r="AC45" s="1256">
        <f t="shared" si="17"/>
        <v>1</v>
      </c>
    </row>
    <row r="46" spans="1:29" ht="15.75" thickBot="1">
      <c r="A46" s="409"/>
      <c r="B46" s="1741">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40"/>
      <c r="L46" s="2473"/>
      <c r="M46" s="2468"/>
      <c r="N46" s="2468"/>
      <c r="O46" s="2468"/>
      <c r="P46" s="3521"/>
      <c r="Q46" s="1255">
        <f t="shared" si="11"/>
        <v>111</v>
      </c>
      <c r="R46" s="659" t="s">
        <v>17</v>
      </c>
      <c r="S46" s="660">
        <f t="shared" si="12"/>
        <v>100</v>
      </c>
      <c r="T46" s="659" t="s">
        <v>17</v>
      </c>
      <c r="U46" s="660">
        <f t="shared" si="13"/>
        <v>100</v>
      </c>
      <c r="V46" s="659" t="s">
        <v>17</v>
      </c>
      <c r="W46" s="660">
        <f t="shared" si="14"/>
        <v>100</v>
      </c>
      <c r="X46" s="1257"/>
      <c r="Y46" s="3523"/>
      <c r="Z46" s="1256">
        <f t="shared" si="18"/>
        <v>111</v>
      </c>
      <c r="AA46" s="1256">
        <f t="shared" si="15"/>
        <v>1</v>
      </c>
      <c r="AB46" s="1256">
        <f t="shared" si="16"/>
        <v>1</v>
      </c>
      <c r="AC46" s="1256">
        <f t="shared" si="17"/>
        <v>1</v>
      </c>
    </row>
    <row r="47" spans="1:29" ht="15">
      <c r="A47" s="410" t="s">
        <v>1702</v>
      </c>
      <c r="B47" s="411"/>
      <c r="C47" s="1074" t="s">
        <v>16</v>
      </c>
      <c r="D47" s="412"/>
      <c r="E47" s="413"/>
      <c r="F47" s="414"/>
      <c r="G47" s="415"/>
      <c r="H47" s="416"/>
      <c r="I47" s="413"/>
      <c r="J47" s="416"/>
      <c r="K47" s="1759"/>
      <c r="L47" s="2475"/>
      <c r="M47" s="2468"/>
      <c r="N47" s="2468"/>
      <c r="O47" s="2468"/>
      <c r="P47" s="3515" t="str">
        <f>A47</f>
        <v>成交单价（元/平方米）</v>
      </c>
      <c r="Q47" s="3515"/>
      <c r="R47" s="3516">
        <f>E47</f>
        <v>0</v>
      </c>
      <c r="S47" s="3516"/>
      <c r="T47" s="3516">
        <f>G47</f>
        <v>0</v>
      </c>
      <c r="U47" s="3516"/>
      <c r="V47" s="3516">
        <f>I47</f>
        <v>0</v>
      </c>
      <c r="W47" s="3516"/>
      <c r="X47" s="379"/>
      <c r="Y47" s="665"/>
      <c r="Z47" s="379"/>
      <c r="AA47" s="379"/>
      <c r="AB47" s="379"/>
      <c r="AC47" s="379"/>
    </row>
    <row r="48" spans="1:29" ht="15.75" thickBot="1">
      <c r="A48" s="417" t="s">
        <v>1703</v>
      </c>
      <c r="B48" s="418"/>
      <c r="C48" s="1075" t="e">
        <f>R49</f>
        <v>#DIV/0!</v>
      </c>
      <c r="D48" s="2133" t="s">
        <v>2132</v>
      </c>
      <c r="E48" s="1076" t="e">
        <f>R48</f>
        <v>#DIV/0!</v>
      </c>
      <c r="F48" s="2134"/>
      <c r="G48" s="1075" t="e">
        <f>T48</f>
        <v>#DIV/0!</v>
      </c>
      <c r="H48" s="2134"/>
      <c r="I48" s="1076" t="e">
        <f>V48</f>
        <v>#DIV/0!</v>
      </c>
      <c r="J48" s="2134"/>
      <c r="K48" s="2135">
        <f>F48+H48+J48</f>
        <v>0</v>
      </c>
      <c r="L48" s="2475"/>
      <c r="M48" s="2468"/>
      <c r="N48" s="2468"/>
      <c r="O48" s="2468"/>
      <c r="P48" s="3515" t="str">
        <f>A48</f>
        <v>比较价值（元/平方米）</v>
      </c>
      <c r="Q48" s="3515"/>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379"/>
      <c r="Y48" s="379"/>
      <c r="Z48" s="379"/>
      <c r="AA48" s="379"/>
      <c r="AB48" s="379"/>
      <c r="AC48" s="379"/>
    </row>
    <row r="49" spans="1:29" ht="15.75" thickBot="1">
      <c r="A49" s="421" t="s">
        <v>1704</v>
      </c>
      <c r="B49" s="422"/>
      <c r="C49" s="1077" t="e">
        <f>R49</f>
        <v>#DIV/0!</v>
      </c>
      <c r="D49" s="345"/>
      <c r="E49" s="345"/>
      <c r="F49" s="345"/>
      <c r="G49" s="345"/>
      <c r="H49" s="345"/>
      <c r="I49" s="345"/>
      <c r="J49" s="345"/>
      <c r="K49" s="1760"/>
      <c r="L49" s="2475"/>
      <c r="M49" s="2468"/>
      <c r="N49" s="2468"/>
      <c r="O49" s="2468"/>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379"/>
      <c r="Y49" s="379"/>
      <c r="Z49" s="379"/>
      <c r="AA49" s="379"/>
      <c r="AB49" s="379"/>
      <c r="AC49" s="379"/>
    </row>
    <row r="50" spans="1:29">
      <c r="A50" s="2468"/>
      <c r="B50" s="2468"/>
      <c r="C50" s="2468"/>
      <c r="D50" s="2468"/>
      <c r="E50" s="2468"/>
      <c r="F50" s="2468"/>
      <c r="G50" s="2479"/>
      <c r="H50" s="2468"/>
      <c r="I50" s="2468"/>
      <c r="J50" s="2468"/>
      <c r="K50" s="2480"/>
      <c r="L50" s="2476"/>
      <c r="M50" s="2468"/>
      <c r="N50" s="2468"/>
      <c r="O50" s="2468"/>
    </row>
    <row r="51" spans="1:29">
      <c r="A51" s="2468"/>
      <c r="B51" s="2468"/>
      <c r="C51" s="2468"/>
      <c r="D51" s="2468"/>
      <c r="E51" s="2468"/>
      <c r="F51" s="2468"/>
      <c r="G51" s="2468"/>
      <c r="H51" s="2468"/>
      <c r="I51" s="2468"/>
      <c r="J51" s="2468"/>
      <c r="K51" s="2480"/>
      <c r="L51" s="2476"/>
      <c r="M51" s="2468"/>
      <c r="N51" s="2468"/>
      <c r="O51" s="2468"/>
    </row>
    <row r="52" spans="1:29" ht="13.5" customHeight="1">
      <c r="A52" s="2468"/>
      <c r="B52" s="2468"/>
      <c r="C52" s="426" t="s">
        <v>1705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0"/>
      <c r="L52" s="2476"/>
      <c r="M52" s="2468"/>
      <c r="N52" s="2468"/>
      <c r="O52" s="2468"/>
    </row>
    <row r="53" spans="1:29" ht="13.5" customHeight="1">
      <c r="A53" s="2468"/>
      <c r="B53" s="2468"/>
      <c r="C53" s="426" t="s">
        <v>1706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0"/>
      <c r="L53" s="2476"/>
      <c r="M53" s="2468"/>
      <c r="N53" s="2468"/>
      <c r="O53" s="2468"/>
    </row>
    <row r="54" spans="1:29" s="431" customFormat="1" ht="13.5" customHeight="1">
      <c r="A54" s="2478"/>
      <c r="B54" s="2478"/>
      <c r="C54" s="426" t="s">
        <v>1707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3"/>
      <c r="L54" s="2477"/>
      <c r="M54" s="2478"/>
      <c r="N54" s="2478"/>
      <c r="O54" s="2478"/>
      <c r="P54" s="1762"/>
    </row>
    <row r="55" spans="1:29" s="431" customFormat="1">
      <c r="A55" s="2478"/>
      <c r="B55" s="2481"/>
      <c r="C55" s="2482"/>
      <c r="D55" s="2478"/>
      <c r="E55" s="2478"/>
      <c r="F55" s="2478"/>
      <c r="G55" s="2478"/>
      <c r="H55" s="2478"/>
      <c r="I55" s="2478"/>
      <c r="J55" s="2478"/>
      <c r="K55" s="2483"/>
      <c r="L55" s="2477"/>
      <c r="M55" s="2478"/>
      <c r="N55" s="2478"/>
      <c r="O55" s="2478"/>
      <c r="P55" s="1762"/>
    </row>
    <row r="56" spans="1:29">
      <c r="A56" s="2468"/>
      <c r="B56" s="2481"/>
      <c r="C56" s="2482"/>
      <c r="D56" s="2468"/>
      <c r="E56" s="2468"/>
      <c r="F56" s="2468"/>
      <c r="G56" s="2468"/>
      <c r="H56" s="2468"/>
      <c r="I56" s="2468"/>
      <c r="J56" s="2468"/>
      <c r="K56" s="2480"/>
      <c r="L56" s="2476"/>
      <c r="M56" s="2468"/>
      <c r="N56" s="2468"/>
      <c r="O56" s="2468"/>
    </row>
    <row r="57" spans="1:29" ht="21.75" thickBot="1">
      <c r="A57" s="650" t="s">
        <v>1708</v>
      </c>
      <c r="B57" s="379"/>
      <c r="C57" s="651"/>
      <c r="D57" s="651"/>
      <c r="E57" s="651"/>
      <c r="F57" s="652"/>
      <c r="G57" s="652"/>
      <c r="H57" s="651"/>
      <c r="I57" s="651"/>
      <c r="J57" s="651"/>
      <c r="K57" s="880"/>
      <c r="L57" s="881"/>
      <c r="M57" s="879"/>
      <c r="N57" s="879"/>
      <c r="O57" s="879"/>
      <c r="P57" s="1763"/>
      <c r="Q57" s="433"/>
    </row>
    <row r="58" spans="1:29" s="436" customFormat="1" ht="15">
      <c r="A58" s="434" t="s">
        <v>1709</v>
      </c>
      <c r="B58" s="435"/>
      <c r="C58" s="1098" t="str">
        <f>YEAR(C7)&amp;"-"&amp;MONTH(C7)</f>
        <v>2024-5</v>
      </c>
      <c r="D58" s="1097">
        <f>EDATE(C58,-1)</f>
        <v>45383</v>
      </c>
      <c r="E58" s="1097">
        <f>EDATE(D58,-1)</f>
        <v>45352</v>
      </c>
      <c r="F58" s="1097">
        <f t="shared" ref="F58:O58" si="19">EDATE(E58,-1)</f>
        <v>45323</v>
      </c>
      <c r="G58" s="1097">
        <f t="shared" si="19"/>
        <v>45292</v>
      </c>
      <c r="H58" s="1097">
        <f t="shared" si="19"/>
        <v>45261</v>
      </c>
      <c r="I58" s="1097">
        <f t="shared" si="19"/>
        <v>45231</v>
      </c>
      <c r="J58" s="1097">
        <f t="shared" si="19"/>
        <v>45200</v>
      </c>
      <c r="K58" s="1097">
        <f t="shared" si="19"/>
        <v>45170</v>
      </c>
      <c r="L58" s="1097">
        <f t="shared" si="19"/>
        <v>45139</v>
      </c>
      <c r="M58" s="1097">
        <f t="shared" si="19"/>
        <v>45108</v>
      </c>
      <c r="N58" s="1097">
        <f t="shared" si="19"/>
        <v>45078</v>
      </c>
      <c r="O58" s="1097">
        <f t="shared" si="19"/>
        <v>45047</v>
      </c>
      <c r="P58" s="1093"/>
    </row>
    <row r="59" spans="1:29" s="101" customFormat="1" ht="15">
      <c r="A59" s="437"/>
      <c r="B59" s="1764"/>
      <c r="C59" s="1095">
        <v>100</v>
      </c>
      <c r="D59" s="439"/>
      <c r="E59" s="440"/>
      <c r="F59" s="440"/>
      <c r="G59" s="440"/>
      <c r="H59" s="440"/>
      <c r="I59" s="440"/>
      <c r="J59" s="440"/>
      <c r="K59" s="440"/>
      <c r="L59" s="440"/>
      <c r="M59" s="441"/>
      <c r="N59" s="440"/>
      <c r="O59" s="441"/>
      <c r="P59" s="1765"/>
    </row>
    <row r="60" spans="1:29" s="101" customFormat="1" ht="15.75" thickBot="1">
      <c r="A60" s="443" t="s">
        <v>1710</v>
      </c>
      <c r="B60" s="444"/>
      <c r="C60" s="445"/>
      <c r="D60" s="446"/>
      <c r="E60" s="446"/>
      <c r="F60" s="446"/>
      <c r="G60" s="446"/>
      <c r="H60" s="446"/>
      <c r="I60" s="446"/>
      <c r="J60" s="446"/>
      <c r="K60" s="446"/>
      <c r="L60" s="446"/>
      <c r="M60" s="447"/>
      <c r="N60" s="446"/>
      <c r="O60" s="447"/>
      <c r="P60" s="1765"/>
      <c r="Q60" s="433"/>
    </row>
    <row r="61" spans="1:29" s="101" customFormat="1" ht="15">
      <c r="A61" s="449" t="s">
        <v>1711</v>
      </c>
      <c r="B61" s="438"/>
      <c r="C61" s="450" t="s">
        <v>1712</v>
      </c>
      <c r="D61" s="31"/>
      <c r="E61" s="31"/>
      <c r="F61" s="31"/>
      <c r="G61" s="31"/>
      <c r="H61" s="31"/>
      <c r="I61" s="31"/>
      <c r="J61" s="31"/>
      <c r="K61" s="31"/>
      <c r="L61" s="451"/>
      <c r="M61" s="452"/>
      <c r="N61" s="871"/>
      <c r="O61" s="871"/>
      <c r="P61" s="1766"/>
      <c r="Q61" s="433"/>
    </row>
    <row r="62" spans="1:29" s="101" customFormat="1" ht="15.75" thickBot="1">
      <c r="A62" s="449"/>
      <c r="B62" s="438"/>
      <c r="C62" s="439">
        <v>100</v>
      </c>
      <c r="D62" s="440"/>
      <c r="E62" s="440"/>
      <c r="F62" s="440"/>
      <c r="G62" s="440"/>
      <c r="H62" s="440"/>
      <c r="I62" s="440"/>
      <c r="J62" s="440"/>
      <c r="K62" s="440"/>
      <c r="L62" s="440"/>
      <c r="M62" s="442"/>
      <c r="N62" s="871"/>
      <c r="O62" s="871"/>
      <c r="P62" s="1765"/>
      <c r="Q62" s="433"/>
    </row>
    <row r="63" spans="1:29">
      <c r="A63" s="373" t="s">
        <v>1713</v>
      </c>
      <c r="B63" s="454" t="s">
        <v>1679</v>
      </c>
      <c r="C63" s="455">
        <f>C9</f>
        <v>0</v>
      </c>
      <c r="D63" s="456"/>
      <c r="E63" s="456"/>
      <c r="F63" s="456"/>
      <c r="G63" s="456"/>
      <c r="H63" s="456"/>
      <c r="I63" s="456"/>
      <c r="J63" s="456"/>
      <c r="K63" s="457"/>
      <c r="L63" s="458"/>
      <c r="M63" s="459"/>
      <c r="N63" s="872"/>
      <c r="O63" s="872"/>
      <c r="P63" s="1767"/>
      <c r="Q63" s="433"/>
    </row>
    <row r="64" spans="1:29" ht="15.75" thickBot="1">
      <c r="A64" s="361"/>
      <c r="B64" s="460"/>
      <c r="C64" s="461">
        <v>100</v>
      </c>
      <c r="D64" s="461"/>
      <c r="E64" s="461"/>
      <c r="F64" s="461"/>
      <c r="G64" s="461"/>
      <c r="H64" s="461"/>
      <c r="I64" s="461"/>
      <c r="J64" s="461"/>
      <c r="K64" s="461"/>
      <c r="L64" s="461"/>
      <c r="M64" s="462"/>
      <c r="N64" s="873"/>
      <c r="O64" s="873"/>
      <c r="P64" s="1767"/>
      <c r="Q64" s="433"/>
    </row>
    <row r="65" spans="1:17" ht="27.75" thickTop="1">
      <c r="A65" s="361"/>
      <c r="B65" s="463" t="s">
        <v>1682</v>
      </c>
      <c r="C65" s="507"/>
      <c r="D65" s="507"/>
      <c r="E65" s="507"/>
      <c r="F65" s="507"/>
      <c r="G65" s="507"/>
      <c r="H65" s="507"/>
      <c r="I65" s="507"/>
      <c r="J65" s="507"/>
      <c r="K65" s="507"/>
      <c r="L65" s="507"/>
      <c r="M65" s="507"/>
      <c r="N65" s="873"/>
      <c r="O65" s="873"/>
      <c r="P65" s="1767"/>
      <c r="Q65" s="433"/>
    </row>
    <row r="66" spans="1:17" ht="15.75" thickBot="1">
      <c r="A66" s="361"/>
      <c r="B66" s="468"/>
      <c r="C66" s="461"/>
      <c r="D66" s="461"/>
      <c r="E66" s="461"/>
      <c r="F66" s="461"/>
      <c r="G66" s="461"/>
      <c r="H66" s="461"/>
      <c r="I66" s="461"/>
      <c r="J66" s="461"/>
      <c r="K66" s="461"/>
      <c r="L66" s="461"/>
      <c r="M66" s="462"/>
      <c r="N66" s="873"/>
      <c r="O66" s="873"/>
      <c r="P66" s="1767"/>
      <c r="Q66" s="433"/>
    </row>
    <row r="67" spans="1:17" ht="15.75" thickTop="1">
      <c r="A67" s="361"/>
      <c r="B67" s="471" t="s">
        <v>1683</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7"/>
      <c r="Q67" s="433"/>
    </row>
    <row r="68" spans="1:17" ht="15">
      <c r="A68" s="361"/>
      <c r="B68" s="473"/>
      <c r="C68" s="474"/>
      <c r="D68" s="474"/>
      <c r="E68" s="474"/>
      <c r="F68" s="474"/>
      <c r="G68" s="474"/>
      <c r="H68" s="474"/>
      <c r="I68" s="474"/>
      <c r="J68" s="474"/>
      <c r="K68" s="475"/>
      <c r="L68" s="476"/>
      <c r="M68" s="477"/>
      <c r="N68" s="872"/>
      <c r="O68" s="872"/>
      <c r="P68" s="1767"/>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7"/>
      <c r="Q69" s="433"/>
    </row>
    <row r="70" spans="1:17" s="402" customFormat="1" ht="15.75" thickTop="1">
      <c r="A70" s="478"/>
      <c r="B70" s="463">
        <f>B12</f>
        <v>111</v>
      </c>
      <c r="C70" s="479"/>
      <c r="D70" s="479"/>
      <c r="E70" s="479"/>
      <c r="F70" s="479"/>
      <c r="G70" s="479"/>
      <c r="H70" s="480"/>
      <c r="I70" s="480"/>
      <c r="J70" s="480"/>
      <c r="K70" s="480"/>
      <c r="L70" s="481"/>
      <c r="M70" s="482"/>
      <c r="N70" s="874"/>
      <c r="O70" s="874"/>
      <c r="P70" s="1768"/>
      <c r="Q70" s="484"/>
    </row>
    <row r="71" spans="1:17" s="402" customFormat="1" ht="15.75" thickBot="1">
      <c r="A71" s="478"/>
      <c r="B71" s="468"/>
      <c r="C71" s="485"/>
      <c r="D71" s="461"/>
      <c r="E71" s="461"/>
      <c r="F71" s="461"/>
      <c r="G71" s="461"/>
      <c r="H71" s="461"/>
      <c r="I71" s="461"/>
      <c r="J71" s="461"/>
      <c r="K71" s="461"/>
      <c r="L71" s="461"/>
      <c r="M71" s="462"/>
      <c r="N71" s="873"/>
      <c r="O71" s="873"/>
      <c r="P71" s="1768"/>
      <c r="Q71" s="484"/>
    </row>
    <row r="72" spans="1:17" s="402" customFormat="1" ht="15.75" thickTop="1">
      <c r="A72" s="478"/>
      <c r="B72" s="463">
        <f>B13</f>
        <v>111</v>
      </c>
      <c r="C72" s="479"/>
      <c r="D72" s="479"/>
      <c r="E72" s="479"/>
      <c r="F72" s="479"/>
      <c r="G72" s="479"/>
      <c r="H72" s="480"/>
      <c r="I72" s="480"/>
      <c r="J72" s="480"/>
      <c r="K72" s="480"/>
      <c r="L72" s="481"/>
      <c r="M72" s="482"/>
      <c r="N72" s="874"/>
      <c r="O72" s="874"/>
      <c r="P72" s="1769"/>
      <c r="Q72" s="486"/>
    </row>
    <row r="73" spans="1:17" s="402" customFormat="1" ht="15.75" thickBot="1">
      <c r="A73" s="478"/>
      <c r="B73" s="468"/>
      <c r="C73" s="485"/>
      <c r="D73" s="485"/>
      <c r="E73" s="485"/>
      <c r="F73" s="485"/>
      <c r="G73" s="485"/>
      <c r="H73" s="487"/>
      <c r="I73" s="487"/>
      <c r="J73" s="487"/>
      <c r="K73" s="487"/>
      <c r="L73" s="487"/>
      <c r="M73" s="488"/>
      <c r="N73" s="874"/>
      <c r="O73" s="874"/>
      <c r="P73" s="1768"/>
      <c r="Q73" s="484"/>
    </row>
    <row r="74" spans="1:17" s="402" customFormat="1" ht="15.75" thickTop="1">
      <c r="A74" s="478"/>
      <c r="B74" s="471">
        <f>B14</f>
        <v>111</v>
      </c>
      <c r="C74" s="479"/>
      <c r="D74" s="479"/>
      <c r="E74" s="479"/>
      <c r="F74" s="479"/>
      <c r="G74" s="31"/>
      <c r="H74" s="489"/>
      <c r="I74" s="489"/>
      <c r="J74" s="489"/>
      <c r="K74" s="489"/>
      <c r="L74" s="490"/>
      <c r="M74" s="491"/>
      <c r="N74" s="874"/>
      <c r="O74" s="874"/>
      <c r="P74" s="1770"/>
      <c r="Q74" s="484"/>
    </row>
    <row r="75" spans="1:17" s="402" customFormat="1" ht="15.75" thickBot="1">
      <c r="A75" s="493"/>
      <c r="B75" s="494"/>
      <c r="C75" s="495"/>
      <c r="D75" s="495"/>
      <c r="E75" s="495"/>
      <c r="F75" s="495"/>
      <c r="G75" s="495"/>
      <c r="H75" s="496"/>
      <c r="I75" s="496"/>
      <c r="J75" s="496"/>
      <c r="K75" s="496"/>
      <c r="L75" s="496"/>
      <c r="M75" s="497"/>
      <c r="N75" s="874"/>
      <c r="O75" s="874"/>
      <c r="P75" s="1768"/>
      <c r="Q75" s="484"/>
    </row>
    <row r="76" spans="1:17">
      <c r="A76" s="373" t="s">
        <v>1684</v>
      </c>
      <c r="B76" s="454" t="s">
        <v>1714</v>
      </c>
      <c r="C76" s="498" t="s">
        <v>1715</v>
      </c>
      <c r="D76" s="498" t="s">
        <v>1716</v>
      </c>
      <c r="E76" s="498" t="s">
        <v>1717</v>
      </c>
      <c r="F76" s="498" t="s">
        <v>1718</v>
      </c>
      <c r="G76" s="498" t="s">
        <v>1719</v>
      </c>
      <c r="H76" s="455"/>
      <c r="I76" s="455"/>
      <c r="J76" s="455"/>
      <c r="K76" s="499"/>
      <c r="L76" s="500"/>
      <c r="M76" s="501"/>
      <c r="N76" s="872"/>
      <c r="O76" s="872"/>
      <c r="P76" s="1771"/>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7"/>
      <c r="Q77" s="433"/>
    </row>
    <row r="78" spans="1:17" ht="15.75" thickTop="1">
      <c r="A78" s="361"/>
      <c r="B78" s="463" t="s">
        <v>1720</v>
      </c>
      <c r="C78" s="503" t="s">
        <v>1715</v>
      </c>
      <c r="D78" s="503" t="s">
        <v>1716</v>
      </c>
      <c r="E78" s="503" t="s">
        <v>1717</v>
      </c>
      <c r="F78" s="503" t="s">
        <v>1718</v>
      </c>
      <c r="G78" s="503" t="s">
        <v>1719</v>
      </c>
      <c r="H78" s="464"/>
      <c r="I78" s="464"/>
      <c r="J78" s="464"/>
      <c r="K78" s="465"/>
      <c r="L78" s="466"/>
      <c r="M78" s="467"/>
      <c r="N78" s="872"/>
      <c r="O78" s="872"/>
      <c r="P78" s="1767"/>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7"/>
      <c r="Q79" s="433"/>
    </row>
    <row r="80" spans="1:17" ht="15.75" thickTop="1">
      <c r="A80" s="361"/>
      <c r="B80" s="463" t="s">
        <v>1721</v>
      </c>
      <c r="C80" s="503" t="s">
        <v>1715</v>
      </c>
      <c r="D80" s="503" t="s">
        <v>1716</v>
      </c>
      <c r="E80" s="503" t="s">
        <v>1717</v>
      </c>
      <c r="F80" s="503" t="s">
        <v>1718</v>
      </c>
      <c r="G80" s="503" t="s">
        <v>1719</v>
      </c>
      <c r="H80" s="464"/>
      <c r="I80" s="464"/>
      <c r="J80" s="464"/>
      <c r="K80" s="465"/>
      <c r="L80" s="466"/>
      <c r="M80" s="467"/>
      <c r="N80" s="872"/>
      <c r="O80" s="872"/>
      <c r="P80" s="1767"/>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7"/>
      <c r="Q81" s="433"/>
    </row>
    <row r="82" spans="1:17" ht="15.75" thickTop="1">
      <c r="A82" s="361"/>
      <c r="B82" s="471" t="s">
        <v>1257</v>
      </c>
      <c r="C82" s="464" t="s">
        <v>1722</v>
      </c>
      <c r="D82" s="464" t="s">
        <v>1723</v>
      </c>
      <c r="E82" s="464" t="s">
        <v>1724</v>
      </c>
      <c r="F82" s="464" t="s">
        <v>1725</v>
      </c>
      <c r="G82" s="464" t="s">
        <v>1726</v>
      </c>
      <c r="H82" s="464"/>
      <c r="I82" s="464"/>
      <c r="J82" s="464"/>
      <c r="K82" s="464"/>
      <c r="L82" s="464"/>
      <c r="M82" s="1056"/>
      <c r="N82" s="873"/>
      <c r="O82" s="873"/>
      <c r="P82" s="1767"/>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7"/>
      <c r="Q83" s="433"/>
    </row>
    <row r="84" spans="1:17" ht="15.75" thickTop="1">
      <c r="A84" s="361"/>
      <c r="B84" s="463" t="s">
        <v>1727</v>
      </c>
      <c r="C84" s="503" t="s">
        <v>1715</v>
      </c>
      <c r="D84" s="503" t="s">
        <v>1716</v>
      </c>
      <c r="E84" s="503" t="s">
        <v>1717</v>
      </c>
      <c r="F84" s="503" t="s">
        <v>1718</v>
      </c>
      <c r="G84" s="503" t="s">
        <v>1719</v>
      </c>
      <c r="H84" s="464"/>
      <c r="I84" s="464"/>
      <c r="J84" s="464"/>
      <c r="K84" s="465"/>
      <c r="L84" s="466"/>
      <c r="M84" s="467"/>
      <c r="N84" s="872"/>
      <c r="O84" s="872"/>
      <c r="P84" s="1767"/>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7"/>
      <c r="Q85" s="433"/>
    </row>
    <row r="86" spans="1:17" s="101" customFormat="1" ht="15.75" thickTop="1">
      <c r="A86" s="364"/>
      <c r="B86" s="463" t="s">
        <v>1728</v>
      </c>
      <c r="C86" s="479"/>
      <c r="D86" s="479"/>
      <c r="E86" s="479"/>
      <c r="F86" s="479"/>
      <c r="G86" s="479"/>
      <c r="H86" s="479"/>
      <c r="I86" s="479"/>
      <c r="J86" s="479"/>
      <c r="K86" s="479"/>
      <c r="L86" s="504"/>
      <c r="M86" s="505"/>
      <c r="N86" s="871"/>
      <c r="O86" s="871"/>
      <c r="P86" s="1767"/>
      <c r="Q86" s="433"/>
    </row>
    <row r="87" spans="1:17" s="101"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7"/>
      <c r="Q87" s="433"/>
    </row>
    <row r="88" spans="1:17" s="101" customFormat="1" ht="15.75" thickTop="1">
      <c r="A88" s="364"/>
      <c r="B88" s="463" t="s">
        <v>1729</v>
      </c>
      <c r="C88" s="479"/>
      <c r="D88" s="479"/>
      <c r="E88" s="479"/>
      <c r="F88" s="1772"/>
      <c r="G88" s="479"/>
      <c r="H88" s="479"/>
      <c r="I88" s="479"/>
      <c r="J88" s="479"/>
      <c r="K88" s="479"/>
      <c r="L88" s="479"/>
      <c r="M88" s="505"/>
      <c r="N88" s="871"/>
      <c r="O88" s="871"/>
      <c r="P88" s="1767"/>
      <c r="Q88" s="433"/>
    </row>
    <row r="89" spans="1:17" s="101"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7"/>
      <c r="Q89" s="433"/>
    </row>
    <row r="90" spans="1:17" s="402" customFormat="1" ht="15.75" thickTop="1">
      <c r="A90" s="478"/>
      <c r="B90" s="463">
        <f>B27</f>
        <v>111</v>
      </c>
      <c r="C90" s="479"/>
      <c r="D90" s="479"/>
      <c r="E90" s="479"/>
      <c r="F90" s="479"/>
      <c r="G90" s="479"/>
      <c r="H90" s="480"/>
      <c r="I90" s="480"/>
      <c r="J90" s="480"/>
      <c r="K90" s="480"/>
      <c r="L90" s="481"/>
      <c r="M90" s="482"/>
      <c r="N90" s="874"/>
      <c r="O90" s="874"/>
      <c r="P90" s="1768"/>
      <c r="Q90" s="484"/>
    </row>
    <row r="91" spans="1:17" s="402" customFormat="1" ht="15.75" thickBot="1">
      <c r="A91" s="478"/>
      <c r="B91" s="468"/>
      <c r="C91" s="485"/>
      <c r="D91" s="485"/>
      <c r="E91" s="485"/>
      <c r="F91" s="485"/>
      <c r="G91" s="485"/>
      <c r="H91" s="487"/>
      <c r="I91" s="487"/>
      <c r="J91" s="487"/>
      <c r="K91" s="487"/>
      <c r="L91" s="487"/>
      <c r="M91" s="488"/>
      <c r="N91" s="874"/>
      <c r="O91" s="874"/>
      <c r="P91" s="1768"/>
      <c r="Q91" s="484"/>
    </row>
    <row r="92" spans="1:17" ht="15.75" thickTop="1">
      <c r="A92" s="361"/>
      <c r="B92" s="463">
        <f>B28</f>
        <v>111</v>
      </c>
      <c r="C92" s="479"/>
      <c r="D92" s="479"/>
      <c r="E92" s="479"/>
      <c r="F92" s="479"/>
      <c r="G92" s="507"/>
      <c r="H92" s="507"/>
      <c r="I92" s="507"/>
      <c r="J92" s="507"/>
      <c r="K92" s="508"/>
      <c r="L92" s="509"/>
      <c r="M92" s="510"/>
      <c r="N92" s="872"/>
      <c r="O92" s="872"/>
      <c r="P92" s="1767"/>
      <c r="Q92" s="433"/>
    </row>
    <row r="93" spans="1:17" ht="15.75" thickBot="1">
      <c r="A93" s="361"/>
      <c r="B93" s="468"/>
      <c r="C93" s="485"/>
      <c r="D93" s="461"/>
      <c r="E93" s="461"/>
      <c r="F93" s="461"/>
      <c r="G93" s="461"/>
      <c r="H93" s="461"/>
      <c r="I93" s="461"/>
      <c r="J93" s="461"/>
      <c r="K93" s="461"/>
      <c r="L93" s="461"/>
      <c r="M93" s="462"/>
      <c r="N93" s="873"/>
      <c r="O93" s="873"/>
      <c r="P93" s="1767"/>
      <c r="Q93" s="433"/>
    </row>
    <row r="94" spans="1:17" ht="15.75" thickTop="1">
      <c r="A94" s="361"/>
      <c r="B94" s="463">
        <f>B29</f>
        <v>111</v>
      </c>
      <c r="C94" s="479"/>
      <c r="D94" s="479"/>
      <c r="E94" s="479"/>
      <c r="F94" s="479"/>
      <c r="G94" s="507"/>
      <c r="H94" s="507"/>
      <c r="I94" s="507"/>
      <c r="J94" s="507"/>
      <c r="K94" s="508"/>
      <c r="L94" s="509"/>
      <c r="M94" s="510"/>
      <c r="N94" s="872"/>
      <c r="O94" s="872"/>
      <c r="P94" s="1767"/>
      <c r="Q94" s="433"/>
    </row>
    <row r="95" spans="1:17" ht="15.75" thickBot="1">
      <c r="A95" s="361"/>
      <c r="B95" s="468"/>
      <c r="C95" s="485"/>
      <c r="D95" s="485"/>
      <c r="E95" s="485"/>
      <c r="F95" s="485"/>
      <c r="G95" s="461"/>
      <c r="H95" s="461"/>
      <c r="I95" s="461"/>
      <c r="J95" s="461"/>
      <c r="K95" s="461"/>
      <c r="L95" s="461"/>
      <c r="M95" s="462"/>
      <c r="N95" s="873"/>
      <c r="O95" s="873"/>
      <c r="P95" s="1767"/>
      <c r="Q95" s="433"/>
    </row>
    <row r="96" spans="1:17" ht="15.75" thickTop="1">
      <c r="A96" s="361"/>
      <c r="B96" s="463">
        <f>B30</f>
        <v>111</v>
      </c>
      <c r="C96" s="479"/>
      <c r="D96" s="479"/>
      <c r="E96" s="479"/>
      <c r="F96" s="479"/>
      <c r="G96" s="507"/>
      <c r="H96" s="507"/>
      <c r="I96" s="507"/>
      <c r="J96" s="507"/>
      <c r="K96" s="508"/>
      <c r="L96" s="509"/>
      <c r="M96" s="510"/>
      <c r="N96" s="872"/>
      <c r="O96" s="872"/>
      <c r="P96" s="1767"/>
      <c r="Q96" s="433"/>
    </row>
    <row r="97" spans="1:17" ht="15.75" thickBot="1">
      <c r="A97" s="361"/>
      <c r="B97" s="468"/>
      <c r="C97" s="495"/>
      <c r="D97" s="495"/>
      <c r="E97" s="495"/>
      <c r="F97" s="495"/>
      <c r="G97" s="461"/>
      <c r="H97" s="461"/>
      <c r="I97" s="461"/>
      <c r="J97" s="461"/>
      <c r="K97" s="461"/>
      <c r="L97" s="461"/>
      <c r="M97" s="462"/>
      <c r="N97" s="873"/>
      <c r="O97" s="873"/>
      <c r="P97" s="1767"/>
      <c r="Q97" s="433"/>
    </row>
    <row r="98" spans="1:17" ht="15.75" thickTop="1">
      <c r="A98" s="361"/>
      <c r="B98" s="471">
        <f>B31</f>
        <v>111</v>
      </c>
      <c r="C98" s="511"/>
      <c r="D98" s="511"/>
      <c r="E98" s="511"/>
      <c r="F98" s="511"/>
      <c r="G98" s="511"/>
      <c r="H98" s="511"/>
      <c r="I98" s="511"/>
      <c r="J98" s="511"/>
      <c r="K98" s="512"/>
      <c r="L98" s="513"/>
      <c r="M98" s="514"/>
      <c r="N98" s="872"/>
      <c r="O98" s="872"/>
      <c r="P98" s="1767"/>
      <c r="Q98" s="433"/>
    </row>
    <row r="99" spans="1:17" ht="15.75" thickBot="1">
      <c r="A99" s="369"/>
      <c r="B99" s="494"/>
      <c r="C99" s="515"/>
      <c r="D99" s="515"/>
      <c r="E99" s="515"/>
      <c r="F99" s="515"/>
      <c r="G99" s="515"/>
      <c r="H99" s="515"/>
      <c r="I99" s="515"/>
      <c r="J99" s="515"/>
      <c r="K99" s="515"/>
      <c r="L99" s="515"/>
      <c r="M99" s="516"/>
      <c r="N99" s="873"/>
      <c r="O99" s="873"/>
      <c r="P99" s="1767"/>
      <c r="Q99" s="433"/>
    </row>
    <row r="100" spans="1:17">
      <c r="A100" s="373" t="s">
        <v>1688</v>
      </c>
      <c r="B100" s="454" t="s">
        <v>1730</v>
      </c>
      <c r="C100" s="456"/>
      <c r="D100" s="456"/>
      <c r="E100" s="456"/>
      <c r="F100" s="456"/>
      <c r="G100" s="456"/>
      <c r="H100" s="456"/>
      <c r="I100" s="456"/>
      <c r="J100" s="456"/>
      <c r="K100" s="457"/>
      <c r="L100" s="458"/>
      <c r="M100" s="459"/>
      <c r="N100" s="872"/>
      <c r="O100" s="872"/>
      <c r="P100" s="1767"/>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7"/>
      <c r="Q101" s="433"/>
    </row>
    <row r="102" spans="1:17" ht="15.75" thickTop="1">
      <c r="A102" s="361"/>
      <c r="B102" s="463" t="s">
        <v>1731</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7"/>
      <c r="Q102" s="433"/>
    </row>
    <row r="103" spans="1:17" s="402" customFormat="1">
      <c r="A103" s="400"/>
      <c r="B103" s="517"/>
      <c r="C103" s="6"/>
      <c r="D103" s="6"/>
      <c r="E103" s="6"/>
      <c r="F103" s="6"/>
      <c r="G103" s="6"/>
      <c r="H103" s="6"/>
      <c r="I103" s="6"/>
      <c r="J103" s="518"/>
      <c r="K103" s="518"/>
      <c r="L103" s="519"/>
      <c r="M103" s="520"/>
      <c r="N103" s="874"/>
      <c r="O103" s="874"/>
      <c r="P103" s="1768"/>
      <c r="Q103" s="484"/>
    </row>
    <row r="104" spans="1:17" s="402" customFormat="1" ht="15.75" thickBot="1">
      <c r="A104" s="478"/>
      <c r="B104" s="468"/>
      <c r="C104" s="485"/>
      <c r="D104" s="461"/>
      <c r="E104" s="461"/>
      <c r="F104" s="461"/>
      <c r="G104" s="461"/>
      <c r="H104" s="461"/>
      <c r="I104" s="461"/>
      <c r="J104" s="461"/>
      <c r="K104" s="461"/>
      <c r="L104" s="461"/>
      <c r="M104" s="461"/>
      <c r="N104" s="873"/>
      <c r="O104" s="873"/>
      <c r="P104" s="1768"/>
      <c r="Q104" s="484"/>
    </row>
    <row r="105" spans="1:17" ht="15" thickTop="1">
      <c r="A105" s="403"/>
      <c r="B105" s="463" t="s">
        <v>1732</v>
      </c>
      <c r="C105" s="479"/>
      <c r="D105" s="479"/>
      <c r="E105" s="507"/>
      <c r="F105" s="507"/>
      <c r="G105" s="507"/>
      <c r="H105" s="507"/>
      <c r="I105" s="507"/>
      <c r="J105" s="507"/>
      <c r="K105" s="508"/>
      <c r="L105" s="509"/>
      <c r="M105" s="510"/>
      <c r="N105" s="872"/>
      <c r="O105" s="872"/>
      <c r="P105" s="1767"/>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7"/>
      <c r="Q106" s="433"/>
    </row>
    <row r="107" spans="1:17" ht="15" thickTop="1">
      <c r="A107" s="403"/>
      <c r="B107" s="463" t="s">
        <v>1733</v>
      </c>
      <c r="C107" s="507"/>
      <c r="D107" s="507"/>
      <c r="E107" s="507"/>
      <c r="F107" s="507"/>
      <c r="G107" s="507"/>
      <c r="H107" s="507"/>
      <c r="I107" s="507"/>
      <c r="J107" s="507"/>
      <c r="K107" s="508"/>
      <c r="L107" s="509"/>
      <c r="M107" s="510"/>
      <c r="N107" s="872"/>
      <c r="O107" s="872"/>
      <c r="P107" s="1767"/>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7"/>
      <c r="Q108" s="433"/>
    </row>
    <row r="109" spans="1:17" ht="15" thickTop="1">
      <c r="A109" s="403"/>
      <c r="B109" s="463" t="s">
        <v>1734</v>
      </c>
      <c r="C109" s="479"/>
      <c r="D109" s="479"/>
      <c r="E109" s="479"/>
      <c r="F109" s="507"/>
      <c r="G109" s="507"/>
      <c r="H109" s="507"/>
      <c r="I109" s="507"/>
      <c r="J109" s="507"/>
      <c r="K109" s="508"/>
      <c r="L109" s="509"/>
      <c r="M109" s="510"/>
      <c r="N109" s="872"/>
      <c r="O109" s="872"/>
      <c r="P109" s="1767"/>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7"/>
      <c r="Q110" s="433"/>
    </row>
    <row r="111" spans="1:17" s="402" customFormat="1" ht="15" thickTop="1">
      <c r="A111" s="400"/>
      <c r="B111" s="463" t="s">
        <v>1187</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8"/>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8"/>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8"/>
      <c r="Q113" s="484"/>
    </row>
    <row r="114" spans="1:17" ht="15" thickTop="1">
      <c r="A114" s="403"/>
      <c r="B114" s="463" t="s">
        <v>1735</v>
      </c>
      <c r="C114" s="479"/>
      <c r="D114" s="479"/>
      <c r="E114" s="507"/>
      <c r="F114" s="507"/>
      <c r="G114" s="507"/>
      <c r="H114" s="507"/>
      <c r="I114" s="507"/>
      <c r="J114" s="507"/>
      <c r="K114" s="508"/>
      <c r="L114" s="509"/>
      <c r="M114" s="510"/>
      <c r="N114" s="872"/>
      <c r="O114" s="872"/>
      <c r="P114" s="1767"/>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7"/>
      <c r="Q115" s="433"/>
    </row>
    <row r="116" spans="1:17" ht="15" thickTop="1">
      <c r="A116" s="403"/>
      <c r="B116" s="463" t="s">
        <v>1736</v>
      </c>
      <c r="C116" s="479"/>
      <c r="D116" s="479"/>
      <c r="E116" s="479"/>
      <c r="F116" s="479"/>
      <c r="G116" s="479"/>
      <c r="H116" s="507"/>
      <c r="I116" s="507"/>
      <c r="J116" s="507"/>
      <c r="K116" s="508"/>
      <c r="L116" s="509"/>
      <c r="M116" s="510"/>
      <c r="N116" s="872"/>
      <c r="O116" s="872"/>
      <c r="P116" s="1767"/>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7"/>
      <c r="Q117" s="433"/>
    </row>
    <row r="118" spans="1:17" ht="15" thickTop="1">
      <c r="A118" s="403"/>
      <c r="B118" s="463" t="s">
        <v>1737</v>
      </c>
      <c r="C118" s="507"/>
      <c r="D118" s="507"/>
      <c r="E118" s="507"/>
      <c r="F118" s="507"/>
      <c r="G118" s="507"/>
      <c r="H118" s="507"/>
      <c r="I118" s="507"/>
      <c r="J118" s="507"/>
      <c r="K118" s="508"/>
      <c r="L118" s="509"/>
      <c r="M118" s="510"/>
      <c r="N118" s="872"/>
      <c r="O118" s="872"/>
      <c r="P118" s="1767"/>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7"/>
      <c r="Q119" s="433"/>
    </row>
    <row r="120" spans="1:17" s="402" customFormat="1" ht="28.5" thickTop="1">
      <c r="A120" s="400"/>
      <c r="B120" s="463" t="s">
        <v>1699</v>
      </c>
      <c r="C120" s="479"/>
      <c r="D120" s="479"/>
      <c r="E120" s="479"/>
      <c r="F120" s="479"/>
      <c r="G120" s="479"/>
      <c r="H120" s="479"/>
      <c r="I120" s="479"/>
      <c r="J120" s="479"/>
      <c r="K120" s="479"/>
      <c r="L120" s="504"/>
      <c r="M120" s="505"/>
      <c r="N120" s="874"/>
      <c r="O120" s="874"/>
      <c r="P120" s="1768"/>
      <c r="Q120" s="484"/>
    </row>
    <row r="121" spans="1:17" s="402" customFormat="1" ht="15.75" thickBot="1">
      <c r="A121" s="478"/>
      <c r="B121" s="460"/>
      <c r="C121" s="485"/>
      <c r="D121" s="461"/>
      <c r="E121" s="461"/>
      <c r="F121" s="461"/>
      <c r="G121" s="461"/>
      <c r="H121" s="461"/>
      <c r="I121" s="461"/>
      <c r="J121" s="461"/>
      <c r="K121" s="461"/>
      <c r="L121" s="461"/>
      <c r="M121" s="461"/>
      <c r="N121" s="874"/>
      <c r="O121" s="874"/>
      <c r="P121" s="1768"/>
      <c r="Q121" s="484"/>
    </row>
    <row r="122" spans="1:17" ht="15" thickTop="1">
      <c r="A122" s="403"/>
      <c r="B122" s="463" t="s">
        <v>1738</v>
      </c>
      <c r="C122" s="479"/>
      <c r="D122" s="479"/>
      <c r="E122" s="479"/>
      <c r="F122" s="507"/>
      <c r="G122" s="507"/>
      <c r="H122" s="507"/>
      <c r="I122" s="507"/>
      <c r="J122" s="507"/>
      <c r="K122" s="508"/>
      <c r="L122" s="509"/>
      <c r="M122" s="510"/>
      <c r="N122" s="872"/>
      <c r="O122" s="872"/>
      <c r="P122" s="1767"/>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7"/>
      <c r="Q123" s="433"/>
    </row>
    <row r="124" spans="1:17" ht="15" thickTop="1">
      <c r="A124" s="403"/>
      <c r="B124" s="463" t="s">
        <v>1739</v>
      </c>
      <c r="C124" s="503" t="s">
        <v>1715</v>
      </c>
      <c r="D124" s="503" t="s">
        <v>1716</v>
      </c>
      <c r="E124" s="503" t="s">
        <v>1717</v>
      </c>
      <c r="F124" s="503" t="s">
        <v>1718</v>
      </c>
      <c r="G124" s="503" t="s">
        <v>1719</v>
      </c>
      <c r="H124" s="464"/>
      <c r="I124" s="464"/>
      <c r="J124" s="464"/>
      <c r="K124" s="465"/>
      <c r="L124" s="466"/>
      <c r="M124" s="467"/>
      <c r="N124" s="872"/>
      <c r="O124" s="872"/>
      <c r="P124" s="1768"/>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7"/>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8"/>
      <c r="Q126" s="484"/>
    </row>
    <row r="127" spans="1:17" s="402" customFormat="1" ht="15.75" thickBot="1">
      <c r="A127" s="478"/>
      <c r="B127" s="468"/>
      <c r="C127" s="485"/>
      <c r="D127" s="461"/>
      <c r="E127" s="461"/>
      <c r="F127" s="461"/>
      <c r="G127" s="485"/>
      <c r="H127" s="487"/>
      <c r="I127" s="487"/>
      <c r="J127" s="487"/>
      <c r="K127" s="487"/>
      <c r="L127" s="487"/>
      <c r="M127" s="488"/>
      <c r="N127" s="874"/>
      <c r="O127" s="874"/>
      <c r="P127" s="1768"/>
      <c r="Q127" s="484"/>
    </row>
    <row r="128" spans="1:17" ht="15" thickTop="1">
      <c r="A128" s="403"/>
      <c r="B128" s="463">
        <f>B45</f>
        <v>111</v>
      </c>
      <c r="C128" s="479"/>
      <c r="D128" s="479"/>
      <c r="E128" s="479"/>
      <c r="F128" s="479"/>
      <c r="G128" s="507"/>
      <c r="H128" s="507"/>
      <c r="I128" s="507"/>
      <c r="J128" s="507"/>
      <c r="K128" s="508"/>
      <c r="L128" s="509"/>
      <c r="M128" s="510"/>
      <c r="N128" s="872"/>
      <c r="O128" s="872"/>
      <c r="P128" s="1767"/>
      <c r="Q128" s="433"/>
    </row>
    <row r="129" spans="1:17" ht="15.75" thickBot="1">
      <c r="A129" s="361"/>
      <c r="B129" s="468"/>
      <c r="C129" s="485"/>
      <c r="D129" s="485"/>
      <c r="E129" s="485"/>
      <c r="F129" s="485"/>
      <c r="G129" s="461"/>
      <c r="H129" s="461"/>
      <c r="I129" s="461"/>
      <c r="J129" s="461"/>
      <c r="K129" s="461"/>
      <c r="L129" s="461"/>
      <c r="M129" s="462"/>
      <c r="N129" s="873"/>
      <c r="O129" s="873"/>
      <c r="P129" s="1767"/>
      <c r="Q129" s="433"/>
    </row>
    <row r="130" spans="1:17" ht="15" thickTop="1">
      <c r="A130" s="403"/>
      <c r="B130" s="471">
        <f>B46</f>
        <v>111</v>
      </c>
      <c r="C130" s="479"/>
      <c r="D130" s="479"/>
      <c r="E130" s="479"/>
      <c r="F130" s="479"/>
      <c r="G130" s="511"/>
      <c r="H130" s="511"/>
      <c r="I130" s="511"/>
      <c r="J130" s="511"/>
      <c r="K130" s="31"/>
      <c r="L130" s="451"/>
      <c r="M130" s="514"/>
      <c r="N130" s="872"/>
      <c r="O130" s="872"/>
      <c r="P130" s="1767"/>
      <c r="Q130" s="433"/>
    </row>
    <row r="131" spans="1:17" ht="15.75" thickBot="1">
      <c r="A131" s="369"/>
      <c r="B131" s="494"/>
      <c r="C131" s="495"/>
      <c r="D131" s="495"/>
      <c r="E131" s="495"/>
      <c r="F131" s="495"/>
      <c r="G131" s="515"/>
      <c r="H131" s="515"/>
      <c r="I131" s="515"/>
      <c r="J131" s="515"/>
      <c r="K131" s="515"/>
      <c r="L131" s="515"/>
      <c r="M131" s="516"/>
      <c r="N131" s="873"/>
      <c r="O131" s="873"/>
      <c r="P131" s="1767"/>
      <c r="Q131" s="433"/>
    </row>
    <row r="136" spans="1:17" ht="15" thickBot="1">
      <c r="B136" s="1773" t="s">
        <v>1740</v>
      </c>
    </row>
    <row r="137" spans="1:17" ht="15">
      <c r="B137" s="1774" t="s">
        <v>1741</v>
      </c>
      <c r="C137" s="1775"/>
      <c r="D137" s="1775"/>
      <c r="E137" s="1775"/>
      <c r="F137" s="1775"/>
      <c r="G137" s="1776"/>
      <c r="H137" s="1777"/>
      <c r="I137" s="1778" t="s">
        <v>1742</v>
      </c>
      <c r="J137" s="1775"/>
      <c r="K137" s="1779"/>
    </row>
    <row r="138" spans="1:17" ht="15">
      <c r="B138" s="1780"/>
      <c r="C138" s="123" t="s">
        <v>1743</v>
      </c>
      <c r="D138" s="123" t="s">
        <v>1744</v>
      </c>
      <c r="E138" s="1781" t="s">
        <v>1745</v>
      </c>
      <c r="F138" s="1782" t="s">
        <v>1746</v>
      </c>
      <c r="G138" s="123" t="s">
        <v>1744</v>
      </c>
      <c r="H138" s="124" t="s">
        <v>1745</v>
      </c>
      <c r="I138" s="1783"/>
      <c r="J138" s="123" t="s">
        <v>1747</v>
      </c>
      <c r="K138" s="124" t="s">
        <v>1748</v>
      </c>
    </row>
    <row r="139" spans="1:17" ht="15">
      <c r="B139" s="807">
        <v>6</v>
      </c>
      <c r="C139" s="808">
        <v>96</v>
      </c>
      <c r="D139" s="1784" t="s">
        <v>1749</v>
      </c>
      <c r="E139" s="809">
        <v>100</v>
      </c>
      <c r="F139" s="810">
        <v>102.5</v>
      </c>
      <c r="G139" s="1784" t="s">
        <v>1749</v>
      </c>
      <c r="H139" s="811">
        <v>105</v>
      </c>
      <c r="I139" s="1785" t="s">
        <v>1750</v>
      </c>
      <c r="J139" s="808">
        <v>20</v>
      </c>
      <c r="K139" s="812">
        <f>C145/(J139-2)</f>
        <v>4.0555555555555553E-3</v>
      </c>
    </row>
    <row r="140" spans="1:17" ht="15">
      <c r="B140" s="813">
        <v>5</v>
      </c>
      <c r="C140" s="814">
        <v>100</v>
      </c>
      <c r="D140" s="814"/>
      <c r="E140" s="815"/>
      <c r="F140" s="816">
        <v>102</v>
      </c>
      <c r="G140" s="814"/>
      <c r="H140" s="817"/>
      <c r="I140" s="1786" t="s">
        <v>1751</v>
      </c>
      <c r="J140" s="257">
        <f>ROUNDUP((J139-1)/2,0)</f>
        <v>10</v>
      </c>
      <c r="K140" s="818">
        <v>100</v>
      </c>
    </row>
    <row r="141" spans="1:17" ht="15">
      <c r="B141" s="813">
        <v>4</v>
      </c>
      <c r="C141" s="814">
        <v>102</v>
      </c>
      <c r="D141" s="814"/>
      <c r="E141" s="815"/>
      <c r="F141" s="816">
        <v>101.5</v>
      </c>
      <c r="G141" s="814"/>
      <c r="H141" s="817"/>
      <c r="I141" s="1786" t="s">
        <v>1752</v>
      </c>
      <c r="J141" s="257">
        <v>1</v>
      </c>
      <c r="K141" s="819">
        <f>ROUND(100+(J141-J140)*K139*100,1)</f>
        <v>96.4</v>
      </c>
    </row>
    <row r="142" spans="1:17" ht="15">
      <c r="B142" s="813">
        <v>3</v>
      </c>
      <c r="C142" s="814">
        <v>103</v>
      </c>
      <c r="D142" s="814"/>
      <c r="E142" s="815"/>
      <c r="F142" s="816">
        <v>101</v>
      </c>
      <c r="G142" s="814"/>
      <c r="H142" s="817"/>
      <c r="I142" s="1786" t="s">
        <v>1753</v>
      </c>
      <c r="J142" s="257">
        <f>J139</f>
        <v>20</v>
      </c>
      <c r="K142" s="820">
        <v>95</v>
      </c>
    </row>
    <row r="143" spans="1:17" ht="15">
      <c r="B143" s="813">
        <v>2</v>
      </c>
      <c r="C143" s="814">
        <v>100</v>
      </c>
      <c r="D143" s="814"/>
      <c r="E143" s="815"/>
      <c r="F143" s="816">
        <v>100.5</v>
      </c>
      <c r="G143" s="814"/>
      <c r="H143" s="817"/>
      <c r="I143" s="1786" t="s">
        <v>1754</v>
      </c>
      <c r="J143" s="814">
        <v>15</v>
      </c>
      <c r="K143" s="819">
        <f>ROUND(100+(J143-J140)*K139*100,1)</f>
        <v>102</v>
      </c>
    </row>
    <row r="144" spans="1:17" ht="15">
      <c r="B144" s="813">
        <v>1</v>
      </c>
      <c r="C144" s="814">
        <v>98</v>
      </c>
      <c r="D144" s="1787" t="s">
        <v>1755</v>
      </c>
      <c r="E144" s="815">
        <v>102</v>
      </c>
      <c r="F144" s="821">
        <v>100</v>
      </c>
      <c r="G144" s="1787" t="s">
        <v>1755</v>
      </c>
      <c r="H144" s="817">
        <v>105</v>
      </c>
      <c r="I144" s="1786" t="s">
        <v>1754</v>
      </c>
      <c r="J144" s="814">
        <v>18</v>
      </c>
      <c r="K144" s="819">
        <f>ROUND(100+(J144-J140)*K139*100,1)</f>
        <v>103.2</v>
      </c>
    </row>
    <row r="145" spans="2:11" ht="15.75" thickBot="1">
      <c r="B145" s="1788" t="s">
        <v>1756</v>
      </c>
      <c r="C145" s="822">
        <f>ROUND(MAX(C139:C144)/MIN(C139:C144)-1,3)</f>
        <v>7.2999999999999995E-2</v>
      </c>
      <c r="D145" s="823"/>
      <c r="E145" s="823"/>
      <c r="F145" s="1789" t="s">
        <v>1757</v>
      </c>
      <c r="G145" s="1790"/>
      <c r="H145" s="1791"/>
      <c r="I145" s="1792" t="s">
        <v>1754</v>
      </c>
      <c r="J145" s="824">
        <v>8</v>
      </c>
      <c r="K145" s="825">
        <f>ROUND(100+(J145-J140)*K139*100,1)</f>
        <v>99.2</v>
      </c>
    </row>
    <row r="147" spans="2:11">
      <c r="B147" s="1773" t="s">
        <v>1758</v>
      </c>
    </row>
    <row r="148" spans="2:11">
      <c r="B148" s="1773"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1654</v>
      </c>
      <c r="B1" s="1726" t="s">
        <v>1760</v>
      </c>
      <c r="C1" s="1148" t="s">
        <v>1656</v>
      </c>
      <c r="D1" s="1135"/>
      <c r="E1" s="3105"/>
      <c r="F1" s="1727"/>
      <c r="G1" s="1145" t="s">
        <v>1761</v>
      </c>
      <c r="H1" s="1144"/>
      <c r="I1" s="1144"/>
      <c r="J1" s="1144"/>
      <c r="K1" s="1146"/>
      <c r="L1" s="1147"/>
      <c r="M1" s="1148"/>
      <c r="N1" s="1148"/>
      <c r="O1" s="1148"/>
      <c r="P1" s="1793"/>
      <c r="Q1" s="1794"/>
      <c r="R1" s="1794"/>
      <c r="S1" s="1794"/>
      <c r="T1" s="1794"/>
      <c r="U1" s="1794"/>
      <c r="V1" s="1794"/>
      <c r="W1" s="1794"/>
      <c r="X1" s="1794"/>
      <c r="Y1" s="1794"/>
      <c r="Z1" s="1794"/>
      <c r="AA1" s="1794"/>
      <c r="AB1" s="1794"/>
      <c r="AC1" s="1795"/>
    </row>
    <row r="2" spans="1:29" s="336" customFormat="1" ht="28.5" customHeight="1" thickTop="1">
      <c r="A2" s="1131" t="s">
        <v>1456</v>
      </c>
      <c r="B2" s="1078" t="b">
        <f>IF(E1="项目模式",IF(C2="——",ROUND(C49*D3/10000,0),ROUND(C49*D3/10000,0)-D2),IF(E1="单套模式",IF(C2="——",ROUND(C49*D3/10000,4),ROUND(C49*D3/10000,4)-D2)))</f>
        <v>0</v>
      </c>
      <c r="C2" s="1729"/>
      <c r="D2" s="1045" t="e">
        <f ca="1">IF(E1="项目模式",SUMIF(INDIRECT("'"&amp;F2&amp;"'"&amp;"!A:A"),"承租人权益价值",INDIRECT("'"&amp;F2&amp;"'"&amp;"!c:c")),SUMIF(INDIRECT("'"&amp;F2&amp;"'"&amp;"!A:A"),"承租人权益价值（单套）",INDIRECT("'"&amp;F2&amp;"'"&amp;"!c:c")))</f>
        <v>#REF!</v>
      </c>
      <c r="E2" s="1730" t="s">
        <v>1457</v>
      </c>
      <c r="F2" s="1731"/>
      <c r="G2" s="848"/>
      <c r="H2" s="848"/>
      <c r="I2" s="848"/>
      <c r="J2" s="848"/>
      <c r="K2" s="848"/>
      <c r="L2" s="2484"/>
      <c r="M2" s="2485"/>
      <c r="N2" s="2485"/>
      <c r="O2" s="2485"/>
      <c r="P2" s="1796"/>
      <c r="Q2" s="852"/>
      <c r="R2" s="852"/>
      <c r="S2" s="852"/>
      <c r="T2" s="852"/>
      <c r="U2" s="852"/>
      <c r="V2" s="852"/>
      <c r="W2" s="852"/>
      <c r="X2" s="852"/>
      <c r="Y2" s="852"/>
      <c r="Z2" s="852"/>
      <c r="AA2" s="852"/>
      <c r="AB2" s="852"/>
      <c r="AC2" s="1797"/>
    </row>
    <row r="3" spans="1:29" s="336" customFormat="1" ht="28.5" customHeight="1" thickBot="1">
      <c r="A3" s="189" t="s">
        <v>1458</v>
      </c>
      <c r="B3" s="530">
        <f>IF(C2="——",C49,ROUND(B2*10000/D3,0))</f>
        <v>0</v>
      </c>
      <c r="C3" s="338" t="s">
        <v>1762</v>
      </c>
      <c r="D3" s="337">
        <f>IF(D1="",'数据-汇总表'!E3,SUMIF('数据-汇总表'!$C19:$C33,D1,'数据-汇总表'!$E19:$E33))</f>
        <v>5979.5300000000007</v>
      </c>
      <c r="E3" s="1797"/>
      <c r="F3" s="849"/>
      <c r="G3" s="848"/>
      <c r="H3" s="848"/>
      <c r="I3" s="848"/>
      <c r="J3" s="848"/>
      <c r="K3" s="850"/>
      <c r="L3" s="2484"/>
      <c r="M3" s="2485"/>
      <c r="N3" s="2485"/>
      <c r="O3" s="2485"/>
      <c r="P3" s="1796"/>
      <c r="Q3" s="852"/>
      <c r="R3" s="852"/>
      <c r="S3" s="852"/>
      <c r="T3" s="852"/>
      <c r="U3" s="852"/>
      <c r="V3" s="852"/>
      <c r="W3" s="852"/>
      <c r="X3" s="852"/>
      <c r="Y3" s="852"/>
      <c r="Z3" s="852"/>
      <c r="AA3" s="852"/>
      <c r="AB3" s="852"/>
      <c r="AC3" s="1797"/>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34" t="s">
        <v>1769</v>
      </c>
      <c r="Q4" s="3535"/>
      <c r="R4" s="3540" t="s">
        <v>1765</v>
      </c>
      <c r="S4" s="3541"/>
      <c r="T4" s="3540" t="s">
        <v>1766</v>
      </c>
      <c r="U4" s="3541"/>
      <c r="V4" s="3516" t="s">
        <v>1767</v>
      </c>
      <c r="W4" s="3516"/>
      <c r="X4" s="1257"/>
      <c r="Y4" s="3540" t="s">
        <v>1769</v>
      </c>
      <c r="Z4" s="3541"/>
      <c r="AA4" s="3527" t="s">
        <v>1765</v>
      </c>
      <c r="AB4" s="3516" t="s">
        <v>1766</v>
      </c>
      <c r="AC4" s="3527" t="s">
        <v>1767</v>
      </c>
    </row>
    <row r="5" spans="1:29" ht="15">
      <c r="A5" s="342"/>
      <c r="B5" s="343"/>
      <c r="C5" s="3548" t="s">
        <v>1667</v>
      </c>
      <c r="D5" s="3549"/>
      <c r="E5" s="3555" t="s">
        <v>1668</v>
      </c>
      <c r="F5" s="3556"/>
      <c r="G5" s="3548" t="s">
        <v>1669</v>
      </c>
      <c r="H5" s="3549"/>
      <c r="I5" s="3548" t="s">
        <v>1670</v>
      </c>
      <c r="J5" s="3549"/>
      <c r="K5" s="531"/>
      <c r="L5" s="2467"/>
      <c r="M5" s="2468"/>
      <c r="N5" s="2468"/>
      <c r="O5" s="2468"/>
      <c r="P5" s="3536"/>
      <c r="Q5" s="3537"/>
      <c r="R5" s="3542"/>
      <c r="S5" s="3543"/>
      <c r="T5" s="3542"/>
      <c r="U5" s="3543"/>
      <c r="V5" s="3516"/>
      <c r="W5" s="3516"/>
      <c r="X5" s="1257"/>
      <c r="Y5" s="3542"/>
      <c r="Z5" s="3543"/>
      <c r="AA5" s="3528"/>
      <c r="AB5" s="3516"/>
      <c r="AC5" s="3528"/>
    </row>
    <row r="6" spans="1:29" ht="15.75" thickBot="1">
      <c r="A6" s="344"/>
      <c r="B6" s="345"/>
      <c r="C6" s="3546" t="s">
        <v>1671</v>
      </c>
      <c r="D6" s="3547"/>
      <c r="E6" s="3553" t="s">
        <v>1671</v>
      </c>
      <c r="F6" s="3554"/>
      <c r="G6" s="3546" t="s">
        <v>1671</v>
      </c>
      <c r="H6" s="3547"/>
      <c r="I6" s="3546" t="s">
        <v>1671</v>
      </c>
      <c r="J6" s="3547"/>
      <c r="K6" s="531" t="s">
        <v>1672</v>
      </c>
      <c r="L6" s="2467"/>
      <c r="M6" s="2468"/>
      <c r="N6" s="2468"/>
      <c r="O6" s="2468"/>
      <c r="P6" s="3538"/>
      <c r="Q6" s="3539"/>
      <c r="R6" s="3542"/>
      <c r="S6" s="3543"/>
      <c r="T6" s="3544"/>
      <c r="U6" s="3545"/>
      <c r="V6" s="3516"/>
      <c r="W6" s="3516"/>
      <c r="X6" s="1257"/>
      <c r="Y6" s="3544"/>
      <c r="Z6" s="3545"/>
      <c r="AA6" s="3529"/>
      <c r="AB6" s="3516"/>
      <c r="AC6" s="3529"/>
    </row>
    <row r="7" spans="1:29" s="101" customFormat="1" ht="15.75" thickBot="1">
      <c r="A7" s="346" t="s">
        <v>1673</v>
      </c>
      <c r="B7" s="347"/>
      <c r="C7" s="348">
        <f>'数据-取费表'!B2</f>
        <v>45418</v>
      </c>
      <c r="D7" s="349">
        <v>100</v>
      </c>
      <c r="E7" s="350"/>
      <c r="F7" s="351">
        <f>SUMIF(58:58,YEAR(E7)&amp;"-"&amp;MONTH(E7),59:59)</f>
        <v>0</v>
      </c>
      <c r="G7" s="350"/>
      <c r="H7" s="349">
        <f>SUMIF(58:58,YEAR(G7)&amp;"-"&amp;MONTH(G7),59:59)</f>
        <v>0</v>
      </c>
      <c r="I7" s="350"/>
      <c r="J7" s="349">
        <f>SUMIF(58:58,YEAR(I7)&amp;"-"&amp;MONTH(I7),59:59)</f>
        <v>0</v>
      </c>
      <c r="K7" s="38"/>
      <c r="L7" s="2469"/>
      <c r="M7" s="2423"/>
      <c r="N7" s="2423"/>
      <c r="O7" s="2423"/>
      <c r="P7" s="3550" t="s">
        <v>1674</v>
      </c>
      <c r="Q7" s="3552"/>
      <c r="R7" s="656" t="s">
        <v>14</v>
      </c>
      <c r="S7" s="657">
        <f t="shared" ref="S7:S15" si="0">F7</f>
        <v>0</v>
      </c>
      <c r="T7" s="656" t="s">
        <v>14</v>
      </c>
      <c r="U7" s="657">
        <f t="shared" ref="U7:U15" si="1">H7</f>
        <v>0</v>
      </c>
      <c r="V7" s="656" t="s">
        <v>14</v>
      </c>
      <c r="W7" s="657">
        <f t="shared" ref="W7:W15" si="2">J7</f>
        <v>0</v>
      </c>
      <c r="X7" s="658"/>
      <c r="Y7" s="3550" t="s">
        <v>1674</v>
      </c>
      <c r="Z7" s="3551"/>
      <c r="AA7" s="50" t="e">
        <f>D7/F7</f>
        <v>#DIV/0!</v>
      </c>
      <c r="AB7" s="50" t="e">
        <f>D7/H7</f>
        <v>#DIV/0!</v>
      </c>
      <c r="AC7" s="50" t="e">
        <f>D7/J7</f>
        <v>#DIV/0!</v>
      </c>
    </row>
    <row r="8" spans="1:29" s="101" customFormat="1" ht="15.75" thickBot="1">
      <c r="A8" s="346" t="s">
        <v>1675</v>
      </c>
      <c r="B8" s="347"/>
      <c r="C8" s="352"/>
      <c r="D8" s="349">
        <v>100</v>
      </c>
      <c r="E8" s="352"/>
      <c r="F8" s="351">
        <f>SUMIF(61:61,E8,62:62)-SUMIF(61:61,C8,62:62)+100</f>
        <v>100</v>
      </c>
      <c r="G8" s="352"/>
      <c r="H8" s="349">
        <f>SUMIF(61:61,G8,62:62)-SUMIF(61:61,C8,62:62)+100</f>
        <v>100</v>
      </c>
      <c r="I8" s="352"/>
      <c r="J8" s="349">
        <f>SUMIF(61:61,I8,62:62)-SUMIF(61:61,C8,62:62)+100</f>
        <v>100</v>
      </c>
      <c r="K8" s="38"/>
      <c r="L8" s="2469"/>
      <c r="M8" s="2423"/>
      <c r="N8" s="2423"/>
      <c r="O8" s="2423"/>
      <c r="P8" s="3550" t="s">
        <v>1677</v>
      </c>
      <c r="Q8" s="3551"/>
      <c r="R8" s="656" t="s">
        <v>14</v>
      </c>
      <c r="S8" s="657">
        <f t="shared" si="0"/>
        <v>100</v>
      </c>
      <c r="T8" s="656" t="s">
        <v>14</v>
      </c>
      <c r="U8" s="657">
        <f t="shared" si="1"/>
        <v>100</v>
      </c>
      <c r="V8" s="656" t="s">
        <v>14</v>
      </c>
      <c r="W8" s="657">
        <f t="shared" si="2"/>
        <v>100</v>
      </c>
      <c r="X8" s="658"/>
      <c r="Y8" s="3550" t="s">
        <v>1677</v>
      </c>
      <c r="Z8" s="3551"/>
      <c r="AA8" s="50">
        <f t="shared" ref="AA8:AA46" si="3">D8/F8</f>
        <v>1</v>
      </c>
      <c r="AB8" s="50">
        <f t="shared" ref="AB8:AB46" si="4">D8/H8</f>
        <v>1</v>
      </c>
      <c r="AC8" s="50">
        <f t="shared" ref="AC8:AC46" si="5">D8/J8</f>
        <v>1</v>
      </c>
    </row>
    <row r="9" spans="1:29" s="101" customFormat="1">
      <c r="A9" s="353" t="s">
        <v>1678</v>
      </c>
      <c r="B9" s="60" t="s">
        <v>1679</v>
      </c>
      <c r="C9" s="354"/>
      <c r="D9" s="59">
        <v>100</v>
      </c>
      <c r="E9" s="355"/>
      <c r="F9" s="60">
        <f>SUMIF(63:63,E9,64:64)-SUMIF(63:63,C9,64:64)+100</f>
        <v>100</v>
      </c>
      <c r="G9" s="355"/>
      <c r="H9" s="59">
        <f>SUMIF(63:63,G9,64:64)-SUMIF(63:63,C9,64:64)+100</f>
        <v>100</v>
      </c>
      <c r="I9" s="355"/>
      <c r="J9" s="59">
        <f>SUMIF(63:63,I9,64:64)-SUMIF(63:63,C9,64:64)+100</f>
        <v>100</v>
      </c>
      <c r="K9" s="38"/>
      <c r="L9" s="2469"/>
      <c r="M9" s="2423"/>
      <c r="N9" s="2423"/>
      <c r="O9" s="2423"/>
      <c r="P9" s="3526"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50">
        <f t="shared" si="5"/>
        <v>1</v>
      </c>
    </row>
    <row r="10" spans="1:29" s="360" customFormat="1" ht="27">
      <c r="A10" s="357"/>
      <c r="B10" s="358" t="s">
        <v>1682</v>
      </c>
      <c r="C10" s="3113"/>
      <c r="D10" s="113">
        <v>100</v>
      </c>
      <c r="E10" s="3114"/>
      <c r="F10" s="358">
        <f>SUMIF(65:65,E10,66:66)-SUMIF(65:65,C10,66:66)+100</f>
        <v>100</v>
      </c>
      <c r="G10" s="3113"/>
      <c r="H10" s="113">
        <f>SUMIF(65:65,G10,66:66)-SUMIF(65:65,C10,66:66)+100</f>
        <v>100</v>
      </c>
      <c r="I10" s="3113"/>
      <c r="J10" s="113">
        <f>SUMIF(65:65,I10,66:66)-SUMIF(65:65,C10,66:66)+100</f>
        <v>100</v>
      </c>
      <c r="K10" s="38"/>
      <c r="L10" s="2470"/>
      <c r="M10" s="2471"/>
      <c r="N10" s="2471"/>
      <c r="O10" s="2471"/>
      <c r="P10" s="3526"/>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50">
        <f t="shared" si="5"/>
        <v>1</v>
      </c>
    </row>
    <row r="11" spans="1:29" ht="15">
      <c r="A11" s="361"/>
      <c r="B11" s="358" t="s">
        <v>1683</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72"/>
      <c r="M11" s="2468"/>
      <c r="N11" s="2468"/>
      <c r="O11" s="2468"/>
      <c r="P11" s="3526"/>
      <c r="Q11" s="524" t="str">
        <f t="shared" si="6"/>
        <v>容积率</v>
      </c>
      <c r="R11" s="656" t="s">
        <v>14</v>
      </c>
      <c r="S11" s="657" t="e">
        <f t="shared" si="0"/>
        <v>#N/A</v>
      </c>
      <c r="T11" s="656" t="s">
        <v>14</v>
      </c>
      <c r="U11" s="657" t="e">
        <f t="shared" si="1"/>
        <v>#N/A</v>
      </c>
      <c r="V11" s="656" t="s">
        <v>14</v>
      </c>
      <c r="W11" s="657" t="e">
        <f t="shared" si="2"/>
        <v>#N/A</v>
      </c>
      <c r="X11" s="658"/>
      <c r="Y11" s="3367"/>
      <c r="Z11" s="50" t="str">
        <f t="shared" si="7"/>
        <v>容积率</v>
      </c>
      <c r="AA11" s="50" t="e">
        <f t="shared" si="3"/>
        <v>#N/A</v>
      </c>
      <c r="AB11" s="50" t="e">
        <f t="shared" si="4"/>
        <v>#N/A</v>
      </c>
      <c r="AC11" s="50" t="e">
        <f t="shared" si="5"/>
        <v>#N/A</v>
      </c>
    </row>
    <row r="12" spans="1:29" s="101"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69"/>
      <c r="M12" s="2423"/>
      <c r="N12" s="2423"/>
      <c r="O12" s="2423"/>
      <c r="P12" s="3526"/>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73"/>
      <c r="M13" s="2468"/>
      <c r="N13" s="2468"/>
      <c r="O13" s="2468"/>
      <c r="P13" s="3526"/>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50">
        <f t="shared" si="5"/>
        <v>1</v>
      </c>
    </row>
    <row r="14" spans="1:29" ht="15.75" thickBot="1">
      <c r="A14" s="369"/>
      <c r="B14" s="1741">
        <v>111</v>
      </c>
      <c r="C14" s="370"/>
      <c r="D14" s="371">
        <v>100</v>
      </c>
      <c r="E14" s="367"/>
      <c r="F14" s="372">
        <f>SUMIF(74:74,E14,75:75)-SUMIF(74:74,C14,75:75)+100</f>
        <v>100</v>
      </c>
      <c r="G14" s="367"/>
      <c r="H14" s="371">
        <f>SUMIF(74:74,G14,75:75)-SUMIF(74:74,C14,75:75)+100</f>
        <v>100</v>
      </c>
      <c r="I14" s="367"/>
      <c r="J14" s="371">
        <f>SUMIF(74:74,I14,75:75)-SUMIF(74:74,C14,75:75)+100</f>
        <v>100</v>
      </c>
      <c r="K14" s="533"/>
      <c r="L14" s="2473"/>
      <c r="M14" s="2468"/>
      <c r="N14" s="2468"/>
      <c r="O14" s="2468"/>
      <c r="P14" s="3526"/>
      <c r="Q14" s="524">
        <f t="shared" si="6"/>
        <v>111</v>
      </c>
      <c r="R14" s="656" t="s">
        <v>14</v>
      </c>
      <c r="S14" s="657">
        <f t="shared" si="0"/>
        <v>100</v>
      </c>
      <c r="T14" s="656" t="s">
        <v>14</v>
      </c>
      <c r="U14" s="657">
        <f t="shared" si="1"/>
        <v>100</v>
      </c>
      <c r="V14" s="656" t="s">
        <v>14</v>
      </c>
      <c r="W14" s="657">
        <f t="shared" si="2"/>
        <v>100</v>
      </c>
      <c r="X14" s="658"/>
      <c r="Y14" s="3367"/>
      <c r="Z14" s="50">
        <f t="shared" si="7"/>
        <v>111</v>
      </c>
      <c r="AA14" s="50">
        <f t="shared" si="3"/>
        <v>1</v>
      </c>
      <c r="AB14" s="50">
        <f t="shared" si="4"/>
        <v>1</v>
      </c>
      <c r="AC14" s="50">
        <f t="shared" si="5"/>
        <v>1</v>
      </c>
    </row>
    <row r="15" spans="1:29" ht="71.25">
      <c r="A15" s="373" t="s">
        <v>1684</v>
      </c>
      <c r="B15" s="58" t="s">
        <v>1771</v>
      </c>
      <c r="C15" s="1742" t="str">
        <f>估价对象房地状况!C4</f>
        <v>估价对象位于XX商圈，周边商业氛围成熟，人流量大，商业繁华度好</v>
      </c>
      <c r="D15" s="374">
        <v>100</v>
      </c>
      <c r="E15" s="375"/>
      <c r="F15" s="376">
        <f>SUMIF(76:76,E16,77:77)-SUMIF(76:76,C16,77:77)+100</f>
        <v>100</v>
      </c>
      <c r="G15" s="377"/>
      <c r="H15" s="374">
        <f>SUMIF(76:76,G16,77:77)-SUMIF(76:76,C16,77:77)+100</f>
        <v>100</v>
      </c>
      <c r="I15" s="375"/>
      <c r="J15" s="374">
        <f>SUMIF(76:76,I16,77:77)-SUMIF(76:76,C16,77:77)+100</f>
        <v>100</v>
      </c>
      <c r="K15" s="534"/>
      <c r="L15" s="2473"/>
      <c r="M15" s="2468"/>
      <c r="N15" s="2468"/>
      <c r="O15" s="2468"/>
      <c r="P15" s="3524" t="s">
        <v>1685</v>
      </c>
      <c r="Q15" s="1255" t="str">
        <f t="shared" si="6"/>
        <v>商业繁华度</v>
      </c>
      <c r="R15" s="659" t="s">
        <v>14</v>
      </c>
      <c r="S15" s="660">
        <f t="shared" si="0"/>
        <v>100</v>
      </c>
      <c r="T15" s="659" t="s">
        <v>14</v>
      </c>
      <c r="U15" s="660">
        <f t="shared" si="1"/>
        <v>100</v>
      </c>
      <c r="V15" s="659" t="s">
        <v>14</v>
      </c>
      <c r="W15" s="660">
        <f t="shared" si="2"/>
        <v>100</v>
      </c>
      <c r="X15" s="1257"/>
      <c r="Y15" s="3517" t="s">
        <v>1685</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73"/>
      <c r="M16" s="2468"/>
      <c r="N16" s="2468"/>
      <c r="O16" s="2468"/>
      <c r="P16" s="3525"/>
      <c r="Q16" s="1255"/>
      <c r="R16" s="659"/>
      <c r="S16" s="660"/>
      <c r="T16" s="659"/>
      <c r="U16" s="660"/>
      <c r="V16" s="659"/>
      <c r="W16" s="660"/>
      <c r="X16" s="1257"/>
      <c r="Y16" s="3518"/>
      <c r="Z16" s="1256"/>
      <c r="AA16" s="1256">
        <v>1</v>
      </c>
      <c r="AB16" s="1256">
        <v>1</v>
      </c>
      <c r="AC16" s="1256">
        <v>1</v>
      </c>
    </row>
    <row r="17" spans="1:29" ht="85.5">
      <c r="A17" s="361"/>
      <c r="B17" s="384" t="s">
        <v>1256</v>
      </c>
      <c r="C17" s="1746" t="str">
        <f>估价对象房地状况!C6</f>
        <v>估价对象周边道路状况、公共交通通达情况、停车便捷程度，综合评价交通便捷度较好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73"/>
      <c r="M17" s="2468"/>
      <c r="N17" s="2468"/>
      <c r="O17" s="2468"/>
      <c r="P17" s="3525"/>
      <c r="Q17" s="1255" t="str">
        <f>B17</f>
        <v>交通便捷度</v>
      </c>
      <c r="R17" s="659" t="s">
        <v>14</v>
      </c>
      <c r="S17" s="660">
        <f>F17</f>
        <v>100</v>
      </c>
      <c r="T17" s="659" t="s">
        <v>14</v>
      </c>
      <c r="U17" s="660">
        <f>H17</f>
        <v>100</v>
      </c>
      <c r="V17" s="659" t="s">
        <v>14</v>
      </c>
      <c r="W17" s="660">
        <f>J17</f>
        <v>100</v>
      </c>
      <c r="X17" s="1257"/>
      <c r="Y17" s="3518"/>
      <c r="Z17" s="1256" t="str">
        <f>Q17</f>
        <v>交通便捷度</v>
      </c>
      <c r="AA17" s="1256">
        <f t="shared" si="3"/>
        <v>1</v>
      </c>
      <c r="AB17" s="1256">
        <f t="shared" si="4"/>
        <v>1</v>
      </c>
      <c r="AC17" s="1256">
        <f t="shared" si="5"/>
        <v>1</v>
      </c>
    </row>
    <row r="18" spans="1:29" ht="15">
      <c r="A18" s="361"/>
      <c r="B18" s="389"/>
      <c r="C18" s="1747"/>
      <c r="D18" s="383"/>
      <c r="E18" s="1749"/>
      <c r="F18" s="386"/>
      <c r="G18" s="1748"/>
      <c r="H18" s="381"/>
      <c r="I18" s="1749"/>
      <c r="J18" s="381"/>
      <c r="K18" s="535"/>
      <c r="L18" s="2473"/>
      <c r="M18" s="2468"/>
      <c r="N18" s="2468"/>
      <c r="O18" s="2468"/>
      <c r="P18" s="3525"/>
      <c r="Q18" s="1255"/>
      <c r="R18" s="659"/>
      <c r="S18" s="660"/>
      <c r="T18" s="659"/>
      <c r="U18" s="660"/>
      <c r="V18" s="659"/>
      <c r="W18" s="660"/>
      <c r="X18" s="1257"/>
      <c r="Y18" s="3518"/>
      <c r="Z18" s="1256"/>
      <c r="AA18" s="1256">
        <v>1</v>
      </c>
      <c r="AB18" s="1256">
        <v>1</v>
      </c>
      <c r="AC18" s="1256">
        <v>1</v>
      </c>
    </row>
    <row r="19" spans="1:29" ht="42.75">
      <c r="A19" s="361"/>
      <c r="B19" s="384" t="s">
        <v>1772</v>
      </c>
      <c r="C19" s="1746" t="str">
        <f>估价对象房地状况!C7</f>
        <v>估价对象所在区域公共配套设施齐备情况</v>
      </c>
      <c r="D19" s="388">
        <v>100</v>
      </c>
      <c r="E19" s="390"/>
      <c r="F19" s="391">
        <f>SUMIF(80:80,E20,81:81)-SUMIF(80:80,C20,81:81)+100</f>
        <v>100</v>
      </c>
      <c r="G19" s="392"/>
      <c r="H19" s="383">
        <f>SUMIF(80:80,G20,81:81)-SUMIF(80:80,C20,81:81)+100</f>
        <v>100</v>
      </c>
      <c r="I19" s="390"/>
      <c r="J19" s="383">
        <f>SUMIF(80:80,I20,81:81)-SUMIF(80:80,C20,81:81)+100</f>
        <v>100</v>
      </c>
      <c r="K19" s="534"/>
      <c r="L19" s="2473"/>
      <c r="M19" s="2468"/>
      <c r="N19" s="2468"/>
      <c r="O19" s="2468"/>
      <c r="P19" s="3525"/>
      <c r="Q19" s="1255" t="str">
        <f>B19</f>
        <v>公共配套设施</v>
      </c>
      <c r="R19" s="659" t="s">
        <v>14</v>
      </c>
      <c r="S19" s="660">
        <f>F19</f>
        <v>100</v>
      </c>
      <c r="T19" s="659" t="s">
        <v>14</v>
      </c>
      <c r="U19" s="660">
        <f>H19</f>
        <v>100</v>
      </c>
      <c r="V19" s="659" t="s">
        <v>14</v>
      </c>
      <c r="W19" s="660">
        <f>J19</f>
        <v>100</v>
      </c>
      <c r="X19" s="1257"/>
      <c r="Y19" s="3518"/>
      <c r="Z19" s="1256" t="str">
        <f>Q19</f>
        <v>公共配套设施</v>
      </c>
      <c r="AA19" s="1256">
        <f t="shared" si="3"/>
        <v>1</v>
      </c>
      <c r="AB19" s="1256">
        <f t="shared" si="4"/>
        <v>1</v>
      </c>
      <c r="AC19" s="1256">
        <f t="shared" si="5"/>
        <v>1</v>
      </c>
    </row>
    <row r="20" spans="1:29" ht="15">
      <c r="A20" s="361"/>
      <c r="B20" s="389"/>
      <c r="C20" s="380"/>
      <c r="D20" s="381"/>
      <c r="E20" s="1744"/>
      <c r="F20" s="382"/>
      <c r="G20" s="1743"/>
      <c r="H20" s="381"/>
      <c r="I20" s="1744"/>
      <c r="J20" s="381"/>
      <c r="K20" s="535"/>
      <c r="L20" s="2473"/>
      <c r="M20" s="2468"/>
      <c r="N20" s="2468"/>
      <c r="O20" s="2468"/>
      <c r="P20" s="3525"/>
      <c r="Q20" s="1255"/>
      <c r="R20" s="659"/>
      <c r="S20" s="660"/>
      <c r="T20" s="659"/>
      <c r="U20" s="660"/>
      <c r="V20" s="659"/>
      <c r="W20" s="660"/>
      <c r="X20" s="1257"/>
      <c r="Y20" s="3518"/>
      <c r="Z20" s="1256"/>
      <c r="AA20" s="1256">
        <v>1</v>
      </c>
      <c r="AB20" s="1256">
        <v>1</v>
      </c>
      <c r="AC20" s="1256">
        <v>1</v>
      </c>
    </row>
    <row r="21" spans="1:29" ht="28.5">
      <c r="A21" s="361"/>
      <c r="B21" s="580" t="s">
        <v>1773</v>
      </c>
      <c r="C21" s="1746" t="str">
        <f>估价对象房地状况!C8</f>
        <v>估价对象所在区域基础设施水平</v>
      </c>
      <c r="D21" s="388">
        <v>100</v>
      </c>
      <c r="E21" s="390"/>
      <c r="F21" s="391">
        <f>SUMIF(82:82,E22,83:83)-SUMIF(82:82,C22,83:83)+100</f>
        <v>100</v>
      </c>
      <c r="G21" s="392"/>
      <c r="H21" s="383">
        <f>SUMIF(82:82,G22,83:83)-SUMIF(82:82,C22,83:83)+100</f>
        <v>100</v>
      </c>
      <c r="I21" s="390"/>
      <c r="J21" s="383">
        <f>SUMIF(82:82,I22,83:83)-SUMIF(82:82,C22,83:83)+100</f>
        <v>100</v>
      </c>
      <c r="K21" s="534"/>
      <c r="L21" s="2473"/>
      <c r="M21" s="2468"/>
      <c r="N21" s="2468"/>
      <c r="O21" s="2468"/>
      <c r="P21" s="3525"/>
      <c r="Q21" s="1255" t="str">
        <f>B21</f>
        <v>基础设施水平</v>
      </c>
      <c r="R21" s="659" t="s">
        <v>14</v>
      </c>
      <c r="S21" s="660">
        <f>F21</f>
        <v>100</v>
      </c>
      <c r="T21" s="659" t="s">
        <v>14</v>
      </c>
      <c r="U21" s="660">
        <f>H21</f>
        <v>100</v>
      </c>
      <c r="V21" s="659" t="s">
        <v>14</v>
      </c>
      <c r="W21" s="660">
        <f>J21</f>
        <v>100</v>
      </c>
      <c r="X21" s="1257"/>
      <c r="Y21" s="3518"/>
      <c r="Z21" s="1256" t="str">
        <f>Q21</f>
        <v>基础设施水平</v>
      </c>
      <c r="AA21" s="1256">
        <f t="shared" ref="AA21" si="8">D21/F21</f>
        <v>1</v>
      </c>
      <c r="AB21" s="1256">
        <f t="shared" ref="AB21" si="9">D21/H21</f>
        <v>1</v>
      </c>
      <c r="AC21" s="1256">
        <f t="shared" ref="AC21" si="10">D21/J21</f>
        <v>1</v>
      </c>
    </row>
    <row r="22" spans="1:29" ht="15">
      <c r="A22" s="361"/>
      <c r="B22" s="580"/>
      <c r="C22" s="1747"/>
      <c r="D22" s="381"/>
      <c r="E22" s="380"/>
      <c r="F22" s="382"/>
      <c r="G22" s="380"/>
      <c r="H22" s="381"/>
      <c r="I22" s="380"/>
      <c r="J22" s="381"/>
      <c r="K22" s="1057"/>
      <c r="L22" s="2473"/>
      <c r="M22" s="2468"/>
      <c r="N22" s="2468"/>
      <c r="O22" s="2468"/>
      <c r="P22" s="3525"/>
      <c r="Q22" s="1255"/>
      <c r="R22" s="659"/>
      <c r="S22" s="660"/>
      <c r="T22" s="659"/>
      <c r="U22" s="660"/>
      <c r="V22" s="659"/>
      <c r="W22" s="660"/>
      <c r="X22" s="1257"/>
      <c r="Y22" s="3518"/>
      <c r="Z22" s="1256"/>
      <c r="AA22" s="1256">
        <v>1</v>
      </c>
      <c r="AB22" s="1256">
        <v>1</v>
      </c>
      <c r="AC22" s="1256">
        <v>1</v>
      </c>
    </row>
    <row r="23" spans="1:29" ht="57">
      <c r="A23" s="361"/>
      <c r="B23" s="384" t="s">
        <v>1258</v>
      </c>
      <c r="C23" s="1798" t="str">
        <f>估价对象房地状况!C9</f>
        <v>区域自然环境：；人文环境；综合评价环境状况一般</v>
      </c>
      <c r="D23" s="383">
        <v>100</v>
      </c>
      <c r="E23" s="385"/>
      <c r="F23" s="386">
        <f>SUMIF(84:84,E24,85:85)-SUMIF(84:84,C24,85:85)+100</f>
        <v>100</v>
      </c>
      <c r="G23" s="387"/>
      <c r="H23" s="383">
        <f>SUMIF(84:84,G24,85:85)-SUMIF(84:84,C24,85:85)+100</f>
        <v>100</v>
      </c>
      <c r="I23" s="385"/>
      <c r="J23" s="383">
        <f>SUMIF(84:84,I24,85:85)-SUMIF(84:84,C24,85:85)+100</f>
        <v>100</v>
      </c>
      <c r="K23" s="534"/>
      <c r="L23" s="2473"/>
      <c r="M23" s="2468"/>
      <c r="N23" s="2468"/>
      <c r="O23" s="2468"/>
      <c r="P23" s="3525"/>
      <c r="Q23" s="1255" t="str">
        <f>B23</f>
        <v>自然及人文环境</v>
      </c>
      <c r="R23" s="659" t="s">
        <v>14</v>
      </c>
      <c r="S23" s="660">
        <f>F23</f>
        <v>100</v>
      </c>
      <c r="T23" s="659" t="s">
        <v>14</v>
      </c>
      <c r="U23" s="660">
        <f>H23</f>
        <v>100</v>
      </c>
      <c r="V23" s="659" t="s">
        <v>14</v>
      </c>
      <c r="W23" s="660">
        <f>J23</f>
        <v>100</v>
      </c>
      <c r="X23" s="1257"/>
      <c r="Y23" s="3518"/>
      <c r="Z23" s="1256" t="str">
        <f>Q23</f>
        <v>自然及人文环境</v>
      </c>
      <c r="AA23" s="1256">
        <f t="shared" si="3"/>
        <v>1</v>
      </c>
      <c r="AB23" s="1256">
        <f t="shared" si="4"/>
        <v>1</v>
      </c>
      <c r="AC23" s="1256">
        <f t="shared" si="5"/>
        <v>1</v>
      </c>
    </row>
    <row r="24" spans="1:29" ht="15">
      <c r="A24" s="361"/>
      <c r="B24" s="389"/>
      <c r="C24" s="380"/>
      <c r="D24" s="381"/>
      <c r="E24" s="1744"/>
      <c r="F24" s="382"/>
      <c r="G24" s="1743"/>
      <c r="H24" s="381"/>
      <c r="I24" s="1744"/>
      <c r="J24" s="381"/>
      <c r="K24" s="535"/>
      <c r="L24" s="2473"/>
      <c r="M24" s="2468"/>
      <c r="N24" s="2468"/>
      <c r="O24" s="2468"/>
      <c r="P24" s="3525"/>
      <c r="Q24" s="1255"/>
      <c r="R24" s="659"/>
      <c r="S24" s="660"/>
      <c r="T24" s="659"/>
      <c r="U24" s="660"/>
      <c r="V24" s="659"/>
      <c r="W24" s="660"/>
      <c r="X24" s="1257"/>
      <c r="Y24" s="3518"/>
      <c r="Z24" s="1256"/>
      <c r="AA24" s="1256">
        <v>1</v>
      </c>
      <c r="AB24" s="1256">
        <v>1</v>
      </c>
      <c r="AC24" s="1256">
        <v>1</v>
      </c>
    </row>
    <row r="25" spans="1:29" ht="15">
      <c r="A25" s="361"/>
      <c r="B25" s="358" t="s">
        <v>1774</v>
      </c>
      <c r="C25" s="536"/>
      <c r="D25" s="368">
        <v>100</v>
      </c>
      <c r="E25" s="536"/>
      <c r="F25" s="394">
        <f>SUMIF(86:86,E25,87:87)-SUMIF(86:86,C25,87:87)+100</f>
        <v>100</v>
      </c>
      <c r="G25" s="536"/>
      <c r="H25" s="368">
        <f>SUMIF(86:86,G25,87:87)-SUMIF(86:86,C25,87:87)+100</f>
        <v>100</v>
      </c>
      <c r="I25" s="536"/>
      <c r="J25" s="368">
        <f>SUMIF(86:86,I25,87:87)-SUMIF(86:86,C25,87:87)+100</f>
        <v>100</v>
      </c>
      <c r="K25" s="532"/>
      <c r="L25" s="2473"/>
      <c r="M25" s="2468"/>
      <c r="N25" s="2468"/>
      <c r="O25" s="2468"/>
      <c r="P25" s="3525"/>
      <c r="Q25" s="1255" t="str">
        <f t="shared" ref="Q25:Q46" si="11">B25</f>
        <v>临街状况</v>
      </c>
      <c r="R25" s="659" t="s">
        <v>14</v>
      </c>
      <c r="S25" s="660">
        <f>F25</f>
        <v>100</v>
      </c>
      <c r="T25" s="659" t="s">
        <v>14</v>
      </c>
      <c r="U25" s="660">
        <f>H25</f>
        <v>100</v>
      </c>
      <c r="V25" s="659" t="s">
        <v>14</v>
      </c>
      <c r="W25" s="660">
        <f>J25</f>
        <v>100</v>
      </c>
      <c r="X25" s="1257"/>
      <c r="Y25" s="3518"/>
      <c r="Z25" s="1256" t="str">
        <f>Q25</f>
        <v>临街状况</v>
      </c>
      <c r="AA25" s="1256">
        <f t="shared" si="3"/>
        <v>1</v>
      </c>
      <c r="AB25" s="1256">
        <f t="shared" si="4"/>
        <v>1</v>
      </c>
      <c r="AC25" s="1256">
        <f t="shared" si="5"/>
        <v>1</v>
      </c>
    </row>
    <row r="26" spans="1:29" ht="15">
      <c r="A26" s="361"/>
      <c r="B26" s="1059" t="s">
        <v>1775</v>
      </c>
      <c r="C26" s="367"/>
      <c r="D26" s="368">
        <v>100</v>
      </c>
      <c r="E26" s="367"/>
      <c r="F26" s="394">
        <f>SUMIF(88:88,E26,89:89)-SUMIF(88:88,C26,89:89)+100</f>
        <v>100</v>
      </c>
      <c r="G26" s="367"/>
      <c r="H26" s="368">
        <f>SUMIF(88:88,G26,89:89)-SUMIF(88:88,C26,89:89)+100</f>
        <v>100</v>
      </c>
      <c r="I26" s="367"/>
      <c r="J26" s="368">
        <f>SUMIF(88:88,I26,89:89)-SUMIF(88:88,C26,89:89)+100</f>
        <v>100</v>
      </c>
      <c r="K26" s="533"/>
      <c r="L26" s="2473"/>
      <c r="M26" s="2468"/>
      <c r="N26" s="2468"/>
      <c r="O26" s="2468"/>
      <c r="P26" s="3525"/>
      <c r="Q26" s="1255" t="str">
        <f t="shared" si="11"/>
        <v>平面位置/可视性</v>
      </c>
      <c r="R26" s="659" t="s">
        <v>14</v>
      </c>
      <c r="S26" s="660">
        <f>F26</f>
        <v>100</v>
      </c>
      <c r="T26" s="659" t="s">
        <v>14</v>
      </c>
      <c r="U26" s="660">
        <f>H26</f>
        <v>100</v>
      </c>
      <c r="V26" s="659" t="s">
        <v>14</v>
      </c>
      <c r="W26" s="660">
        <f>J26</f>
        <v>100</v>
      </c>
      <c r="X26" s="1257"/>
      <c r="Y26" s="3518"/>
      <c r="Z26" s="1256" t="str">
        <f>Q26</f>
        <v>平面位置/可视性</v>
      </c>
      <c r="AA26" s="1256">
        <f t="shared" si="3"/>
        <v>1</v>
      </c>
      <c r="AB26" s="1256">
        <f t="shared" si="4"/>
        <v>1</v>
      </c>
      <c r="AC26" s="1256">
        <f t="shared" si="5"/>
        <v>1</v>
      </c>
    </row>
    <row r="27" spans="1:29" s="101" customFormat="1" ht="15">
      <c r="A27" s="364"/>
      <c r="B27" s="384" t="s">
        <v>1776</v>
      </c>
      <c r="C27" s="1799"/>
      <c r="D27" s="395">
        <v>100</v>
      </c>
      <c r="E27" s="1799"/>
      <c r="F27" s="389">
        <f>SUMIF(90:90,E27,91:91)-SUMIF(90:90,C27,91:91)+100</f>
        <v>100</v>
      </c>
      <c r="G27" s="1799"/>
      <c r="H27" s="395">
        <f>SUMIF(90:90,G27,91:91)-SUMIF(90:90,C27,91:91)+100</f>
        <v>100</v>
      </c>
      <c r="I27" s="1799"/>
      <c r="J27" s="395">
        <f>SUMIF(90:90,I27,91:91)-SUMIF(90:90,C27,91:91)+100</f>
        <v>100</v>
      </c>
      <c r="K27" s="532"/>
      <c r="L27" s="2469"/>
      <c r="M27" s="2423"/>
      <c r="N27" s="2423"/>
      <c r="O27" s="2423"/>
      <c r="P27" s="3525"/>
      <c r="Q27" s="524" t="str">
        <f t="shared" si="11"/>
        <v>人流量</v>
      </c>
      <c r="R27" s="656" t="s">
        <v>14</v>
      </c>
      <c r="S27" s="657">
        <f>F27</f>
        <v>100</v>
      </c>
      <c r="T27" s="656" t="s">
        <v>14</v>
      </c>
      <c r="U27" s="657">
        <f>H27</f>
        <v>100</v>
      </c>
      <c r="V27" s="656" t="s">
        <v>14</v>
      </c>
      <c r="W27" s="657">
        <f>J27</f>
        <v>100</v>
      </c>
      <c r="X27" s="658"/>
      <c r="Y27" s="3518"/>
      <c r="Z27" s="50" t="str">
        <f>Q27</f>
        <v>人流量</v>
      </c>
      <c r="AA27" s="1256">
        <f>D27/F27</f>
        <v>1</v>
      </c>
      <c r="AB27" s="1256">
        <f>D27/H27</f>
        <v>1</v>
      </c>
      <c r="AC27" s="1256">
        <f>D27/J27</f>
        <v>1</v>
      </c>
    </row>
    <row r="28" spans="1:29" ht="15">
      <c r="A28" s="361"/>
      <c r="B28" s="358" t="s">
        <v>1777</v>
      </c>
      <c r="C28" s="536"/>
      <c r="D28" s="368">
        <v>100</v>
      </c>
      <c r="E28" s="536"/>
      <c r="F28" s="394">
        <f>SUMIF(92:92,E28,93:93)-SUMIF(92:92,C28,93:93)+100</f>
        <v>100</v>
      </c>
      <c r="G28" s="536"/>
      <c r="H28" s="368">
        <f>SUMIF(92:92,G28,93:93)-SUMIF(92:92,C28,93:93)+100</f>
        <v>100</v>
      </c>
      <c r="I28" s="536"/>
      <c r="J28" s="368">
        <f>SUMIF(92:92,I28,93:93)-SUMIF(92:92,C28,93:93)+100</f>
        <v>100</v>
      </c>
      <c r="K28" s="533"/>
      <c r="L28" s="2473"/>
      <c r="M28" s="2468"/>
      <c r="N28" s="2468"/>
      <c r="O28" s="2468"/>
      <c r="P28" s="3525"/>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518"/>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73"/>
      <c r="M29" s="2468"/>
      <c r="N29" s="2468"/>
      <c r="O29" s="2468"/>
      <c r="P29" s="3525"/>
      <c r="Q29" s="1255">
        <f t="shared" si="11"/>
        <v>111</v>
      </c>
      <c r="R29" s="659" t="s">
        <v>14</v>
      </c>
      <c r="S29" s="660">
        <f t="shared" si="12"/>
        <v>100</v>
      </c>
      <c r="T29" s="659" t="s">
        <v>14</v>
      </c>
      <c r="U29" s="660">
        <f t="shared" si="13"/>
        <v>100</v>
      </c>
      <c r="V29" s="659" t="s">
        <v>14</v>
      </c>
      <c r="W29" s="660">
        <f t="shared" si="14"/>
        <v>100</v>
      </c>
      <c r="X29" s="1257"/>
      <c r="Y29" s="3518"/>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73"/>
      <c r="M30" s="2468"/>
      <c r="N30" s="2468"/>
      <c r="O30" s="2468"/>
      <c r="P30" s="3525"/>
      <c r="Q30" s="1255">
        <f t="shared" si="11"/>
        <v>111</v>
      </c>
      <c r="R30" s="659" t="s">
        <v>14</v>
      </c>
      <c r="S30" s="660">
        <f t="shared" si="12"/>
        <v>100</v>
      </c>
      <c r="T30" s="659" t="s">
        <v>14</v>
      </c>
      <c r="U30" s="660">
        <f t="shared" si="13"/>
        <v>100</v>
      </c>
      <c r="V30" s="659" t="s">
        <v>14</v>
      </c>
      <c r="W30" s="660">
        <f t="shared" si="14"/>
        <v>100</v>
      </c>
      <c r="X30" s="1257"/>
      <c r="Y30" s="3518"/>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73"/>
      <c r="M31" s="2468"/>
      <c r="N31" s="2468"/>
      <c r="O31" s="2468"/>
      <c r="P31" s="3525"/>
      <c r="Q31" s="1255">
        <f t="shared" si="11"/>
        <v>111</v>
      </c>
      <c r="R31" s="659" t="s">
        <v>14</v>
      </c>
      <c r="S31" s="660">
        <f t="shared" si="12"/>
        <v>100</v>
      </c>
      <c r="T31" s="659" t="s">
        <v>14</v>
      </c>
      <c r="U31" s="660">
        <f t="shared" si="13"/>
        <v>100</v>
      </c>
      <c r="V31" s="659" t="s">
        <v>14</v>
      </c>
      <c r="W31" s="660">
        <f t="shared" si="14"/>
        <v>100</v>
      </c>
      <c r="X31" s="1257"/>
      <c r="Y31" s="3518"/>
      <c r="Z31" s="1256">
        <f t="shared" si="15"/>
        <v>111</v>
      </c>
      <c r="AA31" s="1256">
        <f t="shared" si="3"/>
        <v>1</v>
      </c>
      <c r="AB31" s="1256">
        <f t="shared" si="4"/>
        <v>1</v>
      </c>
      <c r="AC31" s="1256">
        <f t="shared" si="5"/>
        <v>1</v>
      </c>
    </row>
    <row r="32" spans="1:29" ht="15">
      <c r="A32" s="373" t="s">
        <v>1688</v>
      </c>
      <c r="B32" s="60" t="s">
        <v>1778</v>
      </c>
      <c r="C32" s="1756"/>
      <c r="D32" s="399">
        <v>100</v>
      </c>
      <c r="E32" s="1756"/>
      <c r="F32" s="394">
        <f>SUMIF(100:100,E32,101:101)-SUMIF(100:100,C32,101:101)+100</f>
        <v>100</v>
      </c>
      <c r="G32" s="1756"/>
      <c r="H32" s="368">
        <f>SUMIF(100:100,G32,101:101)-SUMIF(100:100,C32,101:101)+100</f>
        <v>100</v>
      </c>
      <c r="I32" s="1756"/>
      <c r="J32" s="399">
        <f>SUMIF(100:100,I32,101:101)-SUMIF(100:100,C32,101:101)+100</f>
        <v>100</v>
      </c>
      <c r="K32" s="532"/>
      <c r="L32" s="2473"/>
      <c r="M32" s="2468"/>
      <c r="N32" s="2468"/>
      <c r="O32" s="2468"/>
      <c r="P32" s="3519" t="s">
        <v>1690</v>
      </c>
      <c r="Q32" s="1255" t="str">
        <f t="shared" si="11"/>
        <v>商业类型</v>
      </c>
      <c r="R32" s="659" t="s">
        <v>14</v>
      </c>
      <c r="S32" s="660">
        <f t="shared" si="12"/>
        <v>100</v>
      </c>
      <c r="T32" s="659" t="s">
        <v>14</v>
      </c>
      <c r="U32" s="660">
        <f t="shared" si="13"/>
        <v>100</v>
      </c>
      <c r="V32" s="659" t="s">
        <v>14</v>
      </c>
      <c r="W32" s="660">
        <f t="shared" si="14"/>
        <v>100</v>
      </c>
      <c r="X32" s="1257"/>
      <c r="Y32" s="3522" t="s">
        <v>1690</v>
      </c>
      <c r="Z32" s="1256" t="str">
        <f t="shared" si="15"/>
        <v>商业类型</v>
      </c>
      <c r="AA32" s="1256">
        <f t="shared" si="3"/>
        <v>1</v>
      </c>
      <c r="AB32" s="1256">
        <f t="shared" si="4"/>
        <v>1</v>
      </c>
      <c r="AC32" s="1256">
        <f t="shared" si="5"/>
        <v>1</v>
      </c>
    </row>
    <row r="33" spans="1:29" s="402" customFormat="1" ht="15">
      <c r="A33" s="400"/>
      <c r="B33" s="358" t="s">
        <v>1691</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72"/>
      <c r="M33" s="2474"/>
      <c r="N33" s="2474"/>
      <c r="O33" s="2474"/>
      <c r="P33" s="3520"/>
      <c r="Q33" s="525" t="str">
        <f t="shared" si="11"/>
        <v>项目建筑规模</v>
      </c>
      <c r="R33" s="661" t="s">
        <v>14</v>
      </c>
      <c r="S33" s="662" t="e">
        <f t="shared" si="12"/>
        <v>#N/A</v>
      </c>
      <c r="T33" s="661" t="s">
        <v>14</v>
      </c>
      <c r="U33" s="662" t="e">
        <f t="shared" si="13"/>
        <v>#N/A</v>
      </c>
      <c r="V33" s="661" t="s">
        <v>14</v>
      </c>
      <c r="W33" s="662" t="e">
        <f t="shared" si="14"/>
        <v>#N/A</v>
      </c>
      <c r="X33" s="663"/>
      <c r="Y33" s="3522"/>
      <c r="Z33" s="664" t="str">
        <f t="shared" si="15"/>
        <v>项目建筑规模</v>
      </c>
      <c r="AA33" s="1256" t="e">
        <f t="shared" si="3"/>
        <v>#N/A</v>
      </c>
      <c r="AB33" s="1256" t="e">
        <f t="shared" si="4"/>
        <v>#N/A</v>
      </c>
      <c r="AC33" s="1256" t="e">
        <f t="shared" si="5"/>
        <v>#N/A</v>
      </c>
    </row>
    <row r="34" spans="1:29" ht="15">
      <c r="A34" s="403"/>
      <c r="B34" s="358" t="s">
        <v>1692</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73"/>
      <c r="M34" s="2468"/>
      <c r="N34" s="2468"/>
      <c r="O34" s="2468"/>
      <c r="P34" s="3520"/>
      <c r="Q34" s="1255" t="str">
        <f t="shared" si="11"/>
        <v>建筑结构</v>
      </c>
      <c r="R34" s="659" t="s">
        <v>14</v>
      </c>
      <c r="S34" s="660">
        <f t="shared" si="12"/>
        <v>100</v>
      </c>
      <c r="T34" s="659" t="s">
        <v>14</v>
      </c>
      <c r="U34" s="660">
        <f t="shared" si="13"/>
        <v>100</v>
      </c>
      <c r="V34" s="659" t="s">
        <v>14</v>
      </c>
      <c r="W34" s="660">
        <f t="shared" si="14"/>
        <v>100</v>
      </c>
      <c r="X34" s="1257"/>
      <c r="Y34" s="3522"/>
      <c r="Z34" s="1256" t="str">
        <f t="shared" si="15"/>
        <v>建筑结构</v>
      </c>
      <c r="AA34" s="1256">
        <f t="shared" si="3"/>
        <v>1</v>
      </c>
      <c r="AB34" s="1256">
        <f t="shared" si="4"/>
        <v>1</v>
      </c>
      <c r="AC34" s="1256">
        <f t="shared" si="5"/>
        <v>1</v>
      </c>
    </row>
    <row r="35" spans="1:29" ht="15">
      <c r="A35" s="403"/>
      <c r="B35" s="358" t="s">
        <v>1779</v>
      </c>
      <c r="C35" s="1752"/>
      <c r="D35" s="368">
        <v>100</v>
      </c>
      <c r="E35" s="1752"/>
      <c r="F35" s="394">
        <f>SUMIF(107:107,E35,108:108)-SUMIF(107:107,C35,108:108)+100</f>
        <v>100</v>
      </c>
      <c r="G35" s="1752"/>
      <c r="H35" s="368">
        <f>SUMIF(107:107,G35,108:108)-SUMIF(107:107,C35,108:108)+100</f>
        <v>100</v>
      </c>
      <c r="I35" s="1752"/>
      <c r="J35" s="368">
        <f>SUMIF(107:107,I35,108:108)-SUMIF(107:107,C35,108:108)+100</f>
        <v>100</v>
      </c>
      <c r="K35" s="532"/>
      <c r="L35" s="2473"/>
      <c r="M35" s="2468"/>
      <c r="N35" s="2468"/>
      <c r="O35" s="2468"/>
      <c r="P35" s="3520"/>
      <c r="Q35" s="1255" t="str">
        <f t="shared" si="11"/>
        <v>公共部分装修</v>
      </c>
      <c r="R35" s="659" t="s">
        <v>14</v>
      </c>
      <c r="S35" s="660">
        <f t="shared" si="12"/>
        <v>100</v>
      </c>
      <c r="T35" s="659" t="s">
        <v>14</v>
      </c>
      <c r="U35" s="660">
        <f t="shared" si="13"/>
        <v>100</v>
      </c>
      <c r="V35" s="659" t="s">
        <v>14</v>
      </c>
      <c r="W35" s="660">
        <f t="shared" si="14"/>
        <v>100</v>
      </c>
      <c r="X35" s="1257"/>
      <c r="Y35" s="3522"/>
      <c r="Z35" s="1256" t="str">
        <f t="shared" si="15"/>
        <v>公共部分装修</v>
      </c>
      <c r="AA35" s="1256">
        <f t="shared" si="3"/>
        <v>1</v>
      </c>
      <c r="AB35" s="1256">
        <f t="shared" si="4"/>
        <v>1</v>
      </c>
      <c r="AC35" s="1256">
        <f t="shared" si="5"/>
        <v>1</v>
      </c>
    </row>
    <row r="36" spans="1:29" ht="15">
      <c r="A36" s="403"/>
      <c r="B36" s="358" t="s">
        <v>1780</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73"/>
      <c r="M36" s="2468"/>
      <c r="N36" s="2468"/>
      <c r="O36" s="2468"/>
      <c r="P36" s="3520"/>
      <c r="Q36" s="1255" t="str">
        <f t="shared" si="11"/>
        <v>成新度</v>
      </c>
      <c r="R36" s="659" t="s">
        <v>14</v>
      </c>
      <c r="S36" s="660" t="e">
        <f t="shared" si="12"/>
        <v>#N/A</v>
      </c>
      <c r="T36" s="659" t="s">
        <v>14</v>
      </c>
      <c r="U36" s="660" t="e">
        <f t="shared" si="13"/>
        <v>#N/A</v>
      </c>
      <c r="V36" s="659" t="s">
        <v>14</v>
      </c>
      <c r="W36" s="660" t="e">
        <f t="shared" si="14"/>
        <v>#N/A</v>
      </c>
      <c r="X36" s="1257"/>
      <c r="Y36" s="3522"/>
      <c r="Z36" s="1256" t="str">
        <f t="shared" si="15"/>
        <v>成新度</v>
      </c>
      <c r="AA36" s="1256" t="e">
        <f t="shared" si="3"/>
        <v>#N/A</v>
      </c>
      <c r="AB36" s="1256" t="e">
        <f t="shared" si="4"/>
        <v>#N/A</v>
      </c>
      <c r="AC36" s="1256" t="e">
        <f t="shared" si="5"/>
        <v>#N/A</v>
      </c>
    </row>
    <row r="37" spans="1:29" s="101" customFormat="1" ht="15">
      <c r="A37" s="404"/>
      <c r="B37" s="358" t="s">
        <v>1781</v>
      </c>
      <c r="C37" s="1752"/>
      <c r="D37" s="113">
        <v>100</v>
      </c>
      <c r="E37" s="1752"/>
      <c r="F37" s="394">
        <f>SUMIF(112:112,E37,113:113)-SUMIF(112:112,C37,113:113)+100</f>
        <v>100</v>
      </c>
      <c r="G37" s="1752"/>
      <c r="H37" s="368">
        <f>SUMIF(112:112,G37,113:113)-SUMIF(112:112,C37,113:113)+100</f>
        <v>100</v>
      </c>
      <c r="I37" s="1752"/>
      <c r="J37" s="368">
        <f>SUMIF(112:112,I37,113:113)-SUMIF(112:112,C37,113:113)+100</f>
        <v>100</v>
      </c>
      <c r="K37" s="532"/>
      <c r="L37" s="2469"/>
      <c r="M37" s="2423"/>
      <c r="N37" s="2423"/>
      <c r="O37" s="2423"/>
      <c r="P37" s="3520"/>
      <c r="Q37" s="524" t="str">
        <f t="shared" si="11"/>
        <v>市政基础设施</v>
      </c>
      <c r="R37" s="656" t="s">
        <v>14</v>
      </c>
      <c r="S37" s="657">
        <f t="shared" si="12"/>
        <v>100</v>
      </c>
      <c r="T37" s="656" t="s">
        <v>14</v>
      </c>
      <c r="U37" s="657">
        <f t="shared" si="13"/>
        <v>100</v>
      </c>
      <c r="V37" s="656" t="s">
        <v>14</v>
      </c>
      <c r="W37" s="657">
        <f t="shared" si="14"/>
        <v>100</v>
      </c>
      <c r="X37" s="658"/>
      <c r="Y37" s="3522"/>
      <c r="Z37" s="50" t="str">
        <f t="shared" si="15"/>
        <v>市政基础设施</v>
      </c>
      <c r="AA37" s="50">
        <f t="shared" si="3"/>
        <v>1</v>
      </c>
      <c r="AB37" s="50">
        <f t="shared" si="4"/>
        <v>1</v>
      </c>
      <c r="AC37" s="50">
        <f t="shared" si="5"/>
        <v>1</v>
      </c>
    </row>
    <row r="38" spans="1:29" ht="15">
      <c r="A38" s="403"/>
      <c r="B38" s="358" t="s">
        <v>1782</v>
      </c>
      <c r="C38" s="1752"/>
      <c r="D38" s="368">
        <v>100</v>
      </c>
      <c r="E38" s="1752"/>
      <c r="F38" s="394">
        <f>SUMIF(114:114,E38,115:115)-SUMIF(114:114,C38,115:115)+100</f>
        <v>100</v>
      </c>
      <c r="G38" s="1752"/>
      <c r="H38" s="368">
        <f>SUMIF(114:114,G38,115:115)-SUMIF(114:114,C38,115:115)+100</f>
        <v>100</v>
      </c>
      <c r="I38" s="1752"/>
      <c r="J38" s="368">
        <f>SUMIF(114:114,I38,115:115)-SUMIF(114:114,C38,115:115)+100</f>
        <v>100</v>
      </c>
      <c r="K38" s="532"/>
      <c r="L38" s="2473"/>
      <c r="M38" s="2468"/>
      <c r="N38" s="2468"/>
      <c r="O38" s="2468"/>
      <c r="P38" s="3520" t="s">
        <v>1690</v>
      </c>
      <c r="Q38" s="1255" t="str">
        <f t="shared" si="11"/>
        <v>业态</v>
      </c>
      <c r="R38" s="659" t="s">
        <v>14</v>
      </c>
      <c r="S38" s="660">
        <f t="shared" si="12"/>
        <v>100</v>
      </c>
      <c r="T38" s="659" t="s">
        <v>14</v>
      </c>
      <c r="U38" s="660">
        <f t="shared" si="13"/>
        <v>100</v>
      </c>
      <c r="V38" s="659" t="s">
        <v>14</v>
      </c>
      <c r="W38" s="660">
        <f t="shared" si="14"/>
        <v>100</v>
      </c>
      <c r="X38" s="1257"/>
      <c r="Y38" s="3522" t="s">
        <v>1690</v>
      </c>
      <c r="Z38" s="1256" t="str">
        <f t="shared" si="15"/>
        <v>业态</v>
      </c>
      <c r="AA38" s="1256">
        <f t="shared" si="3"/>
        <v>1</v>
      </c>
      <c r="AB38" s="1256">
        <f t="shared" si="4"/>
        <v>1</v>
      </c>
      <c r="AC38" s="1256">
        <f t="shared" si="5"/>
        <v>1</v>
      </c>
    </row>
    <row r="39" spans="1:29" ht="15">
      <c r="A39" s="403"/>
      <c r="B39" s="358" t="s">
        <v>1783</v>
      </c>
      <c r="C39" s="1752"/>
      <c r="D39" s="368">
        <v>100</v>
      </c>
      <c r="E39" s="1752"/>
      <c r="F39" s="394">
        <f>SUMIF(116:116,E39,117:117)-SUMIF(116:116,C39,117:117)+100</f>
        <v>100</v>
      </c>
      <c r="G39" s="1752"/>
      <c r="H39" s="368">
        <f>SUMIF(116:116,G39,117:117)-SUMIF(116:116,C39,117:117)+100</f>
        <v>100</v>
      </c>
      <c r="I39" s="1752"/>
      <c r="J39" s="368">
        <f>SUMIF(116:116,I39,117:117)-SUMIF(116:116,C39,117:117)+100</f>
        <v>100</v>
      </c>
      <c r="K39" s="532"/>
      <c r="L39" s="2473"/>
      <c r="M39" s="2468"/>
      <c r="N39" s="2468"/>
      <c r="O39" s="2468"/>
      <c r="P39" s="3520"/>
      <c r="Q39" s="1255" t="str">
        <f t="shared" si="11"/>
        <v>层高</v>
      </c>
      <c r="R39" s="659" t="s">
        <v>14</v>
      </c>
      <c r="S39" s="660">
        <f t="shared" si="12"/>
        <v>100</v>
      </c>
      <c r="T39" s="659" t="s">
        <v>14</v>
      </c>
      <c r="U39" s="660">
        <f t="shared" si="13"/>
        <v>100</v>
      </c>
      <c r="V39" s="659" t="s">
        <v>14</v>
      </c>
      <c r="W39" s="660">
        <f t="shared" si="14"/>
        <v>100</v>
      </c>
      <c r="X39" s="1257"/>
      <c r="Y39" s="3522"/>
      <c r="Z39" s="1256" t="str">
        <f t="shared" si="15"/>
        <v>层高</v>
      </c>
      <c r="AA39" s="1256">
        <f t="shared" si="3"/>
        <v>1</v>
      </c>
      <c r="AB39" s="1256">
        <f t="shared" si="4"/>
        <v>1</v>
      </c>
      <c r="AC39" s="1256">
        <f t="shared" si="5"/>
        <v>1</v>
      </c>
    </row>
    <row r="40" spans="1:29" ht="15">
      <c r="A40" s="403"/>
      <c r="B40" s="358" t="s">
        <v>1784</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73"/>
      <c r="M40" s="2468"/>
      <c r="N40" s="2468"/>
      <c r="O40" s="2468"/>
      <c r="P40" s="3520"/>
      <c r="Q40" s="1255" t="str">
        <f t="shared" si="11"/>
        <v>单套建筑面积</v>
      </c>
      <c r="R40" s="659" t="s">
        <v>14</v>
      </c>
      <c r="S40" s="660">
        <f t="shared" si="12"/>
        <v>100</v>
      </c>
      <c r="T40" s="659" t="s">
        <v>14</v>
      </c>
      <c r="U40" s="660">
        <f t="shared" si="13"/>
        <v>100</v>
      </c>
      <c r="V40" s="659" t="s">
        <v>14</v>
      </c>
      <c r="W40" s="660">
        <f t="shared" si="14"/>
        <v>100</v>
      </c>
      <c r="X40" s="1257"/>
      <c r="Y40" s="3522"/>
      <c r="Z40" s="1256" t="str">
        <f t="shared" si="15"/>
        <v>单套建筑面积</v>
      </c>
      <c r="AA40" s="1256">
        <f t="shared" si="3"/>
        <v>1</v>
      </c>
      <c r="AB40" s="1256">
        <f t="shared" si="4"/>
        <v>1</v>
      </c>
      <c r="AC40" s="1256">
        <f t="shared" si="5"/>
        <v>1</v>
      </c>
    </row>
    <row r="41" spans="1:29" s="402" customFormat="1" ht="15">
      <c r="A41" s="400"/>
      <c r="B41" s="394" t="s">
        <v>1785</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72"/>
      <c r="M41" s="2474"/>
      <c r="N41" s="2474"/>
      <c r="O41" s="2474"/>
      <c r="P41" s="3520"/>
      <c r="Q41" s="525" t="str">
        <f t="shared" si="11"/>
        <v>进深比</v>
      </c>
      <c r="R41" s="661" t="s">
        <v>14</v>
      </c>
      <c r="S41" s="662">
        <f t="shared" si="12"/>
        <v>100</v>
      </c>
      <c r="T41" s="661" t="s">
        <v>14</v>
      </c>
      <c r="U41" s="662">
        <f t="shared" si="13"/>
        <v>100</v>
      </c>
      <c r="V41" s="661" t="s">
        <v>14</v>
      </c>
      <c r="W41" s="662">
        <f t="shared" si="14"/>
        <v>100</v>
      </c>
      <c r="X41" s="663"/>
      <c r="Y41" s="3522"/>
      <c r="Z41" s="664" t="str">
        <f t="shared" si="15"/>
        <v>进深比</v>
      </c>
      <c r="AA41" s="1256">
        <f t="shared" si="3"/>
        <v>1</v>
      </c>
      <c r="AB41" s="1256">
        <f t="shared" si="4"/>
        <v>1</v>
      </c>
      <c r="AC41" s="1256">
        <f t="shared" si="5"/>
        <v>1</v>
      </c>
    </row>
    <row r="42" spans="1:29" ht="15">
      <c r="A42" s="403"/>
      <c r="B42" s="358" t="s">
        <v>1786</v>
      </c>
      <c r="C42" s="1752"/>
      <c r="D42" s="368">
        <v>100</v>
      </c>
      <c r="E42" s="1752"/>
      <c r="F42" s="394">
        <f>SUMIF(122:122,E42,123:123)-SUMIF(122:122,C42,123:123)+100</f>
        <v>100</v>
      </c>
      <c r="G42" s="1752"/>
      <c r="H42" s="368">
        <f>SUMIF(122:122,G42,123:123)-SUMIF(122:122,C42,123:123)+100</f>
        <v>100</v>
      </c>
      <c r="I42" s="1752"/>
      <c r="J42" s="368">
        <f>SUMIF(122:122,I42,123:123)-SUMIF(122:122,C42,123:123)+100</f>
        <v>100</v>
      </c>
      <c r="K42" s="532"/>
      <c r="L42" s="2473"/>
      <c r="M42" s="2468"/>
      <c r="N42" s="2468"/>
      <c r="O42" s="2468"/>
      <c r="P42" s="3520"/>
      <c r="Q42" s="1255" t="str">
        <f t="shared" si="11"/>
        <v>内部装修</v>
      </c>
      <c r="R42" s="659" t="s">
        <v>14</v>
      </c>
      <c r="S42" s="660">
        <f t="shared" si="12"/>
        <v>100</v>
      </c>
      <c r="T42" s="659" t="s">
        <v>14</v>
      </c>
      <c r="U42" s="660">
        <f t="shared" si="13"/>
        <v>100</v>
      </c>
      <c r="V42" s="659" t="s">
        <v>14</v>
      </c>
      <c r="W42" s="660">
        <f t="shared" si="14"/>
        <v>100</v>
      </c>
      <c r="X42" s="1257"/>
      <c r="Y42" s="3522"/>
      <c r="Z42" s="1256" t="str">
        <f t="shared" si="15"/>
        <v>内部装修</v>
      </c>
      <c r="AA42" s="1256">
        <f t="shared" si="3"/>
        <v>1</v>
      </c>
      <c r="AB42" s="1256">
        <f t="shared" si="4"/>
        <v>1</v>
      </c>
      <c r="AC42" s="1256">
        <f t="shared" si="5"/>
        <v>1</v>
      </c>
    </row>
    <row r="43" spans="1:29" ht="15">
      <c r="A43" s="403"/>
      <c r="B43" s="358" t="s">
        <v>1701</v>
      </c>
      <c r="C43" s="1752"/>
      <c r="D43" s="368">
        <v>100</v>
      </c>
      <c r="E43" s="1752"/>
      <c r="F43" s="394">
        <f>SUMIF(124:124,E43,125:125)-SUMIF(124:124,C43,125:125)+100</f>
        <v>100</v>
      </c>
      <c r="G43" s="1752"/>
      <c r="H43" s="368">
        <f>SUMIF(124:124,G43,125:125)-SUMIF(124:124,C43,125:125)+100</f>
        <v>100</v>
      </c>
      <c r="I43" s="1752"/>
      <c r="J43" s="368">
        <f>SUMIF(124:124,I43,125:125)-SUMIF(124:124,C43,125:125)+100</f>
        <v>100</v>
      </c>
      <c r="K43" s="532"/>
      <c r="L43" s="2473"/>
      <c r="M43" s="2468"/>
      <c r="N43" s="2468"/>
      <c r="O43" s="2468"/>
      <c r="P43" s="3520"/>
      <c r="Q43" s="1255" t="str">
        <f t="shared" si="11"/>
        <v>内部装修维护情况</v>
      </c>
      <c r="R43" s="659" t="s">
        <v>14</v>
      </c>
      <c r="S43" s="660">
        <f t="shared" si="12"/>
        <v>100</v>
      </c>
      <c r="T43" s="659" t="s">
        <v>14</v>
      </c>
      <c r="U43" s="660">
        <f t="shared" si="13"/>
        <v>100</v>
      </c>
      <c r="V43" s="659" t="s">
        <v>14</v>
      </c>
      <c r="W43" s="660">
        <f t="shared" si="14"/>
        <v>100</v>
      </c>
      <c r="X43" s="1257"/>
      <c r="Y43" s="3522"/>
      <c r="Z43" s="1256" t="str">
        <f t="shared" si="15"/>
        <v>内部装修维护情况</v>
      </c>
      <c r="AA43" s="1256">
        <f t="shared" si="3"/>
        <v>1</v>
      </c>
      <c r="AB43" s="1256">
        <f t="shared" si="4"/>
        <v>1</v>
      </c>
      <c r="AC43" s="1256">
        <f t="shared" si="5"/>
        <v>1</v>
      </c>
    </row>
    <row r="44" spans="1:29" s="101"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69"/>
      <c r="M44" s="2423"/>
      <c r="N44" s="2423"/>
      <c r="O44" s="2423"/>
      <c r="P44" s="3520"/>
      <c r="Q44" s="524">
        <f t="shared" si="11"/>
        <v>111</v>
      </c>
      <c r="R44" s="656" t="s">
        <v>14</v>
      </c>
      <c r="S44" s="657">
        <f t="shared" si="12"/>
        <v>100</v>
      </c>
      <c r="T44" s="656" t="s">
        <v>14</v>
      </c>
      <c r="U44" s="657">
        <f t="shared" si="13"/>
        <v>100</v>
      </c>
      <c r="V44" s="656" t="s">
        <v>14</v>
      </c>
      <c r="W44" s="657">
        <f t="shared" si="14"/>
        <v>100</v>
      </c>
      <c r="X44" s="658"/>
      <c r="Y44" s="3522"/>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73"/>
      <c r="M45" s="2468"/>
      <c r="N45" s="2468"/>
      <c r="O45" s="2468"/>
      <c r="P45" s="3520"/>
      <c r="Q45" s="1255">
        <f t="shared" si="11"/>
        <v>111</v>
      </c>
      <c r="R45" s="659" t="s">
        <v>14</v>
      </c>
      <c r="S45" s="660">
        <f t="shared" si="12"/>
        <v>100</v>
      </c>
      <c r="T45" s="659" t="s">
        <v>14</v>
      </c>
      <c r="U45" s="660">
        <f t="shared" si="13"/>
        <v>100</v>
      </c>
      <c r="V45" s="659" t="s">
        <v>14</v>
      </c>
      <c r="W45" s="660">
        <f t="shared" si="14"/>
        <v>100</v>
      </c>
      <c r="X45" s="1257"/>
      <c r="Y45" s="3522"/>
      <c r="Z45" s="1256">
        <f t="shared" si="15"/>
        <v>111</v>
      </c>
      <c r="AA45" s="1256">
        <f t="shared" si="3"/>
        <v>1</v>
      </c>
      <c r="AB45" s="1256">
        <f t="shared" si="4"/>
        <v>1</v>
      </c>
      <c r="AC45" s="1256">
        <f t="shared" si="5"/>
        <v>1</v>
      </c>
    </row>
    <row r="46" spans="1:29" ht="15.75" thickBot="1">
      <c r="A46" s="409"/>
      <c r="B46" s="1741">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73"/>
      <c r="M46" s="2468"/>
      <c r="N46" s="2468"/>
      <c r="O46" s="2468"/>
      <c r="P46" s="3521"/>
      <c r="Q46" s="1255">
        <f t="shared" si="11"/>
        <v>111</v>
      </c>
      <c r="R46" s="659" t="s">
        <v>14</v>
      </c>
      <c r="S46" s="660">
        <f t="shared" si="12"/>
        <v>100</v>
      </c>
      <c r="T46" s="659" t="s">
        <v>14</v>
      </c>
      <c r="U46" s="660">
        <f t="shared" si="13"/>
        <v>100</v>
      </c>
      <c r="V46" s="659" t="s">
        <v>14</v>
      </c>
      <c r="W46" s="660">
        <f t="shared" si="14"/>
        <v>100</v>
      </c>
      <c r="X46" s="1257"/>
      <c r="Y46" s="3523"/>
      <c r="Z46" s="1256">
        <f t="shared" si="15"/>
        <v>111</v>
      </c>
      <c r="AA46" s="1256">
        <f t="shared" si="3"/>
        <v>1</v>
      </c>
      <c r="AB46" s="1256">
        <f t="shared" si="4"/>
        <v>1</v>
      </c>
      <c r="AC46" s="1256">
        <f t="shared" si="5"/>
        <v>1</v>
      </c>
    </row>
    <row r="47" spans="1:29" ht="15">
      <c r="A47" s="410" t="s">
        <v>1702</v>
      </c>
      <c r="B47" s="411"/>
      <c r="C47" s="1074" t="s">
        <v>0</v>
      </c>
      <c r="D47" s="412"/>
      <c r="E47" s="413"/>
      <c r="F47" s="414"/>
      <c r="G47" s="415"/>
      <c r="H47" s="416"/>
      <c r="I47" s="413"/>
      <c r="J47" s="416"/>
      <c r="K47" s="666"/>
      <c r="L47" s="2475"/>
      <c r="M47" s="2468"/>
      <c r="N47" s="2468"/>
      <c r="O47" s="2468"/>
      <c r="P47" s="3515" t="str">
        <f>A47</f>
        <v>成交单价（元/平方米）</v>
      </c>
      <c r="Q47" s="3515"/>
      <c r="R47" s="3516">
        <f>E47</f>
        <v>0</v>
      </c>
      <c r="S47" s="3516"/>
      <c r="T47" s="3516">
        <f>G47</f>
        <v>0</v>
      </c>
      <c r="U47" s="3516"/>
      <c r="V47" s="3516">
        <f>I47</f>
        <v>0</v>
      </c>
      <c r="W47" s="3516"/>
      <c r="X47" s="379"/>
      <c r="Y47" s="665"/>
      <c r="Z47" s="379"/>
      <c r="AA47" s="379"/>
      <c r="AB47" s="379"/>
      <c r="AC47" s="379"/>
    </row>
    <row r="48" spans="1:29" ht="15.75" thickBot="1">
      <c r="A48" s="417" t="s">
        <v>1787</v>
      </c>
      <c r="B48" s="418"/>
      <c r="C48" s="1075" t="e">
        <f>R49</f>
        <v>#DIV/0!</v>
      </c>
      <c r="D48" s="2133" t="s">
        <v>2132</v>
      </c>
      <c r="E48" s="1076" t="e">
        <f>R48</f>
        <v>#DIV/0!</v>
      </c>
      <c r="F48" s="2134"/>
      <c r="G48" s="1075" t="e">
        <f>T48</f>
        <v>#DIV/0!</v>
      </c>
      <c r="H48" s="2134"/>
      <c r="I48" s="1076" t="e">
        <f>V48</f>
        <v>#DIV/0!</v>
      </c>
      <c r="J48" s="2134"/>
      <c r="K48" s="2136">
        <f>F48+H48+J48</f>
        <v>0</v>
      </c>
      <c r="L48" s="2475"/>
      <c r="M48" s="2468"/>
      <c r="N48" s="2468"/>
      <c r="O48" s="2468"/>
      <c r="P48" s="3515" t="str">
        <f>A48</f>
        <v>比较价值（元/平方米）</v>
      </c>
      <c r="Q48" s="3515"/>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379"/>
      <c r="Y48" s="379"/>
      <c r="Z48" s="379"/>
      <c r="AA48" s="379"/>
      <c r="AB48" s="379"/>
      <c r="AC48" s="379"/>
    </row>
    <row r="49" spans="1:29" ht="15.75" thickBot="1">
      <c r="A49" s="421" t="s">
        <v>1788</v>
      </c>
      <c r="B49" s="422"/>
      <c r="C49" s="345" t="e">
        <f>R49</f>
        <v>#DIV/0!</v>
      </c>
      <c r="D49" s="345"/>
      <c r="E49" s="345"/>
      <c r="F49" s="345"/>
      <c r="G49" s="345"/>
      <c r="H49" s="345"/>
      <c r="I49" s="345"/>
      <c r="J49" s="345"/>
      <c r="K49" s="667"/>
      <c r="L49" s="2475"/>
      <c r="M49" s="2468"/>
      <c r="N49" s="2468"/>
      <c r="O49" s="2468"/>
      <c r="P49" s="3512" t="str">
        <f>A49</f>
        <v>估价对象XX用房的比较价值（楼面单价，元/平方米）</v>
      </c>
      <c r="Q49" s="3513"/>
      <c r="R49" s="3514" t="e">
        <f>IF(F1="售价",ROUND(IF(D48="简单平均",AVERAGE(R48:V48),R48*F48+T48*H48+V48*J48),0),ROUND(IF(D48="简单平均",AVERAGE(R48:V48),R48*F48+T48*H48+V48*J48),1))</f>
        <v>#DIV/0!</v>
      </c>
      <c r="S49" s="3514"/>
      <c r="T49" s="3514"/>
      <c r="U49" s="3514"/>
      <c r="V49" s="3514"/>
      <c r="W49" s="3514"/>
      <c r="X49" s="379"/>
      <c r="Y49" s="379"/>
      <c r="Z49" s="379"/>
      <c r="AA49" s="379"/>
      <c r="AB49" s="379"/>
      <c r="AC49" s="379"/>
    </row>
    <row r="50" spans="1:29">
      <c r="A50" s="2468"/>
      <c r="B50" s="2468"/>
      <c r="C50" s="2468"/>
      <c r="D50" s="2468"/>
      <c r="E50" s="2468"/>
      <c r="F50" s="2468"/>
      <c r="G50" s="2479"/>
      <c r="H50" s="2468"/>
      <c r="I50" s="2468"/>
      <c r="J50" s="2468"/>
      <c r="K50" s="2480"/>
      <c r="L50" s="2476"/>
      <c r="M50" s="2468"/>
      <c r="N50" s="2468"/>
      <c r="O50" s="2468"/>
      <c r="P50" s="2486"/>
      <c r="Q50" s="2468"/>
      <c r="R50" s="2468"/>
      <c r="S50" s="2468"/>
      <c r="T50" s="2468"/>
      <c r="U50" s="2468"/>
      <c r="V50" s="2468"/>
      <c r="W50" s="2468"/>
      <c r="X50" s="2468"/>
      <c r="Y50" s="2468"/>
      <c r="Z50" s="2468"/>
      <c r="AA50" s="2468"/>
      <c r="AB50" s="2468"/>
      <c r="AC50" s="2468"/>
    </row>
    <row r="51" spans="1:29">
      <c r="A51" s="2468"/>
      <c r="B51" s="2468"/>
      <c r="C51" s="2468"/>
      <c r="D51" s="2468"/>
      <c r="E51" s="2468"/>
      <c r="F51" s="2468"/>
      <c r="G51" s="2468"/>
      <c r="H51" s="2468"/>
      <c r="I51" s="2468"/>
      <c r="J51" s="2468"/>
      <c r="K51" s="2480"/>
      <c r="L51" s="2476"/>
      <c r="M51" s="2468"/>
      <c r="N51" s="2468"/>
      <c r="O51" s="2468"/>
      <c r="P51" s="2486"/>
      <c r="Q51" s="2468"/>
      <c r="R51" s="2468"/>
      <c r="S51" s="2468"/>
      <c r="T51" s="2468"/>
      <c r="U51" s="2468"/>
      <c r="V51" s="2468"/>
      <c r="W51" s="2468"/>
      <c r="X51" s="2468"/>
      <c r="Y51" s="2468"/>
      <c r="Z51" s="2468"/>
      <c r="AA51" s="2468"/>
      <c r="AB51" s="2468"/>
      <c r="AC51" s="2468"/>
    </row>
    <row r="52" spans="1:29" ht="13.5" customHeight="1">
      <c r="A52" s="2468"/>
      <c r="B52" s="2468"/>
      <c r="C52" s="426" t="s">
        <v>1789</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0"/>
      <c r="L52" s="2476"/>
      <c r="M52" s="2468"/>
      <c r="N52" s="2468"/>
      <c r="O52" s="2468"/>
      <c r="P52" s="2486"/>
      <c r="Q52" s="2468"/>
      <c r="R52" s="2468"/>
      <c r="S52" s="2468"/>
      <c r="T52" s="2468"/>
      <c r="U52" s="2468"/>
      <c r="V52" s="2468"/>
      <c r="W52" s="2468"/>
      <c r="X52" s="2468"/>
      <c r="Y52" s="2468"/>
      <c r="Z52" s="2468"/>
      <c r="AA52" s="2468"/>
      <c r="AB52" s="2468"/>
      <c r="AC52" s="2468"/>
    </row>
    <row r="53" spans="1:29" ht="13.5" customHeight="1">
      <c r="A53" s="2468"/>
      <c r="B53" s="2468"/>
      <c r="C53" s="426" t="s">
        <v>1790</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0"/>
      <c r="L53" s="2476"/>
      <c r="M53" s="2468"/>
      <c r="N53" s="2468"/>
      <c r="O53" s="2468"/>
      <c r="P53" s="2486"/>
      <c r="Q53" s="2468"/>
      <c r="R53" s="2468"/>
      <c r="S53" s="2468"/>
      <c r="T53" s="2468"/>
      <c r="U53" s="2468"/>
      <c r="V53" s="2468"/>
      <c r="W53" s="2468"/>
      <c r="X53" s="2468"/>
      <c r="Y53" s="2468"/>
      <c r="Z53" s="2468"/>
      <c r="AA53" s="2468"/>
      <c r="AB53" s="2468"/>
      <c r="AC53" s="2468"/>
    </row>
    <row r="54" spans="1:29" s="431" customFormat="1" ht="13.5" customHeight="1">
      <c r="A54" s="2478"/>
      <c r="B54" s="2478"/>
      <c r="C54" s="426" t="s">
        <v>1791</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3"/>
      <c r="L54" s="2477"/>
      <c r="M54" s="2478"/>
      <c r="N54" s="2478"/>
      <c r="O54" s="2478"/>
      <c r="P54" s="2487"/>
      <c r="Q54" s="2478"/>
      <c r="R54" s="2478"/>
      <c r="S54" s="2478"/>
      <c r="T54" s="2478"/>
      <c r="U54" s="2478"/>
      <c r="V54" s="2478"/>
      <c r="W54" s="2478"/>
      <c r="X54" s="2478"/>
      <c r="Y54" s="2478"/>
      <c r="Z54" s="2478"/>
      <c r="AA54" s="2478"/>
      <c r="AB54" s="2478"/>
      <c r="AC54" s="2478"/>
    </row>
    <row r="55" spans="1:29" s="431" customFormat="1">
      <c r="A55" s="2478"/>
      <c r="B55" s="2481"/>
      <c r="C55" s="2482"/>
      <c r="D55" s="2478"/>
      <c r="E55" s="2478"/>
      <c r="F55" s="2478"/>
      <c r="G55" s="2478"/>
      <c r="H55" s="2478"/>
      <c r="I55" s="2478"/>
      <c r="J55" s="2478"/>
      <c r="K55" s="2483"/>
      <c r="L55" s="2477"/>
      <c r="M55" s="2478"/>
      <c r="N55" s="2478"/>
      <c r="O55" s="2478"/>
      <c r="P55" s="2487"/>
      <c r="Q55" s="2478"/>
      <c r="R55" s="2478"/>
      <c r="S55" s="2478"/>
      <c r="T55" s="2478"/>
      <c r="U55" s="2478"/>
      <c r="V55" s="2478"/>
      <c r="W55" s="2478"/>
      <c r="X55" s="2478"/>
      <c r="Y55" s="2478"/>
      <c r="Z55" s="2478"/>
      <c r="AA55" s="2478"/>
      <c r="AB55" s="2478"/>
      <c r="AC55" s="2478"/>
    </row>
    <row r="56" spans="1:29">
      <c r="A56" s="2468"/>
      <c r="B56" s="2481"/>
      <c r="C56" s="2482"/>
      <c r="D56" s="2468"/>
      <c r="E56" s="2468"/>
      <c r="F56" s="2468"/>
      <c r="G56" s="2468"/>
      <c r="H56" s="2468"/>
      <c r="I56" s="2468"/>
      <c r="J56" s="2468"/>
      <c r="K56" s="2480"/>
      <c r="L56" s="2476"/>
      <c r="M56" s="2468"/>
      <c r="N56" s="2468"/>
      <c r="O56" s="2468"/>
      <c r="P56" s="2486"/>
      <c r="Q56" s="2468"/>
      <c r="R56" s="2468"/>
      <c r="S56" s="2468"/>
      <c r="T56" s="2468"/>
      <c r="U56" s="2468"/>
      <c r="V56" s="2468"/>
      <c r="W56" s="2468"/>
      <c r="X56" s="2468"/>
      <c r="Y56" s="2468"/>
      <c r="Z56" s="2468"/>
      <c r="AA56" s="2468"/>
      <c r="AB56" s="2468"/>
      <c r="AC56" s="2468"/>
    </row>
    <row r="57" spans="1:29" ht="21.75" thickBot="1">
      <c r="A57" s="650" t="s">
        <v>1792</v>
      </c>
      <c r="B57" s="379"/>
      <c r="C57" s="651"/>
      <c r="D57" s="651"/>
      <c r="E57" s="651"/>
      <c r="F57" s="652"/>
      <c r="G57" s="652"/>
      <c r="H57" s="651"/>
      <c r="I57" s="651"/>
      <c r="J57" s="651"/>
      <c r="K57" s="653"/>
      <c r="L57" s="881"/>
      <c r="M57" s="879"/>
      <c r="N57" s="879"/>
      <c r="O57" s="879"/>
      <c r="P57" s="2488"/>
      <c r="Q57" s="2489"/>
      <c r="R57" s="2468"/>
      <c r="S57" s="2468"/>
      <c r="T57" s="2468"/>
      <c r="U57" s="2468"/>
      <c r="V57" s="2468"/>
      <c r="W57" s="2468"/>
      <c r="X57" s="2468"/>
      <c r="Y57" s="2468"/>
      <c r="Z57" s="2468"/>
      <c r="AA57" s="2468"/>
      <c r="AB57" s="2468"/>
      <c r="AC57" s="2468"/>
    </row>
    <row r="58" spans="1:29" s="436" customFormat="1" ht="15">
      <c r="A58" s="434" t="s">
        <v>1673</v>
      </c>
      <c r="B58" s="435"/>
      <c r="C58" s="1096" t="str">
        <f>YEAR(C7)&amp;"-"&amp;MONTH(C7)</f>
        <v>2024-5</v>
      </c>
      <c r="D58" s="1097">
        <f>EDATE(C58,-1)</f>
        <v>45383</v>
      </c>
      <c r="E58" s="1097">
        <f t="shared" ref="E58:N58" si="16">EDATE(D58,-1)</f>
        <v>45352</v>
      </c>
      <c r="F58" s="1097">
        <f t="shared" si="16"/>
        <v>45323</v>
      </c>
      <c r="G58" s="1097">
        <f t="shared" si="16"/>
        <v>45292</v>
      </c>
      <c r="H58" s="1097">
        <f t="shared" si="16"/>
        <v>45261</v>
      </c>
      <c r="I58" s="1097">
        <f t="shared" si="16"/>
        <v>45231</v>
      </c>
      <c r="J58" s="1097">
        <f t="shared" si="16"/>
        <v>45200</v>
      </c>
      <c r="K58" s="1097">
        <f t="shared" si="16"/>
        <v>45170</v>
      </c>
      <c r="L58" s="1097">
        <f t="shared" si="16"/>
        <v>45139</v>
      </c>
      <c r="M58" s="1097">
        <f t="shared" si="16"/>
        <v>45108</v>
      </c>
      <c r="N58" s="1097">
        <f t="shared" si="16"/>
        <v>45078</v>
      </c>
      <c r="O58" s="1097">
        <f>EDATE(N58,-1)</f>
        <v>45047</v>
      </c>
      <c r="P58" s="2490"/>
      <c r="Q58" s="2491"/>
      <c r="R58" s="2491"/>
      <c r="S58" s="2491"/>
      <c r="T58" s="2491"/>
      <c r="U58" s="2491"/>
      <c r="V58" s="2491"/>
      <c r="W58" s="2491"/>
      <c r="X58" s="2491"/>
      <c r="Y58" s="2491"/>
      <c r="Z58" s="2491"/>
      <c r="AA58" s="2491"/>
      <c r="AB58" s="2491"/>
      <c r="AC58" s="2491"/>
    </row>
    <row r="59" spans="1:29" s="101" customFormat="1" ht="15">
      <c r="A59" s="437"/>
      <c r="B59" s="438"/>
      <c r="C59" s="1095">
        <v>100</v>
      </c>
      <c r="D59" s="440"/>
      <c r="E59" s="440"/>
      <c r="F59" s="440"/>
      <c r="G59" s="440"/>
      <c r="H59" s="440"/>
      <c r="I59" s="440"/>
      <c r="J59" s="440"/>
      <c r="K59" s="440"/>
      <c r="L59" s="440"/>
      <c r="M59" s="441"/>
      <c r="N59" s="440"/>
      <c r="O59" s="441"/>
      <c r="P59" s="2492"/>
      <c r="Q59" s="2423"/>
      <c r="R59" s="2423"/>
      <c r="S59" s="2423"/>
      <c r="T59" s="2423"/>
      <c r="U59" s="2423"/>
      <c r="V59" s="2423"/>
      <c r="W59" s="2423"/>
      <c r="X59" s="2423"/>
      <c r="Y59" s="2423"/>
      <c r="Z59" s="2423"/>
      <c r="AA59" s="2423"/>
      <c r="AB59" s="2423"/>
      <c r="AC59" s="2423"/>
    </row>
    <row r="60" spans="1:29" s="101" customFormat="1" ht="15.75" thickBot="1">
      <c r="A60" s="443" t="s">
        <v>1710</v>
      </c>
      <c r="B60" s="444"/>
      <c r="C60" s="445"/>
      <c r="D60" s="446"/>
      <c r="E60" s="446"/>
      <c r="F60" s="446"/>
      <c r="G60" s="446"/>
      <c r="H60" s="446"/>
      <c r="I60" s="446"/>
      <c r="J60" s="446"/>
      <c r="K60" s="446"/>
      <c r="L60" s="446"/>
      <c r="M60" s="447"/>
      <c r="N60" s="446"/>
      <c r="O60" s="447"/>
      <c r="P60" s="2492"/>
      <c r="Q60" s="2489"/>
      <c r="R60" s="2423"/>
      <c r="S60" s="2423"/>
      <c r="T60" s="2423"/>
      <c r="U60" s="2423"/>
      <c r="V60" s="2423"/>
      <c r="W60" s="2423"/>
      <c r="X60" s="2423"/>
      <c r="Y60" s="2423"/>
      <c r="Z60" s="2423"/>
      <c r="AA60" s="2423"/>
      <c r="AB60" s="2423"/>
      <c r="AC60" s="2423"/>
    </row>
    <row r="61" spans="1:29" s="101" customFormat="1" ht="15">
      <c r="A61" s="449" t="s">
        <v>1675</v>
      </c>
      <c r="B61" s="438"/>
      <c r="C61" s="450" t="s">
        <v>1770</v>
      </c>
      <c r="D61" s="31"/>
      <c r="E61" s="31"/>
      <c r="F61" s="31"/>
      <c r="G61" s="31"/>
      <c r="H61" s="31"/>
      <c r="I61" s="31"/>
      <c r="J61" s="31"/>
      <c r="K61" s="31"/>
      <c r="L61" s="451"/>
      <c r="M61" s="452"/>
      <c r="N61" s="2501"/>
      <c r="O61" s="2501"/>
      <c r="P61" s="2493"/>
      <c r="Q61" s="2489"/>
      <c r="R61" s="2423"/>
      <c r="S61" s="2423"/>
      <c r="T61" s="2423"/>
      <c r="U61" s="2423"/>
      <c r="V61" s="2423"/>
      <c r="W61" s="2423"/>
      <c r="X61" s="2423"/>
      <c r="Y61" s="2423"/>
      <c r="Z61" s="2423"/>
      <c r="AA61" s="2423"/>
      <c r="AB61" s="2423"/>
      <c r="AC61" s="2423"/>
    </row>
    <row r="62" spans="1:29" s="101" customFormat="1" ht="15.75" thickBot="1">
      <c r="A62" s="449"/>
      <c r="B62" s="438"/>
      <c r="C62" s="439">
        <v>100</v>
      </c>
      <c r="D62" s="440"/>
      <c r="E62" s="440"/>
      <c r="F62" s="440"/>
      <c r="G62" s="440"/>
      <c r="H62" s="440"/>
      <c r="I62" s="440"/>
      <c r="J62" s="440"/>
      <c r="K62" s="440"/>
      <c r="L62" s="440"/>
      <c r="M62" s="442"/>
      <c r="N62" s="2501"/>
      <c r="O62" s="2501"/>
      <c r="P62" s="2492"/>
      <c r="Q62" s="2489"/>
      <c r="R62" s="2423"/>
      <c r="S62" s="2423"/>
      <c r="T62" s="2423"/>
      <c r="U62" s="2423"/>
      <c r="V62" s="2423"/>
      <c r="W62" s="2423"/>
      <c r="X62" s="2423"/>
      <c r="Y62" s="2423"/>
      <c r="Z62" s="2423"/>
      <c r="AA62" s="2423"/>
      <c r="AB62" s="2423"/>
      <c r="AC62" s="2423"/>
    </row>
    <row r="63" spans="1:29">
      <c r="A63" s="373" t="s">
        <v>1713</v>
      </c>
      <c r="B63" s="454" t="s">
        <v>1679</v>
      </c>
      <c r="C63" s="455">
        <f>C9</f>
        <v>0</v>
      </c>
      <c r="D63" s="456"/>
      <c r="E63" s="456"/>
      <c r="F63" s="456"/>
      <c r="G63" s="456"/>
      <c r="H63" s="456"/>
      <c r="I63" s="456"/>
      <c r="J63" s="456"/>
      <c r="K63" s="457"/>
      <c r="L63" s="458"/>
      <c r="M63" s="459"/>
      <c r="N63" s="2502"/>
      <c r="O63" s="2502"/>
      <c r="P63" s="2494"/>
      <c r="Q63" s="2489"/>
      <c r="R63" s="2468"/>
      <c r="S63" s="2468"/>
      <c r="T63" s="2468"/>
      <c r="U63" s="2468"/>
      <c r="V63" s="2468"/>
      <c r="W63" s="2468"/>
      <c r="X63" s="2468"/>
      <c r="Y63" s="2468"/>
      <c r="Z63" s="2468"/>
      <c r="AA63" s="2468"/>
      <c r="AB63" s="2468"/>
      <c r="AC63" s="2468"/>
    </row>
    <row r="64" spans="1:29" ht="15.75" thickBot="1">
      <c r="A64" s="361"/>
      <c r="B64" s="460"/>
      <c r="C64" s="461">
        <v>100</v>
      </c>
      <c r="D64" s="461"/>
      <c r="E64" s="461"/>
      <c r="F64" s="461"/>
      <c r="G64" s="461"/>
      <c r="H64" s="461"/>
      <c r="I64" s="461"/>
      <c r="J64" s="461"/>
      <c r="K64" s="461"/>
      <c r="L64" s="461"/>
      <c r="M64" s="462"/>
      <c r="N64" s="2503"/>
      <c r="O64" s="2503"/>
      <c r="P64" s="2494"/>
      <c r="Q64" s="2489"/>
      <c r="R64" s="2468"/>
      <c r="S64" s="2468"/>
      <c r="T64" s="2468"/>
      <c r="U64" s="2468"/>
      <c r="V64" s="2468"/>
      <c r="W64" s="2468"/>
      <c r="X64" s="2468"/>
      <c r="Y64" s="2468"/>
      <c r="Z64" s="2468"/>
      <c r="AA64" s="2468"/>
      <c r="AB64" s="2468"/>
      <c r="AC64" s="2468"/>
    </row>
    <row r="65" spans="1:29" ht="27.75" thickTop="1">
      <c r="A65" s="361"/>
      <c r="B65" s="463" t="s">
        <v>1682</v>
      </c>
      <c r="C65" s="507"/>
      <c r="D65" s="507"/>
      <c r="E65" s="507"/>
      <c r="F65" s="507"/>
      <c r="G65" s="507"/>
      <c r="H65" s="507"/>
      <c r="I65" s="507"/>
      <c r="J65" s="507"/>
      <c r="K65" s="508"/>
      <c r="L65" s="509"/>
      <c r="M65" s="510"/>
      <c r="N65" s="2502"/>
      <c r="O65" s="2502"/>
      <c r="P65" s="2494"/>
      <c r="Q65" s="2489"/>
      <c r="R65" s="2468"/>
      <c r="S65" s="2468"/>
      <c r="T65" s="2468"/>
      <c r="U65" s="2468"/>
      <c r="V65" s="2468"/>
      <c r="W65" s="2468"/>
      <c r="X65" s="2468"/>
      <c r="Y65" s="2468"/>
      <c r="Z65" s="2468"/>
      <c r="AA65" s="2468"/>
      <c r="AB65" s="2468"/>
      <c r="AC65" s="2468"/>
    </row>
    <row r="66" spans="1:29" ht="15.75" thickBot="1">
      <c r="A66" s="361"/>
      <c r="B66" s="468"/>
      <c r="C66" s="461"/>
      <c r="D66" s="461"/>
      <c r="E66" s="461"/>
      <c r="F66" s="461"/>
      <c r="G66" s="461"/>
      <c r="H66" s="461"/>
      <c r="I66" s="461"/>
      <c r="J66" s="461"/>
      <c r="K66" s="461"/>
      <c r="L66" s="461"/>
      <c r="M66" s="462"/>
      <c r="N66" s="2503"/>
      <c r="O66" s="2503"/>
      <c r="P66" s="2494"/>
      <c r="Q66" s="2489"/>
      <c r="R66" s="2468"/>
      <c r="S66" s="2468"/>
      <c r="T66" s="2468"/>
      <c r="U66" s="2468"/>
      <c r="V66" s="2468"/>
      <c r="W66" s="2468"/>
      <c r="X66" s="2468"/>
      <c r="Y66" s="2468"/>
      <c r="Z66" s="2468"/>
      <c r="AA66" s="2468"/>
      <c r="AB66" s="2468"/>
      <c r="AC66" s="2468"/>
    </row>
    <row r="67" spans="1:29" ht="15.75" thickTop="1">
      <c r="A67" s="361"/>
      <c r="B67" s="471" t="s">
        <v>1683</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03"/>
      <c r="O67" s="2503"/>
      <c r="P67" s="2494"/>
      <c r="Q67" s="2489"/>
      <c r="R67" s="2468"/>
      <c r="S67" s="2468"/>
      <c r="T67" s="2468"/>
      <c r="U67" s="2468"/>
      <c r="V67" s="2468"/>
      <c r="W67" s="2468"/>
      <c r="X67" s="2468"/>
      <c r="Y67" s="2468"/>
      <c r="Z67" s="2468"/>
      <c r="AA67" s="2468"/>
      <c r="AB67" s="2468"/>
      <c r="AC67" s="2468"/>
    </row>
    <row r="68" spans="1:29" ht="15">
      <c r="A68" s="361"/>
      <c r="B68" s="473"/>
      <c r="C68" s="474"/>
      <c r="D68" s="474"/>
      <c r="E68" s="474"/>
      <c r="F68" s="474"/>
      <c r="G68" s="474"/>
      <c r="H68" s="474"/>
      <c r="I68" s="474"/>
      <c r="J68" s="474"/>
      <c r="K68" s="475"/>
      <c r="L68" s="476"/>
      <c r="M68" s="477"/>
      <c r="N68" s="2502"/>
      <c r="O68" s="2502"/>
      <c r="P68" s="2494"/>
      <c r="Q68" s="2489"/>
      <c r="R68" s="2468"/>
      <c r="S68" s="2468"/>
      <c r="T68" s="2468"/>
      <c r="U68" s="2468"/>
      <c r="V68" s="2468"/>
      <c r="W68" s="2468"/>
      <c r="X68" s="2468"/>
      <c r="Y68" s="2468"/>
      <c r="Z68" s="2468"/>
      <c r="AA68" s="2468"/>
      <c r="AB68" s="2468"/>
      <c r="AC68" s="2468"/>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03"/>
      <c r="O69" s="2503"/>
      <c r="P69" s="2494"/>
      <c r="Q69" s="2489"/>
      <c r="R69" s="2468"/>
      <c r="S69" s="2468"/>
      <c r="T69" s="2468"/>
      <c r="U69" s="2468"/>
      <c r="V69" s="2468"/>
      <c r="W69" s="2468"/>
      <c r="X69" s="2468"/>
      <c r="Y69" s="2468"/>
      <c r="Z69" s="2468"/>
      <c r="AA69" s="2468"/>
      <c r="AB69" s="2468"/>
      <c r="AC69" s="2468"/>
    </row>
    <row r="70" spans="1:29" s="402" customFormat="1" ht="15.75" thickTop="1">
      <c r="A70" s="478"/>
      <c r="B70" s="463">
        <f>B12</f>
        <v>111</v>
      </c>
      <c r="C70" s="479"/>
      <c r="D70" s="479"/>
      <c r="E70" s="479"/>
      <c r="F70" s="479"/>
      <c r="G70" s="479"/>
      <c r="H70" s="480"/>
      <c r="I70" s="480"/>
      <c r="J70" s="480"/>
      <c r="K70" s="480"/>
      <c r="L70" s="481"/>
      <c r="M70" s="482"/>
      <c r="N70" s="2504"/>
      <c r="O70" s="2504"/>
      <c r="P70" s="2495"/>
      <c r="Q70" s="2496"/>
      <c r="R70" s="2474"/>
      <c r="S70" s="2474"/>
      <c r="T70" s="2474"/>
      <c r="U70" s="2474"/>
      <c r="V70" s="2474"/>
      <c r="W70" s="2474"/>
      <c r="X70" s="2474"/>
      <c r="Y70" s="2474"/>
      <c r="Z70" s="2474"/>
      <c r="AA70" s="2474"/>
      <c r="AB70" s="2474"/>
      <c r="AC70" s="2474"/>
    </row>
    <row r="71" spans="1:29" s="402" customFormat="1" ht="15.75" thickBot="1">
      <c r="A71" s="478"/>
      <c r="B71" s="468"/>
      <c r="C71" s="485"/>
      <c r="D71" s="461"/>
      <c r="E71" s="461"/>
      <c r="F71" s="461"/>
      <c r="G71" s="461"/>
      <c r="H71" s="461"/>
      <c r="I71" s="461"/>
      <c r="J71" s="461"/>
      <c r="K71" s="461"/>
      <c r="L71" s="461"/>
      <c r="M71" s="462"/>
      <c r="N71" s="2503"/>
      <c r="O71" s="2503"/>
      <c r="P71" s="2495"/>
      <c r="Q71" s="2496"/>
      <c r="R71" s="2474"/>
      <c r="S71" s="2474"/>
      <c r="T71" s="2474"/>
      <c r="U71" s="2474"/>
      <c r="V71" s="2474"/>
      <c r="W71" s="2474"/>
      <c r="X71" s="2474"/>
      <c r="Y71" s="2474"/>
      <c r="Z71" s="2474"/>
      <c r="AA71" s="2474"/>
      <c r="AB71" s="2474"/>
      <c r="AC71" s="2474"/>
    </row>
    <row r="72" spans="1:29" s="402" customFormat="1" ht="15.75" thickTop="1">
      <c r="A72" s="478"/>
      <c r="B72" s="463">
        <f>B13</f>
        <v>111</v>
      </c>
      <c r="C72" s="479"/>
      <c r="D72" s="479"/>
      <c r="E72" s="479"/>
      <c r="F72" s="479"/>
      <c r="G72" s="479"/>
      <c r="H72" s="480"/>
      <c r="I72" s="480"/>
      <c r="J72" s="480"/>
      <c r="K72" s="480"/>
      <c r="L72" s="481"/>
      <c r="M72" s="482"/>
      <c r="N72" s="2504"/>
      <c r="O72" s="2504"/>
      <c r="P72" s="2497"/>
      <c r="Q72" s="2498"/>
      <c r="R72" s="2474"/>
      <c r="S72" s="2474"/>
      <c r="T72" s="2474"/>
      <c r="U72" s="2474"/>
      <c r="V72" s="2474"/>
      <c r="W72" s="2474"/>
      <c r="X72" s="2474"/>
      <c r="Y72" s="2474"/>
      <c r="Z72" s="2474"/>
      <c r="AA72" s="2474"/>
      <c r="AB72" s="2474"/>
      <c r="AC72" s="2474"/>
    </row>
    <row r="73" spans="1:29" s="402" customFormat="1" ht="15.75" thickBot="1">
      <c r="A73" s="478"/>
      <c r="B73" s="468"/>
      <c r="C73" s="485"/>
      <c r="D73" s="461"/>
      <c r="E73" s="461"/>
      <c r="F73" s="461"/>
      <c r="G73" s="485"/>
      <c r="H73" s="487"/>
      <c r="I73" s="487"/>
      <c r="J73" s="487"/>
      <c r="K73" s="487"/>
      <c r="L73" s="487"/>
      <c r="M73" s="488"/>
      <c r="N73" s="2504"/>
      <c r="O73" s="2504"/>
      <c r="P73" s="2495"/>
      <c r="Q73" s="2496"/>
      <c r="R73" s="2474"/>
      <c r="S73" s="2474"/>
      <c r="T73" s="2474"/>
      <c r="U73" s="2474"/>
      <c r="V73" s="2474"/>
      <c r="W73" s="2474"/>
      <c r="X73" s="2474"/>
      <c r="Y73" s="2474"/>
      <c r="Z73" s="2474"/>
      <c r="AA73" s="2474"/>
      <c r="AB73" s="2474"/>
      <c r="AC73" s="2474"/>
    </row>
    <row r="74" spans="1:29" s="402" customFormat="1" ht="15.75" thickTop="1">
      <c r="A74" s="478"/>
      <c r="B74" s="471">
        <f>B14</f>
        <v>111</v>
      </c>
      <c r="C74" s="479"/>
      <c r="D74" s="479"/>
      <c r="E74" s="479"/>
      <c r="F74" s="479"/>
      <c r="G74" s="31"/>
      <c r="H74" s="489"/>
      <c r="I74" s="489"/>
      <c r="J74" s="489"/>
      <c r="K74" s="489"/>
      <c r="L74" s="490"/>
      <c r="M74" s="491"/>
      <c r="N74" s="2504"/>
      <c r="O74" s="2504"/>
      <c r="P74" s="2499"/>
      <c r="Q74" s="2496"/>
      <c r="R74" s="2474"/>
      <c r="S74" s="2474"/>
      <c r="T74" s="2474"/>
      <c r="U74" s="2474"/>
      <c r="V74" s="2474"/>
      <c r="W74" s="2474"/>
      <c r="X74" s="2474"/>
      <c r="Y74" s="2474"/>
      <c r="Z74" s="2474"/>
      <c r="AA74" s="2474"/>
      <c r="AB74" s="2474"/>
      <c r="AC74" s="2474"/>
    </row>
    <row r="75" spans="1:29" s="402" customFormat="1" ht="15.75" thickBot="1">
      <c r="A75" s="493"/>
      <c r="B75" s="494"/>
      <c r="C75" s="495"/>
      <c r="D75" s="495"/>
      <c r="E75" s="495"/>
      <c r="F75" s="495"/>
      <c r="G75" s="495"/>
      <c r="H75" s="496"/>
      <c r="I75" s="496"/>
      <c r="J75" s="496"/>
      <c r="K75" s="496"/>
      <c r="L75" s="496"/>
      <c r="M75" s="497"/>
      <c r="N75" s="2504"/>
      <c r="O75" s="2504"/>
      <c r="P75" s="2495"/>
      <c r="Q75" s="2496"/>
      <c r="R75" s="2474"/>
      <c r="S75" s="2474"/>
      <c r="T75" s="2474"/>
      <c r="U75" s="2474"/>
      <c r="V75" s="2474"/>
      <c r="W75" s="2474"/>
      <c r="X75" s="2474"/>
      <c r="Y75" s="2474"/>
      <c r="Z75" s="2474"/>
      <c r="AA75" s="2474"/>
      <c r="AB75" s="2474"/>
      <c r="AC75" s="2474"/>
    </row>
    <row r="76" spans="1:29">
      <c r="A76" s="373" t="s">
        <v>1684</v>
      </c>
      <c r="B76" s="454" t="s">
        <v>1714</v>
      </c>
      <c r="C76" s="498" t="s">
        <v>1715</v>
      </c>
      <c r="D76" s="498" t="s">
        <v>1716</v>
      </c>
      <c r="E76" s="498" t="s">
        <v>1717</v>
      </c>
      <c r="F76" s="498" t="s">
        <v>1718</v>
      </c>
      <c r="G76" s="498" t="s">
        <v>1719</v>
      </c>
      <c r="H76" s="455"/>
      <c r="I76" s="455"/>
      <c r="J76" s="455"/>
      <c r="K76" s="499"/>
      <c r="L76" s="500"/>
      <c r="M76" s="501"/>
      <c r="N76" s="2502"/>
      <c r="O76" s="2502"/>
      <c r="P76" s="2500"/>
      <c r="Q76" s="2489"/>
      <c r="R76" s="2468"/>
      <c r="S76" s="2468"/>
      <c r="T76" s="2468"/>
      <c r="U76" s="2468"/>
      <c r="V76" s="2468"/>
      <c r="W76" s="2468"/>
      <c r="X76" s="2468"/>
      <c r="Y76" s="2468"/>
      <c r="Z76" s="2468"/>
      <c r="AA76" s="2468"/>
      <c r="AB76" s="2468"/>
      <c r="AC76" s="2468"/>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03"/>
      <c r="O77" s="2503"/>
      <c r="P77" s="2494"/>
      <c r="Q77" s="2489"/>
      <c r="R77" s="2468"/>
      <c r="S77" s="2468"/>
      <c r="T77" s="2468"/>
      <c r="U77" s="2468"/>
      <c r="V77" s="2468"/>
      <c r="W77" s="2468"/>
      <c r="X77" s="2468"/>
      <c r="Y77" s="2468"/>
      <c r="Z77" s="2468"/>
      <c r="AA77" s="2468"/>
      <c r="AB77" s="2468"/>
      <c r="AC77" s="2468"/>
    </row>
    <row r="78" spans="1:29" ht="15.75" thickTop="1">
      <c r="A78" s="361"/>
      <c r="B78" s="463" t="s">
        <v>1720</v>
      </c>
      <c r="C78" s="503" t="s">
        <v>1715</v>
      </c>
      <c r="D78" s="503" t="s">
        <v>1716</v>
      </c>
      <c r="E78" s="503" t="s">
        <v>1717</v>
      </c>
      <c r="F78" s="503" t="s">
        <v>1718</v>
      </c>
      <c r="G78" s="503" t="s">
        <v>1719</v>
      </c>
      <c r="H78" s="464"/>
      <c r="I78" s="464"/>
      <c r="J78" s="464"/>
      <c r="K78" s="465"/>
      <c r="L78" s="466"/>
      <c r="M78" s="467"/>
      <c r="N78" s="2502"/>
      <c r="O78" s="2502"/>
      <c r="P78" s="2494"/>
      <c r="Q78" s="2489"/>
      <c r="R78" s="2468"/>
      <c r="S78" s="2468"/>
      <c r="T78" s="2468"/>
      <c r="U78" s="2468"/>
      <c r="V78" s="2468"/>
      <c r="W78" s="2468"/>
      <c r="X78" s="2468"/>
      <c r="Y78" s="2468"/>
      <c r="Z78" s="2468"/>
      <c r="AA78" s="2468"/>
      <c r="AB78" s="2468"/>
      <c r="AC78" s="2468"/>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03"/>
      <c r="O79" s="2503"/>
      <c r="P79" s="2494"/>
      <c r="Q79" s="2489"/>
      <c r="R79" s="2468"/>
      <c r="S79" s="2468"/>
      <c r="T79" s="2468"/>
      <c r="U79" s="2468"/>
      <c r="V79" s="2468"/>
      <c r="W79" s="2468"/>
      <c r="X79" s="2468"/>
      <c r="Y79" s="2468"/>
      <c r="Z79" s="2468"/>
      <c r="AA79" s="2468"/>
      <c r="AB79" s="2468"/>
      <c r="AC79" s="2468"/>
    </row>
    <row r="80" spans="1:29" ht="15.75" thickTop="1">
      <c r="A80" s="361"/>
      <c r="B80" s="463" t="s">
        <v>1721</v>
      </c>
      <c r="C80" s="503" t="s">
        <v>1715</v>
      </c>
      <c r="D80" s="503" t="s">
        <v>1716</v>
      </c>
      <c r="E80" s="503" t="s">
        <v>1717</v>
      </c>
      <c r="F80" s="503" t="s">
        <v>1718</v>
      </c>
      <c r="G80" s="503" t="s">
        <v>1719</v>
      </c>
      <c r="H80" s="464"/>
      <c r="I80" s="464"/>
      <c r="J80" s="464"/>
      <c r="K80" s="465"/>
      <c r="L80" s="466"/>
      <c r="M80" s="467"/>
      <c r="N80" s="2502"/>
      <c r="O80" s="2502"/>
      <c r="P80" s="2494"/>
      <c r="Q80" s="2489"/>
      <c r="R80" s="2468"/>
      <c r="S80" s="2468"/>
      <c r="T80" s="2468"/>
      <c r="U80" s="2468"/>
      <c r="V80" s="2468"/>
      <c r="W80" s="2468"/>
      <c r="X80" s="2468"/>
      <c r="Y80" s="2468"/>
      <c r="Z80" s="2468"/>
      <c r="AA80" s="2468"/>
      <c r="AB80" s="2468"/>
      <c r="AC80" s="2468"/>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03"/>
      <c r="O81" s="2503"/>
      <c r="P81" s="2494"/>
      <c r="Q81" s="2489"/>
      <c r="R81" s="2468"/>
      <c r="S81" s="2468"/>
      <c r="T81" s="2468"/>
      <c r="U81" s="2468"/>
      <c r="V81" s="2468"/>
      <c r="W81" s="2468"/>
      <c r="X81" s="2468"/>
      <c r="Y81" s="2468"/>
      <c r="Z81" s="2468"/>
      <c r="AA81" s="2468"/>
      <c r="AB81" s="2468"/>
      <c r="AC81" s="2468"/>
    </row>
    <row r="82" spans="1:29" ht="15.75" thickTop="1">
      <c r="A82" s="361"/>
      <c r="B82" s="471" t="s">
        <v>1773</v>
      </c>
      <c r="C82" s="575" t="s">
        <v>1793</v>
      </c>
      <c r="D82" s="575" t="s">
        <v>1794</v>
      </c>
      <c r="E82" s="575" t="s">
        <v>1795</v>
      </c>
      <c r="F82" s="575" t="s">
        <v>1796</v>
      </c>
      <c r="G82" s="575" t="s">
        <v>1797</v>
      </c>
      <c r="H82" s="464"/>
      <c r="I82" s="464"/>
      <c r="J82" s="464"/>
      <c r="K82" s="464"/>
      <c r="L82" s="464"/>
      <c r="M82" s="1056"/>
      <c r="N82" s="2503"/>
      <c r="O82" s="2503"/>
      <c r="P82" s="2494"/>
      <c r="Q82" s="2489"/>
      <c r="R82" s="2468"/>
      <c r="S82" s="2468"/>
      <c r="T82" s="2468"/>
      <c r="U82" s="2468"/>
      <c r="V82" s="2468"/>
      <c r="W82" s="2468"/>
      <c r="X82" s="2468"/>
      <c r="Y82" s="2468"/>
      <c r="Z82" s="2468"/>
      <c r="AA82" s="2468"/>
      <c r="AB82" s="2468"/>
      <c r="AC82" s="2468"/>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03"/>
      <c r="O83" s="2503"/>
      <c r="P83" s="2494"/>
      <c r="Q83" s="2489"/>
      <c r="R83" s="2468"/>
      <c r="S83" s="2468"/>
      <c r="T83" s="2468"/>
      <c r="U83" s="2468"/>
      <c r="V83" s="2468"/>
      <c r="W83" s="2468"/>
      <c r="X83" s="2468"/>
      <c r="Y83" s="2468"/>
      <c r="Z83" s="2468"/>
      <c r="AA83" s="2468"/>
      <c r="AB83" s="2468"/>
      <c r="AC83" s="2468"/>
    </row>
    <row r="84" spans="1:29" ht="15.75" thickTop="1">
      <c r="A84" s="361"/>
      <c r="B84" s="463" t="s">
        <v>1727</v>
      </c>
      <c r="C84" s="503" t="s">
        <v>1715</v>
      </c>
      <c r="D84" s="503" t="s">
        <v>1716</v>
      </c>
      <c r="E84" s="503" t="s">
        <v>1717</v>
      </c>
      <c r="F84" s="503" t="s">
        <v>1718</v>
      </c>
      <c r="G84" s="503" t="s">
        <v>1719</v>
      </c>
      <c r="H84" s="464"/>
      <c r="I84" s="464"/>
      <c r="J84" s="464"/>
      <c r="K84" s="465"/>
      <c r="L84" s="466"/>
      <c r="M84" s="467"/>
      <c r="N84" s="2502"/>
      <c r="O84" s="2502"/>
      <c r="P84" s="2494"/>
      <c r="Q84" s="2489"/>
      <c r="R84" s="2468"/>
      <c r="S84" s="2468"/>
      <c r="T84" s="2468"/>
      <c r="U84" s="2468"/>
      <c r="V84" s="2468"/>
      <c r="W84" s="2468"/>
      <c r="X84" s="2468"/>
      <c r="Y84" s="2468"/>
      <c r="Z84" s="2468"/>
      <c r="AA84" s="2468"/>
      <c r="AB84" s="2468"/>
      <c r="AC84" s="2468"/>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03"/>
      <c r="O85" s="2503"/>
      <c r="P85" s="2494"/>
      <c r="Q85" s="2489"/>
      <c r="R85" s="2468"/>
      <c r="S85" s="2468"/>
      <c r="T85" s="2468"/>
      <c r="U85" s="2468"/>
      <c r="V85" s="2468"/>
      <c r="W85" s="2468"/>
      <c r="X85" s="2468"/>
      <c r="Y85" s="2468"/>
      <c r="Z85" s="2468"/>
      <c r="AA85" s="2468"/>
      <c r="AB85" s="2468"/>
      <c r="AC85" s="2468"/>
    </row>
    <row r="86" spans="1:29" s="101" customFormat="1" ht="15.75" thickTop="1">
      <c r="A86" s="364"/>
      <c r="B86" s="463" t="s">
        <v>1798</v>
      </c>
      <c r="C86" s="479"/>
      <c r="D86" s="479"/>
      <c r="E86" s="479"/>
      <c r="F86" s="479"/>
      <c r="G86" s="479"/>
      <c r="H86" s="479"/>
      <c r="I86" s="479"/>
      <c r="J86" s="479"/>
      <c r="K86" s="479"/>
      <c r="L86" s="504"/>
      <c r="M86" s="505"/>
      <c r="N86" s="2501"/>
      <c r="O86" s="2501"/>
      <c r="P86" s="2494"/>
      <c r="Q86" s="2489"/>
      <c r="R86" s="2423"/>
      <c r="S86" s="2423"/>
      <c r="T86" s="2423"/>
      <c r="U86" s="2423"/>
      <c r="V86" s="2423"/>
      <c r="W86" s="2423"/>
      <c r="X86" s="2423"/>
      <c r="Y86" s="2423"/>
      <c r="Z86" s="2423"/>
      <c r="AA86" s="2423"/>
      <c r="AB86" s="2423"/>
      <c r="AC86" s="2423"/>
    </row>
    <row r="87" spans="1:29" s="101"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03"/>
      <c r="O87" s="2503"/>
      <c r="P87" s="2494"/>
      <c r="Q87" s="2489"/>
      <c r="R87" s="2423"/>
      <c r="S87" s="2423"/>
      <c r="T87" s="2423"/>
      <c r="U87" s="2423"/>
      <c r="V87" s="2423"/>
      <c r="W87" s="2423"/>
      <c r="X87" s="2423"/>
      <c r="Y87" s="2423"/>
      <c r="Z87" s="2423"/>
      <c r="AA87" s="2423"/>
      <c r="AB87" s="2423"/>
      <c r="AC87" s="2423"/>
    </row>
    <row r="88" spans="1:29" s="101" customFormat="1" ht="15.75" thickTop="1">
      <c r="A88" s="364"/>
      <c r="B88" s="463" t="str">
        <f>B26</f>
        <v>平面位置/可视性</v>
      </c>
      <c r="C88" s="479"/>
      <c r="D88" s="479"/>
      <c r="E88" s="479"/>
      <c r="F88" s="1772"/>
      <c r="G88" s="479"/>
      <c r="H88" s="479"/>
      <c r="I88" s="479"/>
      <c r="J88" s="479"/>
      <c r="K88" s="479"/>
      <c r="L88" s="479"/>
      <c r="M88" s="505"/>
      <c r="N88" s="2501"/>
      <c r="O88" s="2501"/>
      <c r="P88" s="2494"/>
      <c r="Q88" s="2489"/>
      <c r="R88" s="2423"/>
      <c r="S88" s="2423"/>
      <c r="T88" s="2423"/>
      <c r="U88" s="2423"/>
      <c r="V88" s="2423"/>
      <c r="W88" s="2423"/>
      <c r="X88" s="2423"/>
      <c r="Y88" s="2423"/>
      <c r="Z88" s="2423"/>
      <c r="AA88" s="2423"/>
      <c r="AB88" s="2423"/>
      <c r="AC88" s="2423"/>
    </row>
    <row r="89" spans="1:29" s="101" customFormat="1" ht="15.75" thickBot="1">
      <c r="A89" s="364"/>
      <c r="B89" s="468"/>
      <c r="C89" s="485"/>
      <c r="D89" s="461"/>
      <c r="E89" s="461"/>
      <c r="F89" s="461"/>
      <c r="G89" s="461"/>
      <c r="H89" s="461"/>
      <c r="I89" s="461"/>
      <c r="J89" s="461"/>
      <c r="K89" s="461"/>
      <c r="L89" s="461"/>
      <c r="M89" s="461"/>
      <c r="N89" s="2503"/>
      <c r="O89" s="2503"/>
      <c r="P89" s="2494"/>
      <c r="Q89" s="2489"/>
      <c r="R89" s="2423"/>
      <c r="S89" s="2423"/>
      <c r="T89" s="2423"/>
      <c r="U89" s="2423"/>
      <c r="V89" s="2423"/>
      <c r="W89" s="2423"/>
      <c r="X89" s="2423"/>
      <c r="Y89" s="2423"/>
      <c r="Z89" s="2423"/>
      <c r="AA89" s="2423"/>
      <c r="AB89" s="2423"/>
      <c r="AC89" s="2423"/>
    </row>
    <row r="90" spans="1:29" s="402" customFormat="1" ht="15.75" thickTop="1">
      <c r="A90" s="478"/>
      <c r="B90" s="463" t="str">
        <f>B27</f>
        <v>人流量</v>
      </c>
      <c r="C90" s="479"/>
      <c r="D90" s="479"/>
      <c r="E90" s="479"/>
      <c r="F90" s="479"/>
      <c r="G90" s="479"/>
      <c r="H90" s="480"/>
      <c r="I90" s="480"/>
      <c r="J90" s="480"/>
      <c r="K90" s="480"/>
      <c r="L90" s="481"/>
      <c r="M90" s="482"/>
      <c r="N90" s="2504"/>
      <c r="O90" s="2504"/>
      <c r="P90" s="2495"/>
      <c r="Q90" s="2496"/>
      <c r="R90" s="2474"/>
      <c r="S90" s="2474"/>
      <c r="T90" s="2474"/>
      <c r="U90" s="2474"/>
      <c r="V90" s="2474"/>
      <c r="W90" s="2474"/>
      <c r="X90" s="2474"/>
      <c r="Y90" s="2474"/>
      <c r="Z90" s="2474"/>
      <c r="AA90" s="2474"/>
      <c r="AB90" s="2474"/>
      <c r="AC90" s="2474"/>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04"/>
      <c r="O91" s="2504"/>
      <c r="P91" s="2495"/>
      <c r="Q91" s="2496"/>
      <c r="R91" s="2474"/>
      <c r="S91" s="2474"/>
      <c r="T91" s="2474"/>
      <c r="U91" s="2474"/>
      <c r="V91" s="2474"/>
      <c r="W91" s="2474"/>
      <c r="X91" s="2474"/>
      <c r="Y91" s="2474"/>
      <c r="Z91" s="2474"/>
      <c r="AA91" s="2474"/>
      <c r="AB91" s="2474"/>
      <c r="AC91" s="2474"/>
    </row>
    <row r="92" spans="1:29" ht="15.75" thickTop="1">
      <c r="A92" s="361"/>
      <c r="B92" s="463" t="str">
        <f>B28</f>
        <v>楼层</v>
      </c>
      <c r="C92" s="479"/>
      <c r="D92" s="479"/>
      <c r="E92" s="479"/>
      <c r="F92" s="479"/>
      <c r="G92" s="479"/>
      <c r="H92" s="479"/>
      <c r="I92" s="479"/>
      <c r="J92" s="479"/>
      <c r="K92" s="479"/>
      <c r="L92" s="504"/>
      <c r="M92" s="505"/>
      <c r="N92" s="2502"/>
      <c r="O92" s="2502"/>
      <c r="P92" s="2494"/>
      <c r="Q92" s="2489"/>
      <c r="R92" s="2468"/>
      <c r="S92" s="2468"/>
      <c r="T92" s="2468"/>
      <c r="U92" s="2468"/>
      <c r="V92" s="2468"/>
      <c r="W92" s="2468"/>
      <c r="X92" s="2468"/>
      <c r="Y92" s="2468"/>
      <c r="Z92" s="2468"/>
      <c r="AA92" s="2468"/>
      <c r="AB92" s="2468"/>
      <c r="AC92" s="2468"/>
    </row>
    <row r="93" spans="1:29" ht="15.75" thickBot="1">
      <c r="A93" s="361"/>
      <c r="B93" s="468"/>
      <c r="C93" s="461"/>
      <c r="D93" s="461"/>
      <c r="E93" s="461"/>
      <c r="F93" s="461"/>
      <c r="G93" s="461"/>
      <c r="H93" s="461"/>
      <c r="I93" s="461"/>
      <c r="J93" s="461"/>
      <c r="K93" s="461"/>
      <c r="L93" s="461"/>
      <c r="M93" s="462"/>
      <c r="N93" s="2503"/>
      <c r="O93" s="2503"/>
      <c r="P93" s="2494"/>
      <c r="Q93" s="2489"/>
      <c r="R93" s="2468"/>
      <c r="S93" s="2468"/>
      <c r="T93" s="2468"/>
      <c r="U93" s="2468"/>
      <c r="V93" s="2468"/>
      <c r="W93" s="2468"/>
      <c r="X93" s="2468"/>
      <c r="Y93" s="2468"/>
      <c r="Z93" s="2468"/>
      <c r="AA93" s="2468"/>
      <c r="AB93" s="2468"/>
      <c r="AC93" s="2468"/>
    </row>
    <row r="94" spans="1:29" ht="15.75" thickTop="1">
      <c r="A94" s="361"/>
      <c r="B94" s="463">
        <f>B29</f>
        <v>111</v>
      </c>
      <c r="C94" s="479"/>
      <c r="D94" s="479"/>
      <c r="E94" s="479"/>
      <c r="F94" s="479"/>
      <c r="G94" s="507"/>
      <c r="H94" s="507"/>
      <c r="I94" s="507"/>
      <c r="J94" s="507"/>
      <c r="K94" s="508"/>
      <c r="L94" s="509"/>
      <c r="M94" s="510"/>
      <c r="N94" s="2502"/>
      <c r="O94" s="2502"/>
      <c r="P94" s="2494"/>
      <c r="Q94" s="2489"/>
      <c r="R94" s="2468"/>
      <c r="S94" s="2468"/>
      <c r="T94" s="2468"/>
      <c r="U94" s="2468"/>
      <c r="V94" s="2468"/>
      <c r="W94" s="2468"/>
      <c r="X94" s="2468"/>
      <c r="Y94" s="2468"/>
      <c r="Z94" s="2468"/>
      <c r="AA94" s="2468"/>
      <c r="AB94" s="2468"/>
      <c r="AC94" s="2468"/>
    </row>
    <row r="95" spans="1:29" ht="15.75" thickBot="1">
      <c r="A95" s="361"/>
      <c r="B95" s="468"/>
      <c r="C95" s="485"/>
      <c r="D95" s="461"/>
      <c r="E95" s="461"/>
      <c r="F95" s="461"/>
      <c r="G95" s="461"/>
      <c r="H95" s="461"/>
      <c r="I95" s="461"/>
      <c r="J95" s="461"/>
      <c r="K95" s="461"/>
      <c r="L95" s="461"/>
      <c r="M95" s="462"/>
      <c r="N95" s="2503"/>
      <c r="O95" s="2503"/>
      <c r="P95" s="2494"/>
      <c r="Q95" s="2489"/>
      <c r="R95" s="2468"/>
      <c r="S95" s="2468"/>
      <c r="T95" s="2468"/>
      <c r="U95" s="2468"/>
      <c r="V95" s="2468"/>
      <c r="W95" s="2468"/>
      <c r="X95" s="2468"/>
      <c r="Y95" s="2468"/>
      <c r="Z95" s="2468"/>
      <c r="AA95" s="2468"/>
      <c r="AB95" s="2468"/>
      <c r="AC95" s="2468"/>
    </row>
    <row r="96" spans="1:29" ht="15.75" thickTop="1">
      <c r="A96" s="361"/>
      <c r="B96" s="463">
        <f>B30</f>
        <v>111</v>
      </c>
      <c r="C96" s="479"/>
      <c r="D96" s="479"/>
      <c r="E96" s="479"/>
      <c r="F96" s="479"/>
      <c r="G96" s="507"/>
      <c r="H96" s="507"/>
      <c r="I96" s="507"/>
      <c r="J96" s="507"/>
      <c r="K96" s="508"/>
      <c r="L96" s="509"/>
      <c r="M96" s="510"/>
      <c r="N96" s="2502"/>
      <c r="O96" s="2502"/>
      <c r="P96" s="2494"/>
      <c r="Q96" s="2489"/>
      <c r="R96" s="2468"/>
      <c r="S96" s="2468"/>
      <c r="T96" s="2468"/>
      <c r="U96" s="2468"/>
      <c r="V96" s="2468"/>
      <c r="W96" s="2468"/>
      <c r="X96" s="2468"/>
      <c r="Y96" s="2468"/>
      <c r="Z96" s="2468"/>
      <c r="AA96" s="2468"/>
      <c r="AB96" s="2468"/>
      <c r="AC96" s="2468"/>
    </row>
    <row r="97" spans="1:29" ht="15.75" thickBot="1">
      <c r="A97" s="361"/>
      <c r="B97" s="468"/>
      <c r="C97" s="485"/>
      <c r="D97" s="461"/>
      <c r="E97" s="461"/>
      <c r="F97" s="461"/>
      <c r="G97" s="461"/>
      <c r="H97" s="461"/>
      <c r="I97" s="461"/>
      <c r="J97" s="461"/>
      <c r="K97" s="461"/>
      <c r="L97" s="461"/>
      <c r="M97" s="462"/>
      <c r="N97" s="2503"/>
      <c r="O97" s="2503"/>
      <c r="P97" s="2494"/>
      <c r="Q97" s="2489"/>
      <c r="R97" s="2468"/>
      <c r="S97" s="2468"/>
      <c r="T97" s="2468"/>
      <c r="U97" s="2468"/>
      <c r="V97" s="2468"/>
      <c r="W97" s="2468"/>
      <c r="X97" s="2468"/>
      <c r="Y97" s="2468"/>
      <c r="Z97" s="2468"/>
      <c r="AA97" s="2468"/>
      <c r="AB97" s="2468"/>
      <c r="AC97" s="2468"/>
    </row>
    <row r="98" spans="1:29" ht="15.75" thickTop="1">
      <c r="A98" s="361"/>
      <c r="B98" s="471">
        <f>B31</f>
        <v>111</v>
      </c>
      <c r="C98" s="479"/>
      <c r="D98" s="479"/>
      <c r="E98" s="479"/>
      <c r="F98" s="479"/>
      <c r="G98" s="511"/>
      <c r="H98" s="511"/>
      <c r="I98" s="511"/>
      <c r="J98" s="511"/>
      <c r="K98" s="512"/>
      <c r="L98" s="513"/>
      <c r="M98" s="514"/>
      <c r="N98" s="2502"/>
      <c r="O98" s="2502"/>
      <c r="P98" s="2494"/>
      <c r="Q98" s="2489"/>
      <c r="R98" s="2468"/>
      <c r="S98" s="2468"/>
      <c r="T98" s="2468"/>
      <c r="U98" s="2468"/>
      <c r="V98" s="2468"/>
      <c r="W98" s="2468"/>
      <c r="X98" s="2468"/>
      <c r="Y98" s="2468"/>
      <c r="Z98" s="2468"/>
      <c r="AA98" s="2468"/>
      <c r="AB98" s="2468"/>
      <c r="AC98" s="2468"/>
    </row>
    <row r="99" spans="1:29" ht="15.75" thickBot="1">
      <c r="A99" s="369"/>
      <c r="B99" s="494"/>
      <c r="C99" s="495"/>
      <c r="D99" s="495"/>
      <c r="E99" s="495"/>
      <c r="F99" s="495"/>
      <c r="G99" s="515"/>
      <c r="H99" s="515"/>
      <c r="I99" s="515"/>
      <c r="J99" s="515"/>
      <c r="K99" s="515"/>
      <c r="L99" s="515"/>
      <c r="M99" s="516"/>
      <c r="N99" s="2503"/>
      <c r="O99" s="2503"/>
      <c r="P99" s="2494"/>
      <c r="Q99" s="2489"/>
      <c r="R99" s="2468"/>
      <c r="S99" s="2468"/>
      <c r="T99" s="2468"/>
      <c r="U99" s="2468"/>
      <c r="V99" s="2468"/>
      <c r="W99" s="2468"/>
      <c r="X99" s="2468"/>
      <c r="Y99" s="2468"/>
      <c r="Z99" s="2468"/>
      <c r="AA99" s="2468"/>
      <c r="AB99" s="2468"/>
      <c r="AC99" s="2468"/>
    </row>
    <row r="100" spans="1:29">
      <c r="A100" s="373" t="s">
        <v>1688</v>
      </c>
      <c r="B100" s="454" t="s">
        <v>1799</v>
      </c>
      <c r="C100" s="456"/>
      <c r="D100" s="456"/>
      <c r="E100" s="456"/>
      <c r="F100" s="456"/>
      <c r="G100" s="456"/>
      <c r="H100" s="456"/>
      <c r="I100" s="456"/>
      <c r="J100" s="456"/>
      <c r="K100" s="457"/>
      <c r="L100" s="458"/>
      <c r="M100" s="459"/>
      <c r="N100" s="2502"/>
      <c r="O100" s="2502"/>
      <c r="P100" s="2494"/>
      <c r="Q100" s="2489"/>
      <c r="R100" s="2468"/>
      <c r="S100" s="2468"/>
      <c r="T100" s="2468"/>
      <c r="U100" s="2468"/>
      <c r="V100" s="2468"/>
      <c r="W100" s="2468"/>
      <c r="X100" s="2468"/>
      <c r="Y100" s="2468"/>
      <c r="Z100" s="2468"/>
      <c r="AA100" s="2468"/>
      <c r="AB100" s="2468"/>
      <c r="AC100" s="2468"/>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03"/>
      <c r="O101" s="2503"/>
      <c r="P101" s="2494"/>
      <c r="Q101" s="2489"/>
      <c r="R101" s="2468"/>
      <c r="S101" s="2468"/>
      <c r="T101" s="2468"/>
      <c r="U101" s="2468"/>
      <c r="V101" s="2468"/>
      <c r="W101" s="2468"/>
      <c r="X101" s="2468"/>
      <c r="Y101" s="2468"/>
      <c r="Z101" s="2468"/>
      <c r="AA101" s="2468"/>
      <c r="AB101" s="2468"/>
      <c r="AC101" s="2468"/>
    </row>
    <row r="102" spans="1:29" ht="15.75" thickTop="1">
      <c r="A102" s="361"/>
      <c r="B102" s="463" t="s">
        <v>1731</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01"/>
      <c r="O102" s="2501"/>
      <c r="P102" s="2494"/>
      <c r="Q102" s="2489"/>
      <c r="R102" s="2468"/>
      <c r="S102" s="2468"/>
      <c r="T102" s="2468"/>
      <c r="U102" s="2468"/>
      <c r="V102" s="2468"/>
      <c r="W102" s="2468"/>
      <c r="X102" s="2468"/>
      <c r="Y102" s="2468"/>
      <c r="Z102" s="2468"/>
      <c r="AA102" s="2468"/>
      <c r="AB102" s="2468"/>
      <c r="AC102" s="2468"/>
    </row>
    <row r="103" spans="1:29" s="402" customFormat="1">
      <c r="A103" s="400"/>
      <c r="B103" s="517"/>
      <c r="C103" s="6"/>
      <c r="D103" s="6"/>
      <c r="E103" s="6"/>
      <c r="F103" s="6"/>
      <c r="G103" s="6"/>
      <c r="H103" s="6"/>
      <c r="I103" s="6"/>
      <c r="J103" s="518"/>
      <c r="K103" s="518"/>
      <c r="L103" s="519"/>
      <c r="M103" s="520"/>
      <c r="N103" s="2504"/>
      <c r="O103" s="2504"/>
      <c r="P103" s="2495"/>
      <c r="Q103" s="2496"/>
      <c r="R103" s="2474"/>
      <c r="S103" s="2474"/>
      <c r="T103" s="2474"/>
      <c r="U103" s="2474"/>
      <c r="V103" s="2474"/>
      <c r="W103" s="2474"/>
      <c r="X103" s="2474"/>
      <c r="Y103" s="2474"/>
      <c r="Z103" s="2474"/>
      <c r="AA103" s="2474"/>
      <c r="AB103" s="2474"/>
      <c r="AC103" s="2474"/>
    </row>
    <row r="104" spans="1:29" s="402" customFormat="1" ht="15.75" thickBot="1">
      <c r="A104" s="478"/>
      <c r="B104" s="468"/>
      <c r="C104" s="485"/>
      <c r="D104" s="461"/>
      <c r="E104" s="461"/>
      <c r="F104" s="461"/>
      <c r="G104" s="461"/>
      <c r="H104" s="461"/>
      <c r="I104" s="461"/>
      <c r="J104" s="461"/>
      <c r="K104" s="461"/>
      <c r="L104" s="461"/>
      <c r="M104" s="462"/>
      <c r="N104" s="2503"/>
      <c r="O104" s="2503"/>
      <c r="P104" s="2495"/>
      <c r="Q104" s="2496"/>
      <c r="R104" s="2474"/>
      <c r="S104" s="2474"/>
      <c r="T104" s="2474"/>
      <c r="U104" s="2474"/>
      <c r="V104" s="2474"/>
      <c r="W104" s="2474"/>
      <c r="X104" s="2474"/>
      <c r="Y104" s="2474"/>
      <c r="Z104" s="2474"/>
      <c r="AA104" s="2474"/>
      <c r="AB104" s="2474"/>
      <c r="AC104" s="2474"/>
    </row>
    <row r="105" spans="1:29" ht="15" thickTop="1">
      <c r="A105" s="403"/>
      <c r="B105" s="463" t="s">
        <v>1732</v>
      </c>
      <c r="C105" s="479"/>
      <c r="D105" s="479"/>
      <c r="E105" s="507"/>
      <c r="F105" s="507"/>
      <c r="G105" s="507"/>
      <c r="H105" s="507"/>
      <c r="I105" s="507"/>
      <c r="J105" s="507"/>
      <c r="K105" s="508"/>
      <c r="L105" s="509"/>
      <c r="M105" s="510"/>
      <c r="N105" s="2502"/>
      <c r="O105" s="2502"/>
      <c r="P105" s="2494"/>
      <c r="Q105" s="2489"/>
      <c r="R105" s="2468"/>
      <c r="S105" s="2468"/>
      <c r="T105" s="2468"/>
      <c r="U105" s="2468"/>
      <c r="V105" s="2468"/>
      <c r="W105" s="2468"/>
      <c r="X105" s="2468"/>
      <c r="Y105" s="2468"/>
      <c r="Z105" s="2468"/>
      <c r="AA105" s="2468"/>
      <c r="AB105" s="2468"/>
      <c r="AC105" s="2468"/>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03"/>
      <c r="O106" s="2503"/>
      <c r="P106" s="2494"/>
      <c r="Q106" s="2489"/>
      <c r="R106" s="2468"/>
      <c r="S106" s="2468"/>
      <c r="T106" s="2468"/>
      <c r="U106" s="2468"/>
      <c r="V106" s="2468"/>
      <c r="W106" s="2468"/>
      <c r="X106" s="2468"/>
      <c r="Y106" s="2468"/>
      <c r="Z106" s="2468"/>
      <c r="AA106" s="2468"/>
      <c r="AB106" s="2468"/>
      <c r="AC106" s="2468"/>
    </row>
    <row r="107" spans="1:29" ht="15" thickTop="1">
      <c r="A107" s="403"/>
      <c r="B107" s="463" t="s">
        <v>1734</v>
      </c>
      <c r="C107" s="479"/>
      <c r="D107" s="479"/>
      <c r="E107" s="479"/>
      <c r="F107" s="507"/>
      <c r="G107" s="507"/>
      <c r="H107" s="507"/>
      <c r="I107" s="507"/>
      <c r="J107" s="507"/>
      <c r="K107" s="508"/>
      <c r="L107" s="509"/>
      <c r="M107" s="510"/>
      <c r="N107" s="2502"/>
      <c r="O107" s="2502"/>
      <c r="P107" s="2494"/>
      <c r="Q107" s="2489"/>
      <c r="R107" s="2468"/>
      <c r="S107" s="2468"/>
      <c r="T107" s="2468"/>
      <c r="U107" s="2468"/>
      <c r="V107" s="2468"/>
      <c r="W107" s="2468"/>
      <c r="X107" s="2468"/>
      <c r="Y107" s="2468"/>
      <c r="Z107" s="2468"/>
      <c r="AA107" s="2468"/>
      <c r="AB107" s="2468"/>
      <c r="AC107" s="2468"/>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03"/>
      <c r="O108" s="2503"/>
      <c r="P108" s="2494"/>
      <c r="Q108" s="2489"/>
      <c r="R108" s="2468"/>
      <c r="S108" s="2468"/>
      <c r="T108" s="2468"/>
      <c r="U108" s="2468"/>
      <c r="V108" s="2468"/>
      <c r="W108" s="2468"/>
      <c r="X108" s="2468"/>
      <c r="Y108" s="2468"/>
      <c r="Z108" s="2468"/>
      <c r="AA108" s="2468"/>
      <c r="AB108" s="2468"/>
      <c r="AC108" s="2468"/>
    </row>
    <row r="109" spans="1:29" ht="15" thickTop="1">
      <c r="A109" s="403"/>
      <c r="B109" s="463" t="s">
        <v>1187</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02"/>
      <c r="O109" s="2502"/>
      <c r="P109" s="2494"/>
      <c r="Q109" s="2489"/>
      <c r="R109" s="2468"/>
      <c r="S109" s="2468"/>
      <c r="T109" s="2468"/>
      <c r="U109" s="2468"/>
      <c r="V109" s="2468"/>
      <c r="W109" s="2468"/>
      <c r="X109" s="2468"/>
      <c r="Y109" s="2468"/>
      <c r="Z109" s="2468"/>
      <c r="AA109" s="2468"/>
      <c r="AB109" s="2468"/>
      <c r="AC109" s="2468"/>
    </row>
    <row r="110" spans="1:29">
      <c r="A110" s="403"/>
      <c r="B110" s="471"/>
      <c r="C110" s="524">
        <v>0.5</v>
      </c>
      <c r="D110" s="524">
        <v>0.6</v>
      </c>
      <c r="E110" s="524">
        <v>0.7</v>
      </c>
      <c r="F110" s="524">
        <v>0.8</v>
      </c>
      <c r="G110" s="524">
        <v>0.9</v>
      </c>
      <c r="H110" s="524">
        <v>1.0001</v>
      </c>
      <c r="I110" s="542"/>
      <c r="J110" s="542"/>
      <c r="K110" s="543"/>
      <c r="L110" s="544"/>
      <c r="M110" s="545"/>
      <c r="N110" s="2502"/>
      <c r="O110" s="2502"/>
      <c r="P110" s="2494"/>
      <c r="Q110" s="2489"/>
      <c r="R110" s="2468"/>
      <c r="S110" s="2468"/>
      <c r="T110" s="2468"/>
      <c r="U110" s="2468"/>
      <c r="V110" s="2468"/>
      <c r="W110" s="2468"/>
      <c r="X110" s="2468"/>
      <c r="Y110" s="2468"/>
      <c r="Z110" s="2468"/>
      <c r="AA110" s="2468"/>
      <c r="AB110" s="2468"/>
      <c r="AC110" s="2468"/>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03"/>
      <c r="O111" s="2503"/>
      <c r="P111" s="2494"/>
      <c r="Q111" s="2489"/>
      <c r="R111" s="2468"/>
      <c r="S111" s="2468"/>
      <c r="T111" s="2468"/>
      <c r="U111" s="2468"/>
      <c r="V111" s="2468"/>
      <c r="W111" s="2468"/>
      <c r="X111" s="2468"/>
      <c r="Y111" s="2468"/>
      <c r="Z111" s="2468"/>
      <c r="AA111" s="2468"/>
      <c r="AB111" s="2468"/>
      <c r="AC111" s="2468"/>
    </row>
    <row r="112" spans="1:29" s="402" customFormat="1" ht="15" thickTop="1">
      <c r="A112" s="400"/>
      <c r="B112" s="463" t="s">
        <v>1736</v>
      </c>
      <c r="C112" s="479"/>
      <c r="D112" s="479"/>
      <c r="E112" s="479"/>
      <c r="F112" s="479"/>
      <c r="G112" s="479"/>
      <c r="H112" s="507"/>
      <c r="I112" s="507"/>
      <c r="J112" s="507"/>
      <c r="K112" s="508"/>
      <c r="L112" s="509"/>
      <c r="M112" s="510"/>
      <c r="N112" s="2504"/>
      <c r="O112" s="2504"/>
      <c r="P112" s="2495"/>
      <c r="Q112" s="2496"/>
      <c r="R112" s="2474"/>
      <c r="S112" s="2474"/>
      <c r="T112" s="2474"/>
      <c r="U112" s="2474"/>
      <c r="V112" s="2474"/>
      <c r="W112" s="2474"/>
      <c r="X112" s="2474"/>
      <c r="Y112" s="2474"/>
      <c r="Z112" s="2474"/>
      <c r="AA112" s="2474"/>
      <c r="AB112" s="2474"/>
      <c r="AC112" s="2474"/>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04"/>
      <c r="O113" s="2504"/>
      <c r="P113" s="2495"/>
      <c r="Q113" s="2496"/>
      <c r="R113" s="2474"/>
      <c r="S113" s="2474"/>
      <c r="T113" s="2474"/>
      <c r="U113" s="2474"/>
      <c r="V113" s="2474"/>
      <c r="W113" s="2474"/>
      <c r="X113" s="2474"/>
      <c r="Y113" s="2474"/>
      <c r="Z113" s="2474"/>
      <c r="AA113" s="2474"/>
      <c r="AB113" s="2474"/>
      <c r="AC113" s="2474"/>
    </row>
    <row r="114" spans="1:29" ht="15" thickTop="1">
      <c r="A114" s="403"/>
      <c r="B114" s="463" t="s">
        <v>1800</v>
      </c>
      <c r="C114" s="479"/>
      <c r="D114" s="479"/>
      <c r="E114" s="507"/>
      <c r="F114" s="507"/>
      <c r="G114" s="507"/>
      <c r="H114" s="507"/>
      <c r="I114" s="507"/>
      <c r="J114" s="507"/>
      <c r="K114" s="508"/>
      <c r="L114" s="509"/>
      <c r="M114" s="510"/>
      <c r="N114" s="2502"/>
      <c r="O114" s="2502"/>
      <c r="P114" s="2494"/>
      <c r="Q114" s="2489"/>
      <c r="R114" s="2468"/>
      <c r="S114" s="2468"/>
      <c r="T114" s="2468"/>
      <c r="U114" s="2468"/>
      <c r="V114" s="2468"/>
      <c r="W114" s="2468"/>
      <c r="X114" s="2468"/>
      <c r="Y114" s="2468"/>
      <c r="Z114" s="2468"/>
      <c r="AA114" s="2468"/>
      <c r="AB114" s="2468"/>
      <c r="AC114" s="2468"/>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3"/>
      <c r="O115" s="2503"/>
      <c r="P115" s="2494"/>
      <c r="Q115" s="2489"/>
      <c r="R115" s="2468"/>
      <c r="S115" s="2468"/>
      <c r="T115" s="2468"/>
      <c r="U115" s="2468"/>
      <c r="V115" s="2468"/>
      <c r="W115" s="2468"/>
      <c r="X115" s="2468"/>
      <c r="Y115" s="2468"/>
      <c r="Z115" s="2468"/>
      <c r="AA115" s="2468"/>
      <c r="AB115" s="2468"/>
      <c r="AC115" s="2468"/>
    </row>
    <row r="116" spans="1:29" ht="15" thickTop="1">
      <c r="A116" s="403"/>
      <c r="B116" s="463" t="s">
        <v>1801</v>
      </c>
      <c r="C116" s="479"/>
      <c r="D116" s="479"/>
      <c r="E116" s="479"/>
      <c r="F116" s="479"/>
      <c r="G116" s="479"/>
      <c r="H116" s="507"/>
      <c r="I116" s="507"/>
      <c r="J116" s="507"/>
      <c r="K116" s="508"/>
      <c r="L116" s="509"/>
      <c r="M116" s="510"/>
      <c r="N116" s="2502"/>
      <c r="O116" s="2502"/>
      <c r="P116" s="2494"/>
      <c r="Q116" s="2489"/>
      <c r="R116" s="2468"/>
      <c r="S116" s="2468"/>
      <c r="T116" s="2468"/>
      <c r="U116" s="2468"/>
      <c r="V116" s="2468"/>
      <c r="W116" s="2468"/>
      <c r="X116" s="2468"/>
      <c r="Y116" s="2468"/>
      <c r="Z116" s="2468"/>
      <c r="AA116" s="2468"/>
      <c r="AB116" s="2468"/>
      <c r="AC116" s="2468"/>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03"/>
      <c r="O117" s="2503"/>
      <c r="P117" s="2494"/>
      <c r="Q117" s="2489"/>
      <c r="R117" s="2468"/>
      <c r="S117" s="2468"/>
      <c r="T117" s="2468"/>
      <c r="U117" s="2468"/>
      <c r="V117" s="2468"/>
      <c r="W117" s="2468"/>
      <c r="X117" s="2468"/>
      <c r="Y117" s="2468"/>
      <c r="Z117" s="2468"/>
      <c r="AA117" s="2468"/>
      <c r="AB117" s="2468"/>
      <c r="AC117" s="2468"/>
    </row>
    <row r="118" spans="1:29" ht="15" thickTop="1">
      <c r="A118" s="403"/>
      <c r="B118" s="463" t="s">
        <v>1802</v>
      </c>
      <c r="C118" s="546"/>
      <c r="D118" s="546"/>
      <c r="E118" s="546"/>
      <c r="F118" s="546"/>
      <c r="G118" s="546"/>
      <c r="H118" s="480"/>
      <c r="I118" s="480"/>
      <c r="J118" s="480"/>
      <c r="K118" s="480"/>
      <c r="L118" s="481"/>
      <c r="M118" s="482"/>
      <c r="N118" s="2502"/>
      <c r="O118" s="2502"/>
      <c r="P118" s="2494"/>
      <c r="Q118" s="2489"/>
      <c r="R118" s="2468"/>
      <c r="S118" s="2468"/>
      <c r="T118" s="2468"/>
      <c r="U118" s="2468"/>
      <c r="V118" s="2468"/>
      <c r="W118" s="2468"/>
      <c r="X118" s="2468"/>
      <c r="Y118" s="2468"/>
      <c r="Z118" s="2468"/>
      <c r="AA118" s="2468"/>
      <c r="AB118" s="2468"/>
      <c r="AC118" s="2468"/>
    </row>
    <row r="119" spans="1:29" ht="15.75" thickBot="1">
      <c r="A119" s="361"/>
      <c r="B119" s="468"/>
      <c r="C119" s="485"/>
      <c r="D119" s="461"/>
      <c r="E119" s="461"/>
      <c r="F119" s="461"/>
      <c r="G119" s="461"/>
      <c r="H119" s="461"/>
      <c r="I119" s="461"/>
      <c r="J119" s="461"/>
      <c r="K119" s="461"/>
      <c r="L119" s="461"/>
      <c r="M119" s="462"/>
      <c r="N119" s="2503"/>
      <c r="O119" s="2503"/>
      <c r="P119" s="2494"/>
      <c r="Q119" s="2489"/>
      <c r="R119" s="2468"/>
      <c r="S119" s="2468"/>
      <c r="T119" s="2468"/>
      <c r="U119" s="2468"/>
      <c r="V119" s="2468"/>
      <c r="W119" s="2468"/>
      <c r="X119" s="2468"/>
      <c r="Y119" s="2468"/>
      <c r="Z119" s="2468"/>
      <c r="AA119" s="2468"/>
      <c r="AB119" s="2468"/>
      <c r="AC119" s="2468"/>
    </row>
    <row r="120" spans="1:29" s="402" customFormat="1" ht="15" thickTop="1">
      <c r="A120" s="400"/>
      <c r="B120" s="463" t="s">
        <v>1803</v>
      </c>
      <c r="C120" s="507"/>
      <c r="D120" s="507"/>
      <c r="E120" s="507"/>
      <c r="F120" s="507"/>
      <c r="G120" s="480"/>
      <c r="H120" s="480"/>
      <c r="I120" s="480"/>
      <c r="J120" s="480"/>
      <c r="K120" s="480"/>
      <c r="L120" s="481"/>
      <c r="M120" s="482"/>
      <c r="N120" s="2504"/>
      <c r="O120" s="2504"/>
      <c r="P120" s="2495"/>
      <c r="Q120" s="2496"/>
      <c r="R120" s="2474"/>
      <c r="S120" s="2474"/>
      <c r="T120" s="2474"/>
      <c r="U120" s="2474"/>
      <c r="V120" s="2474"/>
      <c r="W120" s="2474"/>
      <c r="X120" s="2474"/>
      <c r="Y120" s="2474"/>
      <c r="Z120" s="2474"/>
      <c r="AA120" s="2474"/>
      <c r="AB120" s="2474"/>
      <c r="AC120" s="2474"/>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04"/>
      <c r="O121" s="2504"/>
      <c r="P121" s="2495"/>
      <c r="Q121" s="2496"/>
      <c r="R121" s="2474"/>
      <c r="S121" s="2474"/>
      <c r="T121" s="2474"/>
      <c r="U121" s="2474"/>
      <c r="V121" s="2474"/>
      <c r="W121" s="2474"/>
      <c r="X121" s="2474"/>
      <c r="Y121" s="2474"/>
      <c r="Z121" s="2474"/>
      <c r="AA121" s="2474"/>
      <c r="AB121" s="2474"/>
      <c r="AC121" s="2474"/>
    </row>
    <row r="122" spans="1:29" ht="15" thickTop="1">
      <c r="A122" s="403"/>
      <c r="B122" s="463" t="s">
        <v>1738</v>
      </c>
      <c r="C122" s="479"/>
      <c r="D122" s="479"/>
      <c r="E122" s="479"/>
      <c r="F122" s="507"/>
      <c r="G122" s="507"/>
      <c r="H122" s="507"/>
      <c r="I122" s="507"/>
      <c r="J122" s="507"/>
      <c r="K122" s="508"/>
      <c r="L122" s="509"/>
      <c r="M122" s="510"/>
      <c r="N122" s="2502"/>
      <c r="O122" s="2502"/>
      <c r="P122" s="2494"/>
      <c r="Q122" s="2489"/>
      <c r="R122" s="2468"/>
      <c r="S122" s="2468"/>
      <c r="T122" s="2468"/>
      <c r="U122" s="2468"/>
      <c r="V122" s="2468"/>
      <c r="W122" s="2468"/>
      <c r="X122" s="2468"/>
      <c r="Y122" s="2468"/>
      <c r="Z122" s="2468"/>
      <c r="AA122" s="2468"/>
      <c r="AB122" s="2468"/>
      <c r="AC122" s="2468"/>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03"/>
      <c r="O123" s="2503"/>
      <c r="P123" s="2494"/>
      <c r="Q123" s="2489"/>
      <c r="R123" s="2468"/>
      <c r="S123" s="2468"/>
      <c r="T123" s="2468"/>
      <c r="U123" s="2468"/>
      <c r="V123" s="2468"/>
      <c r="W123" s="2468"/>
      <c r="X123" s="2468"/>
      <c r="Y123" s="2468"/>
      <c r="Z123" s="2468"/>
      <c r="AA123" s="2468"/>
      <c r="AB123" s="2468"/>
      <c r="AC123" s="2468"/>
    </row>
    <row r="124" spans="1:29" ht="15" thickTop="1">
      <c r="A124" s="403"/>
      <c r="B124" s="463" t="s">
        <v>1739</v>
      </c>
      <c r="C124" s="503" t="s">
        <v>1715</v>
      </c>
      <c r="D124" s="503" t="s">
        <v>1716</v>
      </c>
      <c r="E124" s="503" t="s">
        <v>1717</v>
      </c>
      <c r="F124" s="503" t="s">
        <v>1718</v>
      </c>
      <c r="G124" s="503" t="s">
        <v>1719</v>
      </c>
      <c r="H124" s="464"/>
      <c r="I124" s="464"/>
      <c r="J124" s="464"/>
      <c r="K124" s="465"/>
      <c r="L124" s="466"/>
      <c r="M124" s="467"/>
      <c r="N124" s="2502"/>
      <c r="O124" s="2502"/>
      <c r="P124" s="2495"/>
      <c r="Q124" s="2489"/>
      <c r="R124" s="2468"/>
      <c r="S124" s="2468"/>
      <c r="T124" s="2468"/>
      <c r="U124" s="2468"/>
      <c r="V124" s="2468"/>
      <c r="W124" s="2468"/>
      <c r="X124" s="2468"/>
      <c r="Y124" s="2468"/>
      <c r="Z124" s="2468"/>
      <c r="AA124" s="2468"/>
      <c r="AB124" s="2468"/>
      <c r="AC124" s="2468"/>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03"/>
      <c r="O125" s="2503"/>
      <c r="P125" s="2494"/>
      <c r="Q125" s="2489"/>
      <c r="R125" s="2468"/>
      <c r="S125" s="2468"/>
      <c r="T125" s="2468"/>
      <c r="U125" s="2468"/>
      <c r="V125" s="2468"/>
      <c r="W125" s="2468"/>
      <c r="X125" s="2468"/>
      <c r="Y125" s="2468"/>
      <c r="Z125" s="2468"/>
      <c r="AA125" s="2468"/>
      <c r="AB125" s="2468"/>
      <c r="AC125" s="2468"/>
    </row>
    <row r="126" spans="1:29" s="402" customFormat="1" ht="15" thickTop="1">
      <c r="A126" s="400"/>
      <c r="B126" s="463">
        <f>B44</f>
        <v>111</v>
      </c>
      <c r="C126" s="479"/>
      <c r="D126" s="479"/>
      <c r="E126" s="479"/>
      <c r="F126" s="479"/>
      <c r="G126" s="479"/>
      <c r="H126" s="480"/>
      <c r="I126" s="480"/>
      <c r="J126" s="480"/>
      <c r="K126" s="480"/>
      <c r="L126" s="481"/>
      <c r="M126" s="482"/>
      <c r="N126" s="2504"/>
      <c r="O126" s="2504"/>
      <c r="P126" s="2495"/>
      <c r="Q126" s="2496"/>
      <c r="R126" s="2474"/>
      <c r="S126" s="2474"/>
      <c r="T126" s="2474"/>
      <c r="U126" s="2474"/>
      <c r="V126" s="2474"/>
      <c r="W126" s="2474"/>
      <c r="X126" s="2474"/>
      <c r="Y126" s="2474"/>
      <c r="Z126" s="2474"/>
      <c r="AA126" s="2474"/>
      <c r="AB126" s="2474"/>
      <c r="AC126" s="2474"/>
    </row>
    <row r="127" spans="1:29" s="402" customFormat="1" ht="15.75" thickBot="1">
      <c r="A127" s="478"/>
      <c r="B127" s="468"/>
      <c r="C127" s="485"/>
      <c r="D127" s="461"/>
      <c r="E127" s="461"/>
      <c r="F127" s="461"/>
      <c r="G127" s="485"/>
      <c r="H127" s="487"/>
      <c r="I127" s="487"/>
      <c r="J127" s="487"/>
      <c r="K127" s="487"/>
      <c r="L127" s="487"/>
      <c r="M127" s="488"/>
      <c r="N127" s="2504"/>
      <c r="O127" s="2504"/>
      <c r="P127" s="2495"/>
      <c r="Q127" s="2496"/>
      <c r="R127" s="2474"/>
      <c r="S127" s="2474"/>
      <c r="T127" s="2474"/>
      <c r="U127" s="2474"/>
      <c r="V127" s="2474"/>
      <c r="W127" s="2474"/>
      <c r="X127" s="2474"/>
      <c r="Y127" s="2474"/>
      <c r="Z127" s="2474"/>
      <c r="AA127" s="2474"/>
      <c r="AB127" s="2474"/>
      <c r="AC127" s="2474"/>
    </row>
    <row r="128" spans="1:29" ht="15" thickTop="1">
      <c r="A128" s="403"/>
      <c r="B128" s="463">
        <f>B45</f>
        <v>111</v>
      </c>
      <c r="C128" s="479"/>
      <c r="D128" s="479"/>
      <c r="E128" s="479"/>
      <c r="F128" s="479"/>
      <c r="G128" s="507"/>
      <c r="H128" s="507"/>
      <c r="I128" s="507"/>
      <c r="J128" s="507"/>
      <c r="K128" s="508"/>
      <c r="L128" s="509"/>
      <c r="M128" s="510"/>
      <c r="N128" s="2502"/>
      <c r="O128" s="2502"/>
      <c r="P128" s="2494"/>
      <c r="Q128" s="2489"/>
      <c r="R128" s="2468"/>
      <c r="S128" s="2468"/>
      <c r="T128" s="2468"/>
      <c r="U128" s="2468"/>
      <c r="V128" s="2468"/>
      <c r="W128" s="2468"/>
      <c r="X128" s="2468"/>
      <c r="Y128" s="2468"/>
      <c r="Z128" s="2468"/>
      <c r="AA128" s="2468"/>
      <c r="AB128" s="2468"/>
      <c r="AC128" s="2468"/>
    </row>
    <row r="129" spans="1:29" ht="15.75" thickBot="1">
      <c r="A129" s="361"/>
      <c r="B129" s="468"/>
      <c r="C129" s="485"/>
      <c r="D129" s="461"/>
      <c r="E129" s="461"/>
      <c r="F129" s="461"/>
      <c r="G129" s="461"/>
      <c r="H129" s="461"/>
      <c r="I129" s="461"/>
      <c r="J129" s="461"/>
      <c r="K129" s="461"/>
      <c r="L129" s="461"/>
      <c r="M129" s="462"/>
      <c r="N129" s="2503"/>
      <c r="O129" s="2503"/>
      <c r="P129" s="2494"/>
      <c r="Q129" s="2489"/>
      <c r="R129" s="2468"/>
      <c r="S129" s="2468"/>
      <c r="T129" s="2468"/>
      <c r="U129" s="2468"/>
      <c r="V129" s="2468"/>
      <c r="W129" s="2468"/>
      <c r="X129" s="2468"/>
      <c r="Y129" s="2468"/>
      <c r="Z129" s="2468"/>
      <c r="AA129" s="2468"/>
      <c r="AB129" s="2468"/>
      <c r="AC129" s="2468"/>
    </row>
    <row r="130" spans="1:29" ht="15" thickTop="1">
      <c r="A130" s="403"/>
      <c r="B130" s="471">
        <f>B46</f>
        <v>111</v>
      </c>
      <c r="C130" s="479"/>
      <c r="D130" s="479"/>
      <c r="E130" s="479"/>
      <c r="F130" s="479"/>
      <c r="G130" s="511"/>
      <c r="H130" s="511"/>
      <c r="I130" s="511"/>
      <c r="J130" s="511"/>
      <c r="K130" s="31"/>
      <c r="L130" s="451"/>
      <c r="M130" s="514"/>
      <c r="N130" s="2502"/>
      <c r="O130" s="2502"/>
      <c r="P130" s="2494"/>
      <c r="Q130" s="2489"/>
      <c r="R130" s="2468"/>
      <c r="S130" s="2468"/>
      <c r="T130" s="2468"/>
      <c r="U130" s="2468"/>
      <c r="V130" s="2468"/>
      <c r="W130" s="2468"/>
      <c r="X130" s="2468"/>
      <c r="Y130" s="2468"/>
      <c r="Z130" s="2468"/>
      <c r="AA130" s="2468"/>
      <c r="AB130" s="2468"/>
      <c r="AC130" s="2468"/>
    </row>
    <row r="131" spans="1:29" ht="15.75" thickBot="1">
      <c r="A131" s="369"/>
      <c r="B131" s="494"/>
      <c r="C131" s="495"/>
      <c r="D131" s="495"/>
      <c r="E131" s="495"/>
      <c r="F131" s="495"/>
      <c r="G131" s="515"/>
      <c r="H131" s="515"/>
      <c r="I131" s="515"/>
      <c r="J131" s="515"/>
      <c r="K131" s="515"/>
      <c r="L131" s="515"/>
      <c r="M131" s="516"/>
      <c r="N131" s="2503"/>
      <c r="O131" s="2503"/>
      <c r="P131" s="2494"/>
      <c r="Q131" s="2489"/>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1654</v>
      </c>
      <c r="B1" s="1800" t="s">
        <v>1804</v>
      </c>
      <c r="C1" s="1134" t="s">
        <v>1656</v>
      </c>
      <c r="D1" s="1135"/>
      <c r="E1" s="3112"/>
      <c r="F1" s="1727"/>
      <c r="G1" s="1145" t="s">
        <v>1761</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6" customFormat="1" ht="28.5" customHeight="1" thickTop="1">
      <c r="A2" s="1131" t="s">
        <v>1456</v>
      </c>
      <c r="B2" s="1078" t="b">
        <f>IF(E1="项目模式",IF(C2="——",ROUND(C50*D3/10000,0),ROUND(C50*D3/10000,0)-D2),IF(E1="单套模式",IF(C2="——",ROUND(C50*D3/10000,4),ROUND(C50*D3/10000,4)-D2)))</f>
        <v>0</v>
      </c>
      <c r="C2" s="1729"/>
      <c r="D2" s="1045" t="e">
        <f ca="1">IF(E1="项目模式",SUMIF(INDIRECT("'"&amp;F2&amp;"'"&amp;"!A:A"),"承租人权益价值",INDIRECT("'"&amp;F2&amp;"'"&amp;"!c:c")),SUMIF(INDIRECT("'"&amp;F2&amp;"'"&amp;"!A:A"),"承租人权益价值（单套）",INDIRECT("'"&amp;F2&amp;"'"&amp;"!c:c")))</f>
        <v>#REF!</v>
      </c>
      <c r="E2" s="1730" t="s">
        <v>1457</v>
      </c>
      <c r="F2" s="1731"/>
      <c r="G2" s="848"/>
      <c r="H2" s="848"/>
      <c r="I2" s="848"/>
      <c r="J2" s="848"/>
      <c r="K2" s="848"/>
      <c r="L2" s="2484"/>
      <c r="M2" s="2485"/>
      <c r="N2" s="2485"/>
      <c r="O2" s="2485"/>
      <c r="P2" s="335"/>
      <c r="Q2" s="335"/>
      <c r="R2" s="335"/>
      <c r="S2" s="335"/>
      <c r="T2" s="335"/>
      <c r="U2" s="335"/>
      <c r="V2" s="335"/>
      <c r="W2" s="335"/>
      <c r="X2" s="335"/>
      <c r="Y2" s="335"/>
      <c r="Z2" s="335"/>
      <c r="AA2" s="335"/>
      <c r="AB2" s="335"/>
      <c r="AC2" s="655"/>
    </row>
    <row r="3" spans="1:29" s="336" customFormat="1" ht="28.5" customHeight="1" thickBot="1">
      <c r="A3" s="189" t="s">
        <v>1458</v>
      </c>
      <c r="B3" s="530">
        <f>IF(C2="——",C50,ROUND(B2*10000/D3,0))</f>
        <v>0</v>
      </c>
      <c r="C3" s="338" t="s">
        <v>1762</v>
      </c>
      <c r="D3" s="337">
        <f>IF(D1="",'数据-汇总表'!E3,SUMIF('数据-汇总表'!$C19:$C33,D1,'数据-汇总表'!$E19:$E33))</f>
        <v>5979.5300000000007</v>
      </c>
      <c r="E3" s="1797"/>
      <c r="F3" s="849"/>
      <c r="G3" s="848"/>
      <c r="H3" s="848"/>
      <c r="I3" s="848"/>
      <c r="J3" s="848"/>
      <c r="K3" s="850"/>
      <c r="L3" s="2484"/>
      <c r="M3" s="2485"/>
      <c r="N3" s="2485"/>
      <c r="O3" s="2485"/>
      <c r="P3" s="335"/>
      <c r="Q3" s="335"/>
      <c r="R3" s="335"/>
      <c r="S3" s="335"/>
      <c r="T3" s="335"/>
      <c r="U3" s="335"/>
      <c r="V3" s="335"/>
      <c r="W3" s="335"/>
      <c r="X3" s="335"/>
      <c r="Y3" s="335"/>
      <c r="Z3" s="335"/>
      <c r="AA3" s="335"/>
      <c r="AB3" s="335"/>
      <c r="AC3" s="655"/>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63" t="s">
        <v>1769</v>
      </c>
      <c r="Q4" s="3564"/>
      <c r="R4" s="3567" t="s">
        <v>1765</v>
      </c>
      <c r="S4" s="3568"/>
      <c r="T4" s="3567" t="s">
        <v>1766</v>
      </c>
      <c r="U4" s="3568"/>
      <c r="V4" s="3569" t="s">
        <v>1767</v>
      </c>
      <c r="W4" s="3569"/>
      <c r="X4" s="1801"/>
      <c r="Y4" s="3567" t="s">
        <v>1769</v>
      </c>
      <c r="Z4" s="3568"/>
      <c r="AA4" s="3571" t="s">
        <v>1765</v>
      </c>
      <c r="AB4" s="3571" t="s">
        <v>1766</v>
      </c>
      <c r="AC4" s="3560" t="s">
        <v>1767</v>
      </c>
    </row>
    <row r="5" spans="1:29" ht="15">
      <c r="A5" s="342"/>
      <c r="B5" s="343"/>
      <c r="C5" s="3548" t="s">
        <v>1667</v>
      </c>
      <c r="D5" s="3549"/>
      <c r="E5" s="3555" t="s">
        <v>1668</v>
      </c>
      <c r="F5" s="3556"/>
      <c r="G5" s="3548" t="s">
        <v>1669</v>
      </c>
      <c r="H5" s="3549"/>
      <c r="I5" s="3548" t="s">
        <v>1670</v>
      </c>
      <c r="J5" s="3549"/>
      <c r="K5" s="531"/>
      <c r="L5" s="2467"/>
      <c r="M5" s="2468"/>
      <c r="N5" s="2468"/>
      <c r="O5" s="2468"/>
      <c r="P5" s="3565"/>
      <c r="Q5" s="3537"/>
      <c r="R5" s="3542"/>
      <c r="S5" s="3543"/>
      <c r="T5" s="3542"/>
      <c r="U5" s="3543"/>
      <c r="V5" s="3516"/>
      <c r="W5" s="3516"/>
      <c r="X5" s="1257"/>
      <c r="Y5" s="3542"/>
      <c r="Z5" s="3543"/>
      <c r="AA5" s="3528"/>
      <c r="AB5" s="3528"/>
      <c r="AC5" s="3561"/>
    </row>
    <row r="6" spans="1:29" ht="15.75" thickBot="1">
      <c r="A6" s="344"/>
      <c r="B6" s="345"/>
      <c r="C6" s="3546" t="s">
        <v>1671</v>
      </c>
      <c r="D6" s="3547"/>
      <c r="E6" s="3553" t="s">
        <v>1671</v>
      </c>
      <c r="F6" s="3554"/>
      <c r="G6" s="3546" t="s">
        <v>1671</v>
      </c>
      <c r="H6" s="3547"/>
      <c r="I6" s="3546" t="s">
        <v>1671</v>
      </c>
      <c r="J6" s="3547"/>
      <c r="K6" s="531" t="s">
        <v>1672</v>
      </c>
      <c r="L6" s="2467"/>
      <c r="M6" s="2468"/>
      <c r="N6" s="2468"/>
      <c r="O6" s="2468"/>
      <c r="P6" s="3566"/>
      <c r="Q6" s="3539"/>
      <c r="R6" s="3542"/>
      <c r="S6" s="3543"/>
      <c r="T6" s="3544"/>
      <c r="U6" s="3545"/>
      <c r="V6" s="3516"/>
      <c r="W6" s="3516"/>
      <c r="X6" s="1257"/>
      <c r="Y6" s="3544"/>
      <c r="Z6" s="3545"/>
      <c r="AA6" s="3529"/>
      <c r="AB6" s="3529"/>
      <c r="AC6" s="3562"/>
    </row>
    <row r="7" spans="1:29" s="101" customFormat="1" ht="15.75" thickBot="1">
      <c r="A7" s="346" t="s">
        <v>1673</v>
      </c>
      <c r="B7" s="347"/>
      <c r="C7" s="348">
        <f>'数据-取费表'!B2</f>
        <v>45418</v>
      </c>
      <c r="D7" s="349">
        <v>100</v>
      </c>
      <c r="E7" s="350"/>
      <c r="F7" s="351">
        <f>SUMIF(59:59,YEAR(E7)&amp;"-"&amp;MONTH(E7),60:60)</f>
        <v>0</v>
      </c>
      <c r="G7" s="350"/>
      <c r="H7" s="349">
        <f>SUMIF(59:59,YEAR(G7)&amp;"-"&amp;MONTH(G7),60:60)</f>
        <v>0</v>
      </c>
      <c r="I7" s="350"/>
      <c r="J7" s="349">
        <f>SUMIF(59:59,YEAR(I7)&amp;"-"&amp;MONTH(I7),60:60)</f>
        <v>0</v>
      </c>
      <c r="K7" s="38"/>
      <c r="L7" s="2469"/>
      <c r="M7" s="2423"/>
      <c r="N7" s="2423"/>
      <c r="O7" s="2423"/>
      <c r="P7" s="3570" t="s">
        <v>1674</v>
      </c>
      <c r="Q7" s="3552"/>
      <c r="R7" s="656" t="s">
        <v>14</v>
      </c>
      <c r="S7" s="657">
        <f t="shared" ref="S7:S15" si="0">F7</f>
        <v>0</v>
      </c>
      <c r="T7" s="656" t="s">
        <v>14</v>
      </c>
      <c r="U7" s="657">
        <f t="shared" ref="U7:U15" si="1">H7</f>
        <v>0</v>
      </c>
      <c r="V7" s="656" t="s">
        <v>14</v>
      </c>
      <c r="W7" s="657">
        <f t="shared" ref="W7:W15" si="2">J7</f>
        <v>0</v>
      </c>
      <c r="X7" s="658"/>
      <c r="Y7" s="3550" t="s">
        <v>1674</v>
      </c>
      <c r="Z7" s="3551"/>
      <c r="AA7" s="50" t="e">
        <f>D7/F7</f>
        <v>#DIV/0!</v>
      </c>
      <c r="AB7" s="50" t="e">
        <f>D7/H7</f>
        <v>#DIV/0!</v>
      </c>
      <c r="AC7" s="795" t="e">
        <f>D7/J7</f>
        <v>#DIV/0!</v>
      </c>
    </row>
    <row r="8" spans="1:29" s="101" customFormat="1" ht="15.75" thickBot="1">
      <c r="A8" s="346" t="s">
        <v>1675</v>
      </c>
      <c r="B8" s="347"/>
      <c r="C8" s="352"/>
      <c r="D8" s="349">
        <v>100</v>
      </c>
      <c r="E8" s="352"/>
      <c r="F8" s="351">
        <f>SUMIF(62:62,E8,63:63)-SUMIF(62:62,C8,63:63)+100</f>
        <v>100</v>
      </c>
      <c r="G8" s="352"/>
      <c r="H8" s="349">
        <f>SUMIF(62:62,G8,63:63)-SUMIF(62:62,C8,63:63)+100</f>
        <v>100</v>
      </c>
      <c r="I8" s="352"/>
      <c r="J8" s="349">
        <f>SUMIF(62:62,I8,63:63)-SUMIF(62:62,C8,63:63)+100</f>
        <v>100</v>
      </c>
      <c r="K8" s="38"/>
      <c r="L8" s="2469"/>
      <c r="M8" s="2423"/>
      <c r="N8" s="2423"/>
      <c r="O8" s="2423"/>
      <c r="P8" s="3570" t="s">
        <v>1677</v>
      </c>
      <c r="Q8" s="3551"/>
      <c r="R8" s="656" t="s">
        <v>14</v>
      </c>
      <c r="S8" s="657">
        <f t="shared" si="0"/>
        <v>100</v>
      </c>
      <c r="T8" s="656" t="s">
        <v>14</v>
      </c>
      <c r="U8" s="657">
        <f t="shared" si="1"/>
        <v>100</v>
      </c>
      <c r="V8" s="656" t="s">
        <v>14</v>
      </c>
      <c r="W8" s="657">
        <f t="shared" si="2"/>
        <v>100</v>
      </c>
      <c r="X8" s="658"/>
      <c r="Y8" s="3550" t="s">
        <v>1677</v>
      </c>
      <c r="Z8" s="3551"/>
      <c r="AA8" s="50">
        <f t="shared" ref="AA8:AA47" si="3">D8/F8</f>
        <v>1</v>
      </c>
      <c r="AB8" s="50">
        <f t="shared" ref="AB8:AB47" si="4">D8/H8</f>
        <v>1</v>
      </c>
      <c r="AC8" s="795">
        <f t="shared" ref="AC8:AC47" si="5">D8/J8</f>
        <v>1</v>
      </c>
    </row>
    <row r="9" spans="1:29" s="101" customFormat="1">
      <c r="A9" s="353" t="s">
        <v>1678</v>
      </c>
      <c r="B9" s="60" t="s">
        <v>1679</v>
      </c>
      <c r="C9" s="354"/>
      <c r="D9" s="59">
        <v>100</v>
      </c>
      <c r="E9" s="356"/>
      <c r="F9" s="59">
        <f>SUMIF(64:64,E9,65:65)-SUMIF(64:64,C9,65:65)+100</f>
        <v>100</v>
      </c>
      <c r="G9" s="355"/>
      <c r="H9" s="59">
        <f>SUMIF(64:64,G9,65:65)-SUMIF(64:64,C9,65:65)+100</f>
        <v>100</v>
      </c>
      <c r="I9" s="355"/>
      <c r="J9" s="59">
        <f>SUMIF(64:64,I9,65:65)-SUMIF(64:64,C9,65:65)+100</f>
        <v>100</v>
      </c>
      <c r="K9" s="38"/>
      <c r="L9" s="2469"/>
      <c r="M9" s="2423"/>
      <c r="N9" s="2423"/>
      <c r="O9" s="2423"/>
      <c r="P9" s="3526"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795">
        <f t="shared" si="5"/>
        <v>1</v>
      </c>
    </row>
    <row r="10" spans="1:29" s="360" customFormat="1" ht="27">
      <c r="A10" s="357"/>
      <c r="B10" s="358" t="s">
        <v>1682</v>
      </c>
      <c r="C10" s="3113"/>
      <c r="D10" s="113">
        <v>100</v>
      </c>
      <c r="E10" s="3113"/>
      <c r="F10" s="113">
        <f>SUMIF(66:66,E10,67:67)-SUMIF(66:66,C10,67:67)+100</f>
        <v>100</v>
      </c>
      <c r="G10" s="3114"/>
      <c r="H10" s="113">
        <f>SUMIF(66:66,G10,67:67)-SUMIF(66:66,C10,67:67)+100</f>
        <v>100</v>
      </c>
      <c r="I10" s="3113"/>
      <c r="J10" s="113">
        <f>SUMIF(66:66,I10,67:67)-SUMIF(66:66,C10,67:67)+100</f>
        <v>100</v>
      </c>
      <c r="K10" s="38"/>
      <c r="L10" s="2470"/>
      <c r="M10" s="2471"/>
      <c r="N10" s="2471"/>
      <c r="O10" s="2471"/>
      <c r="P10" s="3526"/>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795">
        <f t="shared" si="5"/>
        <v>1</v>
      </c>
    </row>
    <row r="11" spans="1:29" ht="15">
      <c r="A11" s="361"/>
      <c r="B11" s="358" t="s">
        <v>1683</v>
      </c>
      <c r="C11" s="362"/>
      <c r="D11" s="113">
        <v>100</v>
      </c>
      <c r="E11" s="362"/>
      <c r="F11" s="113">
        <f>LOOKUP(E11,69:69,70:70)-LOOKUP(C11,69:69,70:70)+100</f>
        <v>100</v>
      </c>
      <c r="G11" s="363"/>
      <c r="H11" s="113">
        <f>LOOKUP(G11,69:69,70:70)-LOOKUP(C11,69:69,70:70)+100</f>
        <v>100</v>
      </c>
      <c r="I11" s="362"/>
      <c r="J11" s="113">
        <f>LOOKUP(I11,69:69,70:70)-LOOKUP(C11,69:69,70:70)+100</f>
        <v>100</v>
      </c>
      <c r="K11" s="532"/>
      <c r="L11" s="2472"/>
      <c r="M11" s="2468"/>
      <c r="N11" s="2468"/>
      <c r="O11" s="2468"/>
      <c r="P11" s="3526"/>
      <c r="Q11" s="524" t="str">
        <f t="shared" si="6"/>
        <v>容积率</v>
      </c>
      <c r="R11" s="656" t="s">
        <v>14</v>
      </c>
      <c r="S11" s="657">
        <f t="shared" si="0"/>
        <v>100</v>
      </c>
      <c r="T11" s="656" t="s">
        <v>14</v>
      </c>
      <c r="U11" s="657">
        <f t="shared" si="1"/>
        <v>100</v>
      </c>
      <c r="V11" s="656" t="s">
        <v>14</v>
      </c>
      <c r="W11" s="657">
        <f t="shared" si="2"/>
        <v>100</v>
      </c>
      <c r="X11" s="658"/>
      <c r="Y11" s="3367"/>
      <c r="Z11" s="50" t="str">
        <f t="shared" si="7"/>
        <v>容积率</v>
      </c>
      <c r="AA11" s="50">
        <f t="shared" si="3"/>
        <v>1</v>
      </c>
      <c r="AB11" s="50">
        <f t="shared" si="4"/>
        <v>1</v>
      </c>
      <c r="AC11" s="795">
        <f t="shared" si="5"/>
        <v>1</v>
      </c>
    </row>
    <row r="12" spans="1:29" s="101" customFormat="1" ht="15">
      <c r="A12" s="364"/>
      <c r="B12" s="441">
        <v>111</v>
      </c>
      <c r="C12" s="365"/>
      <c r="D12" s="366">
        <v>100</v>
      </c>
      <c r="E12" s="365"/>
      <c r="F12" s="113">
        <f>SUMIF(71:71,E12,72:72)-SUMIF(71:71,C12,72:72)+100</f>
        <v>100</v>
      </c>
      <c r="G12" s="1802"/>
      <c r="H12" s="113">
        <f>SUMIF(71:71,G12,72:72)-SUMIF(71:71,C12,72:72)+100</f>
        <v>100</v>
      </c>
      <c r="I12" s="365"/>
      <c r="J12" s="113">
        <f>SUMIF(71:71,I12,72:72)-SUMIF(71:71,C12,72:72)+100</f>
        <v>100</v>
      </c>
      <c r="K12" s="533"/>
      <c r="L12" s="2469"/>
      <c r="M12" s="2423"/>
      <c r="N12" s="2423"/>
      <c r="O12" s="2423"/>
      <c r="P12" s="3526"/>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2"/>
      <c r="H13" s="368">
        <f>SUMIF(73:73,G13,74:74)-SUMIF(73:73,C13,74:74)+100</f>
        <v>100</v>
      </c>
      <c r="I13" s="365"/>
      <c r="J13" s="368">
        <f>SUMIF(73:73,I13,74:74)-SUMIF(73:73,C13,74:74)+100</f>
        <v>100</v>
      </c>
      <c r="K13" s="533"/>
      <c r="L13" s="2473"/>
      <c r="M13" s="2468"/>
      <c r="N13" s="2468"/>
      <c r="O13" s="2468"/>
      <c r="P13" s="3526"/>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795">
        <f t="shared" si="5"/>
        <v>1</v>
      </c>
    </row>
    <row r="14" spans="1:29" ht="15.75" thickBot="1">
      <c r="A14" s="369"/>
      <c r="B14" s="1741">
        <v>111</v>
      </c>
      <c r="C14" s="370"/>
      <c r="D14" s="371">
        <v>100</v>
      </c>
      <c r="E14" s="547"/>
      <c r="F14" s="371">
        <f>SUMIF(75:75,E14,76:76)-SUMIF(75:75,C14,76:76)+100</f>
        <v>100</v>
      </c>
      <c r="G14" s="1802"/>
      <c r="H14" s="371">
        <f>SUMIF(75:75,G14,76:76)-SUMIF(75:75,C14,76:76)+100</f>
        <v>100</v>
      </c>
      <c r="I14" s="365"/>
      <c r="J14" s="371">
        <f>SUMIF(75:75,I14,76:76)-SUMIF(75:75,C14,76:76)+100</f>
        <v>100</v>
      </c>
      <c r="K14" s="533"/>
      <c r="L14" s="2473"/>
      <c r="M14" s="2468"/>
      <c r="N14" s="2468"/>
      <c r="O14" s="2468"/>
      <c r="P14" s="3526"/>
      <c r="Q14" s="524">
        <f t="shared" si="6"/>
        <v>111</v>
      </c>
      <c r="R14" s="656" t="s">
        <v>14</v>
      </c>
      <c r="S14" s="657">
        <f t="shared" si="0"/>
        <v>100</v>
      </c>
      <c r="T14" s="656" t="s">
        <v>14</v>
      </c>
      <c r="U14" s="657">
        <f t="shared" si="1"/>
        <v>100</v>
      </c>
      <c r="V14" s="656" t="s">
        <v>14</v>
      </c>
      <c r="W14" s="657">
        <f t="shared" si="2"/>
        <v>100</v>
      </c>
      <c r="X14" s="658"/>
      <c r="Y14" s="3367"/>
      <c r="Z14" s="50">
        <f t="shared" si="7"/>
        <v>111</v>
      </c>
      <c r="AA14" s="50">
        <f t="shared" si="3"/>
        <v>1</v>
      </c>
      <c r="AB14" s="50">
        <f t="shared" si="4"/>
        <v>1</v>
      </c>
      <c r="AC14" s="795">
        <f t="shared" si="5"/>
        <v>1</v>
      </c>
    </row>
    <row r="15" spans="1:29" ht="71.25">
      <c r="A15" s="373" t="s">
        <v>1684</v>
      </c>
      <c r="B15" s="548" t="s">
        <v>1805</v>
      </c>
      <c r="C15" s="1803" t="str">
        <f>估价对象房地状况!C5</f>
        <v>估价对象位于XX商圈，周边办公楼项目较多，入驻率高，办公集聚程度较好</v>
      </c>
      <c r="D15" s="374">
        <v>100</v>
      </c>
      <c r="E15" s="377"/>
      <c r="F15" s="374">
        <f>SUMIF(77:77,E16,78:78)-SUMIF(77:77,C16,78:78)+100</f>
        <v>100</v>
      </c>
      <c r="G15" s="375"/>
      <c r="H15" s="374">
        <f>SUMIF(77:77,G16,78:78)-SUMIF(77:77,C16,78:78)+100</f>
        <v>100</v>
      </c>
      <c r="I15" s="375"/>
      <c r="J15" s="374">
        <f>SUMIF(77:77,I16,78:78)-SUMIF(77:77,C16,78:78)+100</f>
        <v>100</v>
      </c>
      <c r="K15" s="534"/>
      <c r="L15" s="2473"/>
      <c r="M15" s="2468"/>
      <c r="N15" s="2468"/>
      <c r="O15" s="2468"/>
      <c r="P15" s="3524" t="s">
        <v>1685</v>
      </c>
      <c r="Q15" s="1255" t="str">
        <f t="shared" si="6"/>
        <v>办公集聚程度</v>
      </c>
      <c r="R15" s="659" t="s">
        <v>14</v>
      </c>
      <c r="S15" s="660">
        <f t="shared" si="0"/>
        <v>100</v>
      </c>
      <c r="T15" s="659" t="s">
        <v>14</v>
      </c>
      <c r="U15" s="660">
        <f t="shared" si="1"/>
        <v>100</v>
      </c>
      <c r="V15" s="659" t="s">
        <v>14</v>
      </c>
      <c r="W15" s="660">
        <f t="shared" si="2"/>
        <v>100</v>
      </c>
      <c r="X15" s="1257"/>
      <c r="Y15" s="3517" t="s">
        <v>1685</v>
      </c>
      <c r="Z15" s="1256" t="str">
        <f t="shared" si="7"/>
        <v>办公集聚程度</v>
      </c>
      <c r="AA15" s="1256">
        <f t="shared" si="3"/>
        <v>1</v>
      </c>
      <c r="AB15" s="1256">
        <f t="shared" si="4"/>
        <v>1</v>
      </c>
      <c r="AC15" s="1804">
        <f t="shared" si="5"/>
        <v>1</v>
      </c>
    </row>
    <row r="16" spans="1:29" ht="15">
      <c r="A16" s="361"/>
      <c r="B16" s="549"/>
      <c r="C16" s="1750"/>
      <c r="D16" s="381"/>
      <c r="E16" s="380"/>
      <c r="F16" s="381"/>
      <c r="G16" s="1750"/>
      <c r="H16" s="383"/>
      <c r="I16" s="380"/>
      <c r="J16" s="381"/>
      <c r="K16" s="535"/>
      <c r="L16" s="2473"/>
      <c r="M16" s="2468"/>
      <c r="N16" s="2468"/>
      <c r="O16" s="2468"/>
      <c r="P16" s="3525"/>
      <c r="Q16" s="1255"/>
      <c r="R16" s="659"/>
      <c r="S16" s="660"/>
      <c r="T16" s="659"/>
      <c r="U16" s="660"/>
      <c r="V16" s="659"/>
      <c r="W16" s="660"/>
      <c r="X16" s="1257"/>
      <c r="Y16" s="3518"/>
      <c r="Z16" s="1256"/>
      <c r="AA16" s="1256">
        <v>1</v>
      </c>
      <c r="AB16" s="1256">
        <v>1</v>
      </c>
      <c r="AC16" s="1804">
        <v>1</v>
      </c>
    </row>
    <row r="17" spans="1:29" ht="71.25">
      <c r="A17" s="361"/>
      <c r="B17" s="550" t="s">
        <v>1256</v>
      </c>
      <c r="C17" s="1805" t="str">
        <f>估价对象房地状况!C6</f>
        <v>估价对象周边道路状况、公共交通通达情况、停车便捷程度，综合评价交通便捷度较好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73"/>
      <c r="M17" s="2468"/>
      <c r="N17" s="2468"/>
      <c r="O17" s="2468"/>
      <c r="P17" s="3525"/>
      <c r="Q17" s="1255" t="str">
        <f>B17</f>
        <v>交通便捷度</v>
      </c>
      <c r="R17" s="659" t="s">
        <v>14</v>
      </c>
      <c r="S17" s="660">
        <f>F17</f>
        <v>100</v>
      </c>
      <c r="T17" s="659" t="s">
        <v>14</v>
      </c>
      <c r="U17" s="660">
        <f>H17</f>
        <v>100</v>
      </c>
      <c r="V17" s="659" t="s">
        <v>14</v>
      </c>
      <c r="W17" s="660">
        <f>J17</f>
        <v>100</v>
      </c>
      <c r="X17" s="1257"/>
      <c r="Y17" s="3518"/>
      <c r="Z17" s="1256" t="str">
        <f>Q17</f>
        <v>交通便捷度</v>
      </c>
      <c r="AA17" s="1256">
        <f t="shared" si="3"/>
        <v>1</v>
      </c>
      <c r="AB17" s="1256">
        <f t="shared" si="4"/>
        <v>1</v>
      </c>
      <c r="AC17" s="1804">
        <f t="shared" si="5"/>
        <v>1</v>
      </c>
    </row>
    <row r="18" spans="1:29" ht="15">
      <c r="A18" s="361"/>
      <c r="B18" s="395"/>
      <c r="C18" s="1806"/>
      <c r="D18" s="383"/>
      <c r="E18" s="1748"/>
      <c r="F18" s="383"/>
      <c r="G18" s="1749"/>
      <c r="H18" s="381"/>
      <c r="I18" s="1749"/>
      <c r="J18" s="381"/>
      <c r="K18" s="535"/>
      <c r="L18" s="2473"/>
      <c r="M18" s="2468"/>
      <c r="N18" s="2468"/>
      <c r="O18" s="2468"/>
      <c r="P18" s="3525"/>
      <c r="Q18" s="1255"/>
      <c r="R18" s="659"/>
      <c r="S18" s="660"/>
      <c r="T18" s="659"/>
      <c r="U18" s="660"/>
      <c r="V18" s="659"/>
      <c r="W18" s="660"/>
      <c r="X18" s="1257"/>
      <c r="Y18" s="3518"/>
      <c r="Z18" s="1256"/>
      <c r="AA18" s="1256">
        <v>1</v>
      </c>
      <c r="AB18" s="1256">
        <v>1</v>
      </c>
      <c r="AC18" s="1804">
        <v>1</v>
      </c>
    </row>
    <row r="19" spans="1:29" ht="42.75">
      <c r="A19" s="361"/>
      <c r="B19" s="550" t="s">
        <v>1806</v>
      </c>
      <c r="C19" s="1805" t="str">
        <f>估价对象房地状况!C7</f>
        <v>估价对象所在区域公共配套设施齐备情况</v>
      </c>
      <c r="D19" s="388">
        <v>100</v>
      </c>
      <c r="E19" s="392"/>
      <c r="F19" s="388">
        <f>SUMIF(81:81,E20,82:82)-SUMIF(81:81,C20,82:82)+100</f>
        <v>100</v>
      </c>
      <c r="G19" s="390"/>
      <c r="H19" s="383">
        <f>SUMIF(81:81,G20,82:82)-SUMIF(81:81,C20,82:82)+100</f>
        <v>100</v>
      </c>
      <c r="I19" s="390"/>
      <c r="J19" s="383">
        <f>SUMIF(81:81,I20,82:82)-SUMIF(81:81,C20,82:82)+100</f>
        <v>100</v>
      </c>
      <c r="K19" s="534"/>
      <c r="L19" s="2473"/>
      <c r="M19" s="2468"/>
      <c r="N19" s="2468"/>
      <c r="O19" s="2468"/>
      <c r="P19" s="3525"/>
      <c r="Q19" s="1255" t="str">
        <f>B19</f>
        <v>公共配套设施</v>
      </c>
      <c r="R19" s="659" t="s">
        <v>14</v>
      </c>
      <c r="S19" s="660">
        <f>F19</f>
        <v>100</v>
      </c>
      <c r="T19" s="659" t="s">
        <v>14</v>
      </c>
      <c r="U19" s="660">
        <f>H19</f>
        <v>100</v>
      </c>
      <c r="V19" s="659" t="s">
        <v>14</v>
      </c>
      <c r="W19" s="660">
        <f>J19</f>
        <v>100</v>
      </c>
      <c r="X19" s="1257"/>
      <c r="Y19" s="3518"/>
      <c r="Z19" s="1256" t="str">
        <f>Q19</f>
        <v>公共配套设施</v>
      </c>
      <c r="AA19" s="1256">
        <f t="shared" si="3"/>
        <v>1</v>
      </c>
      <c r="AB19" s="1256">
        <f t="shared" si="4"/>
        <v>1</v>
      </c>
      <c r="AC19" s="1804">
        <f t="shared" si="5"/>
        <v>1</v>
      </c>
    </row>
    <row r="20" spans="1:29" ht="15">
      <c r="A20" s="361"/>
      <c r="B20" s="395"/>
      <c r="C20" s="1750"/>
      <c r="D20" s="381"/>
      <c r="E20" s="1743"/>
      <c r="F20" s="381"/>
      <c r="G20" s="1744"/>
      <c r="H20" s="381"/>
      <c r="I20" s="1744"/>
      <c r="J20" s="381"/>
      <c r="K20" s="535"/>
      <c r="L20" s="2473"/>
      <c r="M20" s="2468"/>
      <c r="N20" s="2468"/>
      <c r="O20" s="2468"/>
      <c r="P20" s="3525"/>
      <c r="Q20" s="1255"/>
      <c r="R20" s="659"/>
      <c r="S20" s="660"/>
      <c r="T20" s="659"/>
      <c r="U20" s="660"/>
      <c r="V20" s="659"/>
      <c r="W20" s="660"/>
      <c r="X20" s="1257"/>
      <c r="Y20" s="3518"/>
      <c r="Z20" s="1256"/>
      <c r="AA20" s="1256">
        <v>1</v>
      </c>
      <c r="AB20" s="1256">
        <v>1</v>
      </c>
      <c r="AC20" s="1804">
        <v>1</v>
      </c>
    </row>
    <row r="21" spans="1:29" ht="28.5">
      <c r="A21" s="361"/>
      <c r="B21" s="551" t="s">
        <v>1807</v>
      </c>
      <c r="C21" s="1805" t="str">
        <f>估价对象房地状况!C8</f>
        <v>估价对象所在区域基础设施水平</v>
      </c>
      <c r="D21" s="383">
        <v>100</v>
      </c>
      <c r="E21" s="392"/>
      <c r="F21" s="388">
        <f>SUMIF(83:83,E22,84:84)-SUMIF(83:83,C22,84:84)+100</f>
        <v>100</v>
      </c>
      <c r="G21" s="390"/>
      <c r="H21" s="383">
        <f>SUMIF(83:83,G22,84:84)-SUMIF(83:83,C22,84:84)+100</f>
        <v>100</v>
      </c>
      <c r="I21" s="390"/>
      <c r="J21" s="383">
        <f>SUMIF(83:83,I22,84:84)-SUMIF(83:83,C22,84:84)+100</f>
        <v>100</v>
      </c>
      <c r="K21" s="534"/>
      <c r="L21" s="2473"/>
      <c r="M21" s="2468"/>
      <c r="N21" s="2468"/>
      <c r="O21" s="2468"/>
      <c r="P21" s="3525"/>
      <c r="Q21" s="1255" t="str">
        <f>B21</f>
        <v>基础设施水平</v>
      </c>
      <c r="R21" s="659" t="s">
        <v>14</v>
      </c>
      <c r="S21" s="660">
        <f>F21</f>
        <v>100</v>
      </c>
      <c r="T21" s="659" t="s">
        <v>14</v>
      </c>
      <c r="U21" s="660">
        <f>H21</f>
        <v>100</v>
      </c>
      <c r="V21" s="659" t="s">
        <v>14</v>
      </c>
      <c r="W21" s="660">
        <f>J21</f>
        <v>100</v>
      </c>
      <c r="X21" s="1257"/>
      <c r="Y21" s="3518"/>
      <c r="Z21" s="1256" t="str">
        <f>Q21</f>
        <v>基础设施水平</v>
      </c>
      <c r="AA21" s="1256">
        <f t="shared" ref="AA21" si="8">D21/F21</f>
        <v>1</v>
      </c>
      <c r="AB21" s="1256">
        <f t="shared" ref="AB21" si="9">D21/H21</f>
        <v>1</v>
      </c>
      <c r="AC21" s="1804">
        <f t="shared" ref="AC21" si="10">D21/J21</f>
        <v>1</v>
      </c>
    </row>
    <row r="22" spans="1:29" ht="15">
      <c r="A22" s="361"/>
      <c r="B22" s="551"/>
      <c r="C22" s="1806"/>
      <c r="D22" s="381"/>
      <c r="E22" s="380"/>
      <c r="F22" s="381"/>
      <c r="G22" s="1750"/>
      <c r="H22" s="381"/>
      <c r="I22" s="1750"/>
      <c r="J22" s="381"/>
      <c r="K22" s="1057"/>
      <c r="L22" s="2473"/>
      <c r="M22" s="2468"/>
      <c r="N22" s="2468"/>
      <c r="O22" s="2468"/>
      <c r="P22" s="3525"/>
      <c r="Q22" s="1255"/>
      <c r="R22" s="659"/>
      <c r="S22" s="660"/>
      <c r="T22" s="659"/>
      <c r="U22" s="660"/>
      <c r="V22" s="659"/>
      <c r="W22" s="660"/>
      <c r="X22" s="1257"/>
      <c r="Y22" s="3518"/>
      <c r="Z22" s="1256"/>
      <c r="AA22" s="1256">
        <v>1</v>
      </c>
      <c r="AB22" s="1256">
        <v>1</v>
      </c>
      <c r="AC22" s="1804">
        <v>1</v>
      </c>
    </row>
    <row r="23" spans="1:29" ht="42.75">
      <c r="A23" s="361"/>
      <c r="B23" s="550" t="s">
        <v>1808</v>
      </c>
      <c r="C23" s="1805" t="str">
        <f>估价对象房地状况!C9</f>
        <v>区域自然环境：；人文环境；综合评价环境状况一般</v>
      </c>
      <c r="D23" s="383">
        <v>100</v>
      </c>
      <c r="E23" s="387"/>
      <c r="F23" s="383">
        <f>SUMIF(85:85,E24,86:86)-SUMIF(85:85,C24,86:86)+100</f>
        <v>100</v>
      </c>
      <c r="G23" s="385"/>
      <c r="H23" s="383">
        <f>SUMIF(85:85,G24,86:86)-SUMIF(85:85,C24,86:86)+100</f>
        <v>100</v>
      </c>
      <c r="I23" s="385"/>
      <c r="J23" s="383">
        <f>SUMIF(85:85,I24,86:86)-SUMIF(85:85,C24,86:86)+100</f>
        <v>100</v>
      </c>
      <c r="K23" s="534"/>
      <c r="L23" s="2473"/>
      <c r="M23" s="2468"/>
      <c r="N23" s="2468"/>
      <c r="O23" s="2468"/>
      <c r="P23" s="3525"/>
      <c r="Q23" s="1255" t="str">
        <f>B23</f>
        <v>环境质量</v>
      </c>
      <c r="R23" s="659" t="s">
        <v>14</v>
      </c>
      <c r="S23" s="660">
        <f>F23</f>
        <v>100</v>
      </c>
      <c r="T23" s="659" t="s">
        <v>14</v>
      </c>
      <c r="U23" s="660">
        <f>H23</f>
        <v>100</v>
      </c>
      <c r="V23" s="659" t="s">
        <v>14</v>
      </c>
      <c r="W23" s="660">
        <f>J23</f>
        <v>100</v>
      </c>
      <c r="X23" s="1257"/>
      <c r="Y23" s="3518"/>
      <c r="Z23" s="1256" t="str">
        <f>Q23</f>
        <v>环境质量</v>
      </c>
      <c r="AA23" s="1256">
        <f t="shared" si="3"/>
        <v>1</v>
      </c>
      <c r="AB23" s="1256">
        <f t="shared" si="4"/>
        <v>1</v>
      </c>
      <c r="AC23" s="1804">
        <f t="shared" si="5"/>
        <v>1</v>
      </c>
    </row>
    <row r="24" spans="1:29" ht="15">
      <c r="A24" s="361"/>
      <c r="B24" s="551"/>
      <c r="C24" s="1750"/>
      <c r="D24" s="381"/>
      <c r="E24" s="1743"/>
      <c r="F24" s="381"/>
      <c r="G24" s="1744"/>
      <c r="H24" s="381"/>
      <c r="I24" s="1744"/>
      <c r="J24" s="381"/>
      <c r="K24" s="535"/>
      <c r="L24" s="2473"/>
      <c r="M24" s="2468"/>
      <c r="N24" s="2468"/>
      <c r="O24" s="2468"/>
      <c r="P24" s="3525"/>
      <c r="Q24" s="1255"/>
      <c r="R24" s="659"/>
      <c r="S24" s="660"/>
      <c r="T24" s="659"/>
      <c r="U24" s="660"/>
      <c r="V24" s="659"/>
      <c r="W24" s="660"/>
      <c r="X24" s="1257"/>
      <c r="Y24" s="3518"/>
      <c r="Z24" s="1256"/>
      <c r="AA24" s="1256">
        <v>1</v>
      </c>
      <c r="AB24" s="1256">
        <v>1</v>
      </c>
      <c r="AC24" s="1804">
        <v>1</v>
      </c>
    </row>
    <row r="25" spans="1:29" ht="27">
      <c r="A25" s="342"/>
      <c r="B25" s="550" t="s">
        <v>1809</v>
      </c>
      <c r="C25" s="1754"/>
      <c r="D25" s="368">
        <v>100</v>
      </c>
      <c r="E25" s="367"/>
      <c r="F25" s="368">
        <f>SUMIF(87:87,E26,88:88)-SUMIF(87:87,C26,88:88)+100</f>
        <v>100</v>
      </c>
      <c r="G25" s="1754"/>
      <c r="H25" s="368">
        <f>SUMIF(87:87,G26,88:88)-SUMIF(87:87,C26,88:88)+100</f>
        <v>100</v>
      </c>
      <c r="I25" s="367"/>
      <c r="J25" s="368">
        <f>SUMIF(87:87,I26,88:88)-SUMIF(87:87,C26,88:88)+100</f>
        <v>100</v>
      </c>
      <c r="K25" s="534"/>
      <c r="L25" s="2473"/>
      <c r="M25" s="2468"/>
      <c r="N25" s="2468"/>
      <c r="O25" s="2468"/>
      <c r="P25" s="3525"/>
      <c r="Q25" s="1255" t="str">
        <f>B25</f>
        <v>毗邻道路的类型与等级</v>
      </c>
      <c r="R25" s="659" t="s">
        <v>14</v>
      </c>
      <c r="S25" s="660">
        <f>F25</f>
        <v>100</v>
      </c>
      <c r="T25" s="659" t="s">
        <v>14</v>
      </c>
      <c r="U25" s="660">
        <f>H25</f>
        <v>100</v>
      </c>
      <c r="V25" s="659" t="s">
        <v>14</v>
      </c>
      <c r="W25" s="660">
        <f>J25</f>
        <v>100</v>
      </c>
      <c r="X25" s="1257"/>
      <c r="Y25" s="3518"/>
      <c r="Z25" s="1256" t="str">
        <f>Q25</f>
        <v>毗邻道路的类型与等级</v>
      </c>
      <c r="AA25" s="1256">
        <f t="shared" si="3"/>
        <v>1</v>
      </c>
      <c r="AB25" s="1256">
        <f t="shared" si="4"/>
        <v>1</v>
      </c>
      <c r="AC25" s="1804">
        <f t="shared" si="5"/>
        <v>1</v>
      </c>
    </row>
    <row r="26" spans="1:29" ht="15">
      <c r="A26" s="342"/>
      <c r="B26" s="395"/>
      <c r="C26" s="552"/>
      <c r="D26" s="368"/>
      <c r="E26" s="536"/>
      <c r="F26" s="368"/>
      <c r="G26" s="552"/>
      <c r="H26" s="368"/>
      <c r="I26" s="536"/>
      <c r="J26" s="368"/>
      <c r="K26" s="535"/>
      <c r="L26" s="2473"/>
      <c r="M26" s="2468"/>
      <c r="N26" s="2468"/>
      <c r="O26" s="2468"/>
      <c r="P26" s="3525"/>
      <c r="Q26" s="1255"/>
      <c r="R26" s="659"/>
      <c r="S26" s="660"/>
      <c r="T26" s="659"/>
      <c r="U26" s="660"/>
      <c r="V26" s="659"/>
      <c r="W26" s="660"/>
      <c r="X26" s="1257"/>
      <c r="Y26" s="3518"/>
      <c r="Z26" s="1256"/>
      <c r="AA26" s="1256">
        <v>1</v>
      </c>
      <c r="AB26" s="1256">
        <v>1</v>
      </c>
      <c r="AC26" s="1804">
        <v>1</v>
      </c>
    </row>
    <row r="27" spans="1:29" ht="15">
      <c r="A27" s="361"/>
      <c r="B27" s="395" t="s">
        <v>1777</v>
      </c>
      <c r="C27" s="552"/>
      <c r="D27" s="368">
        <v>100</v>
      </c>
      <c r="E27" s="536"/>
      <c r="F27" s="368">
        <f>SUMIF(89:89,E27,90:90)-SUMIF(89:89,C27,90:90)+100</f>
        <v>100</v>
      </c>
      <c r="G27" s="552"/>
      <c r="H27" s="368">
        <f>SUMIF(89:89,G27,90:90)-SUMIF(89:89,C27,90:90)+100</f>
        <v>100</v>
      </c>
      <c r="I27" s="536"/>
      <c r="J27" s="368">
        <f>SUMIF(89:89,I27,90:90)-SUMIF(89:89,C27,90:90)+100</f>
        <v>100</v>
      </c>
      <c r="K27" s="532"/>
      <c r="L27" s="2473"/>
      <c r="M27" s="2468"/>
      <c r="N27" s="2468"/>
      <c r="O27" s="2468"/>
      <c r="P27" s="3525"/>
      <c r="Q27" s="1255" t="str">
        <f t="shared" ref="Q27:Q47" si="11">B27</f>
        <v>楼层</v>
      </c>
      <c r="R27" s="659" t="s">
        <v>14</v>
      </c>
      <c r="S27" s="660">
        <f>F27</f>
        <v>100</v>
      </c>
      <c r="T27" s="659" t="s">
        <v>14</v>
      </c>
      <c r="U27" s="660">
        <f>H27</f>
        <v>100</v>
      </c>
      <c r="V27" s="659" t="s">
        <v>14</v>
      </c>
      <c r="W27" s="660">
        <f>J27</f>
        <v>100</v>
      </c>
      <c r="X27" s="1257"/>
      <c r="Y27" s="3518"/>
      <c r="Z27" s="1256" t="str">
        <f>Q27</f>
        <v>楼层</v>
      </c>
      <c r="AA27" s="1256">
        <f t="shared" si="3"/>
        <v>1</v>
      </c>
      <c r="AB27" s="1256">
        <f t="shared" si="4"/>
        <v>1</v>
      </c>
      <c r="AC27" s="1804">
        <f t="shared" si="5"/>
        <v>1</v>
      </c>
    </row>
    <row r="28" spans="1:29" s="101" customFormat="1" ht="15">
      <c r="A28" s="364"/>
      <c r="B28" s="550" t="s">
        <v>1810</v>
      </c>
      <c r="C28" s="1807"/>
      <c r="D28" s="395">
        <v>100</v>
      </c>
      <c r="E28" s="1799"/>
      <c r="F28" s="395">
        <f>SUMIF(91:91,E28,92:92)-SUMIF(91:91,C28,92:92)+100</f>
        <v>100</v>
      </c>
      <c r="G28" s="1807"/>
      <c r="H28" s="395">
        <f>SUMIF(91:91,G28,92:92)-SUMIF(91:91,C28,92:92)+100</f>
        <v>100</v>
      </c>
      <c r="I28" s="1799"/>
      <c r="J28" s="395">
        <f>SUMIF(91:91,I28,92:92)-SUMIF(91:91,C28,92:92)+100</f>
        <v>100</v>
      </c>
      <c r="K28" s="532"/>
      <c r="L28" s="2469"/>
      <c r="M28" s="2423"/>
      <c r="N28" s="2423"/>
      <c r="O28" s="2423"/>
      <c r="P28" s="3525"/>
      <c r="Q28" s="524" t="str">
        <f t="shared" si="11"/>
        <v>朝向</v>
      </c>
      <c r="R28" s="656" t="s">
        <v>14</v>
      </c>
      <c r="S28" s="657">
        <f>F28</f>
        <v>100</v>
      </c>
      <c r="T28" s="656" t="s">
        <v>14</v>
      </c>
      <c r="U28" s="657">
        <f>H28</f>
        <v>100</v>
      </c>
      <c r="V28" s="656" t="s">
        <v>14</v>
      </c>
      <c r="W28" s="657">
        <f>J28</f>
        <v>100</v>
      </c>
      <c r="X28" s="658"/>
      <c r="Y28" s="3518"/>
      <c r="Z28" s="50" t="str">
        <f>Q28</f>
        <v>朝向</v>
      </c>
      <c r="AA28" s="1256">
        <f>D28/F28</f>
        <v>1</v>
      </c>
      <c r="AB28" s="1256">
        <f>D28/H28</f>
        <v>1</v>
      </c>
      <c r="AC28" s="1804">
        <f>D28/J28</f>
        <v>1</v>
      </c>
    </row>
    <row r="29" spans="1:29" ht="15">
      <c r="A29" s="361"/>
      <c r="B29" s="1092">
        <v>111</v>
      </c>
      <c r="C29" s="1754"/>
      <c r="D29" s="368">
        <v>100</v>
      </c>
      <c r="E29" s="365"/>
      <c r="F29" s="368">
        <f>SUMIF(93:93,E29,94:94)-SUMIF(93:93,C29,94:94)+100</f>
        <v>100</v>
      </c>
      <c r="G29" s="1802"/>
      <c r="H29" s="368">
        <f>SUMIF(93:93,G29,94:94)-SUMIF(93:93,C29,94:94)+100</f>
        <v>100</v>
      </c>
      <c r="I29" s="365"/>
      <c r="J29" s="368">
        <f>SUMIF(93:93,I29,94:94)-SUMIF(93:93,C29,94:94)+100</f>
        <v>100</v>
      </c>
      <c r="K29" s="533"/>
      <c r="L29" s="2473"/>
      <c r="M29" s="2468"/>
      <c r="N29" s="2468"/>
      <c r="O29" s="2468"/>
      <c r="P29" s="3525"/>
      <c r="Q29" s="1255">
        <f t="shared" si="11"/>
        <v>111</v>
      </c>
      <c r="R29" s="659" t="s">
        <v>14</v>
      </c>
      <c r="S29" s="660">
        <f t="shared" ref="S29:S47" si="12">F29</f>
        <v>100</v>
      </c>
      <c r="T29" s="659" t="s">
        <v>14</v>
      </c>
      <c r="U29" s="660">
        <f t="shared" ref="U29:U47" si="13">H29</f>
        <v>100</v>
      </c>
      <c r="V29" s="659" t="s">
        <v>14</v>
      </c>
      <c r="W29" s="660">
        <f t="shared" ref="W29:W47" si="14">J29</f>
        <v>100</v>
      </c>
      <c r="X29" s="1257"/>
      <c r="Y29" s="3518"/>
      <c r="Z29" s="1256">
        <f t="shared" ref="Z29:Z47" si="15">Q29</f>
        <v>111</v>
      </c>
      <c r="AA29" s="1256">
        <f t="shared" si="3"/>
        <v>1</v>
      </c>
      <c r="AB29" s="1256">
        <f t="shared" si="4"/>
        <v>1</v>
      </c>
      <c r="AC29" s="1804">
        <f t="shared" si="5"/>
        <v>1</v>
      </c>
    </row>
    <row r="30" spans="1:29" ht="15">
      <c r="A30" s="361"/>
      <c r="B30" s="1092">
        <v>111</v>
      </c>
      <c r="C30" s="1754"/>
      <c r="D30" s="368">
        <v>100</v>
      </c>
      <c r="E30" s="365"/>
      <c r="F30" s="368">
        <f>SUMIF(95:95,E30,96:96)-SUMIF(95:95,C30,96:96)+100</f>
        <v>100</v>
      </c>
      <c r="G30" s="1802"/>
      <c r="H30" s="368">
        <f>SUMIF(95:95,G30,96:96)-SUMIF(95:95,C30,96:96)+100</f>
        <v>100</v>
      </c>
      <c r="I30" s="365"/>
      <c r="J30" s="368">
        <f>SUMIF(95:95,I30,96:96)-SUMIF(95:95,C30,96:96)+100</f>
        <v>100</v>
      </c>
      <c r="K30" s="533"/>
      <c r="L30" s="2473"/>
      <c r="M30" s="2468"/>
      <c r="N30" s="2468"/>
      <c r="O30" s="2468"/>
      <c r="P30" s="3525"/>
      <c r="Q30" s="1255">
        <f t="shared" si="11"/>
        <v>111</v>
      </c>
      <c r="R30" s="659" t="s">
        <v>14</v>
      </c>
      <c r="S30" s="660">
        <f t="shared" si="12"/>
        <v>100</v>
      </c>
      <c r="T30" s="659" t="s">
        <v>14</v>
      </c>
      <c r="U30" s="660">
        <f t="shared" si="13"/>
        <v>100</v>
      </c>
      <c r="V30" s="659" t="s">
        <v>14</v>
      </c>
      <c r="W30" s="660">
        <f t="shared" si="14"/>
        <v>100</v>
      </c>
      <c r="X30" s="1257"/>
      <c r="Y30" s="3518"/>
      <c r="Z30" s="1256">
        <f t="shared" si="15"/>
        <v>111</v>
      </c>
      <c r="AA30" s="1256">
        <f t="shared" si="3"/>
        <v>1</v>
      </c>
      <c r="AB30" s="1256">
        <f t="shared" si="4"/>
        <v>1</v>
      </c>
      <c r="AC30" s="1804">
        <f t="shared" si="5"/>
        <v>1</v>
      </c>
    </row>
    <row r="31" spans="1:29" ht="15">
      <c r="A31" s="361"/>
      <c r="B31" s="1092">
        <v>111</v>
      </c>
      <c r="C31" s="1754"/>
      <c r="D31" s="368">
        <v>100</v>
      </c>
      <c r="E31" s="365"/>
      <c r="F31" s="368">
        <f>SUMIF(97:97,E31,98:98)-SUMIF(97:97,C31,98:98)+100</f>
        <v>100</v>
      </c>
      <c r="G31" s="1802"/>
      <c r="H31" s="368">
        <f>SUMIF(97:97,G31,98:98)-SUMIF(97:97,C31,98:98)+100</f>
        <v>100</v>
      </c>
      <c r="I31" s="365"/>
      <c r="J31" s="368">
        <f>SUMIF(97:97,I31,98:98)-SUMIF(97:97,C31,98:98)+100</f>
        <v>100</v>
      </c>
      <c r="K31" s="533"/>
      <c r="L31" s="2473"/>
      <c r="M31" s="2468"/>
      <c r="N31" s="2468"/>
      <c r="O31" s="2468"/>
      <c r="P31" s="3525"/>
      <c r="Q31" s="1255">
        <f t="shared" si="11"/>
        <v>111</v>
      </c>
      <c r="R31" s="659" t="s">
        <v>14</v>
      </c>
      <c r="S31" s="660">
        <f t="shared" si="12"/>
        <v>100</v>
      </c>
      <c r="T31" s="659" t="s">
        <v>14</v>
      </c>
      <c r="U31" s="660">
        <f t="shared" si="13"/>
        <v>100</v>
      </c>
      <c r="V31" s="659" t="s">
        <v>14</v>
      </c>
      <c r="W31" s="660">
        <f t="shared" si="14"/>
        <v>100</v>
      </c>
      <c r="X31" s="1257"/>
      <c r="Y31" s="3518"/>
      <c r="Z31" s="1256">
        <f t="shared" si="15"/>
        <v>111</v>
      </c>
      <c r="AA31" s="1256">
        <f t="shared" si="3"/>
        <v>1</v>
      </c>
      <c r="AB31" s="1256">
        <f t="shared" si="4"/>
        <v>1</v>
      </c>
      <c r="AC31" s="1804">
        <f t="shared" si="5"/>
        <v>1</v>
      </c>
    </row>
    <row r="32" spans="1:29" ht="15.75" thickBot="1">
      <c r="A32" s="369"/>
      <c r="B32" s="553">
        <v>111</v>
      </c>
      <c r="C32" s="1755"/>
      <c r="D32" s="371">
        <v>100</v>
      </c>
      <c r="E32" s="547"/>
      <c r="F32" s="371">
        <f>SUMIF(99:99,E32,100:100)-SUMIF(99:99,C32,100:100)+100</f>
        <v>100</v>
      </c>
      <c r="G32" s="1802"/>
      <c r="H32" s="371">
        <f>SUMIF(99:99,G32,100:100)-SUMIF(99:99,C32,100:100)+100</f>
        <v>100</v>
      </c>
      <c r="I32" s="365"/>
      <c r="J32" s="371">
        <f>SUMIF(99:99,I32,100:100)-SUMIF(99:99,C32,100:100)+100</f>
        <v>100</v>
      </c>
      <c r="K32" s="533"/>
      <c r="L32" s="2473"/>
      <c r="M32" s="2468"/>
      <c r="N32" s="2468"/>
      <c r="O32" s="2468"/>
      <c r="P32" s="3525"/>
      <c r="Q32" s="1255">
        <f t="shared" si="11"/>
        <v>111</v>
      </c>
      <c r="R32" s="659" t="s">
        <v>14</v>
      </c>
      <c r="S32" s="660">
        <f t="shared" si="12"/>
        <v>100</v>
      </c>
      <c r="T32" s="659" t="s">
        <v>14</v>
      </c>
      <c r="U32" s="660">
        <f t="shared" si="13"/>
        <v>100</v>
      </c>
      <c r="V32" s="659" t="s">
        <v>14</v>
      </c>
      <c r="W32" s="660">
        <f t="shared" si="14"/>
        <v>100</v>
      </c>
      <c r="X32" s="1257"/>
      <c r="Y32" s="3518"/>
      <c r="Z32" s="1256">
        <f t="shared" si="15"/>
        <v>111</v>
      </c>
      <c r="AA32" s="1256">
        <f t="shared" si="3"/>
        <v>1</v>
      </c>
      <c r="AB32" s="1256">
        <f t="shared" si="4"/>
        <v>1</v>
      </c>
      <c r="AC32" s="1804">
        <f t="shared" si="5"/>
        <v>1</v>
      </c>
    </row>
    <row r="33" spans="1:29" ht="15">
      <c r="A33" s="373" t="s">
        <v>1688</v>
      </c>
      <c r="B33" s="60" t="s">
        <v>1811</v>
      </c>
      <c r="C33" s="1756"/>
      <c r="D33" s="399">
        <v>100</v>
      </c>
      <c r="E33" s="1756"/>
      <c r="F33" s="394">
        <f>SUMIF(101:101,E33,102:102)-SUMIF(101:101,C33,102:102)+100</f>
        <v>100</v>
      </c>
      <c r="G33" s="1756"/>
      <c r="H33" s="368">
        <f>SUMIF(101:101,G33,102:102)-SUMIF(101:101,C33,102:102)+100</f>
        <v>100</v>
      </c>
      <c r="I33" s="1756"/>
      <c r="J33" s="399">
        <f>SUMIF(101:101,I33,102:102)-SUMIF(101:101,C33,102:102)+100</f>
        <v>100</v>
      </c>
      <c r="K33" s="532"/>
      <c r="L33" s="2473"/>
      <c r="M33" s="2468"/>
      <c r="N33" s="2468"/>
      <c r="O33" s="2468"/>
      <c r="P33" s="3519" t="s">
        <v>1690</v>
      </c>
      <c r="Q33" s="1255" t="str">
        <f t="shared" si="11"/>
        <v>建筑类型</v>
      </c>
      <c r="R33" s="659" t="s">
        <v>14</v>
      </c>
      <c r="S33" s="660">
        <f t="shared" si="12"/>
        <v>100</v>
      </c>
      <c r="T33" s="659" t="s">
        <v>14</v>
      </c>
      <c r="U33" s="660">
        <f t="shared" si="13"/>
        <v>100</v>
      </c>
      <c r="V33" s="659" t="s">
        <v>14</v>
      </c>
      <c r="W33" s="660">
        <f t="shared" si="14"/>
        <v>100</v>
      </c>
      <c r="X33" s="1257"/>
      <c r="Y33" s="3522" t="s">
        <v>1690</v>
      </c>
      <c r="Z33" s="1256" t="str">
        <f t="shared" si="15"/>
        <v>建筑类型</v>
      </c>
      <c r="AA33" s="1256">
        <f t="shared" si="3"/>
        <v>1</v>
      </c>
      <c r="AB33" s="1256">
        <f t="shared" si="4"/>
        <v>1</v>
      </c>
      <c r="AC33" s="1804">
        <f t="shared" si="5"/>
        <v>1</v>
      </c>
    </row>
    <row r="34" spans="1:29" s="402" customFormat="1" ht="15">
      <c r="A34" s="400"/>
      <c r="B34" s="358" t="s">
        <v>1691</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72"/>
      <c r="M34" s="2474"/>
      <c r="N34" s="2474"/>
      <c r="O34" s="2474"/>
      <c r="P34" s="3520"/>
      <c r="Q34" s="525" t="str">
        <f t="shared" si="11"/>
        <v>项目建筑规模</v>
      </c>
      <c r="R34" s="661" t="s">
        <v>14</v>
      </c>
      <c r="S34" s="662" t="e">
        <f t="shared" si="12"/>
        <v>#N/A</v>
      </c>
      <c r="T34" s="661" t="s">
        <v>14</v>
      </c>
      <c r="U34" s="662" t="e">
        <f t="shared" si="13"/>
        <v>#N/A</v>
      </c>
      <c r="V34" s="661" t="s">
        <v>14</v>
      </c>
      <c r="W34" s="662" t="e">
        <f t="shared" si="14"/>
        <v>#N/A</v>
      </c>
      <c r="X34" s="663"/>
      <c r="Y34" s="3522"/>
      <c r="Z34" s="664" t="str">
        <f t="shared" si="15"/>
        <v>项目建筑规模</v>
      </c>
      <c r="AA34" s="1256" t="e">
        <f t="shared" si="3"/>
        <v>#N/A</v>
      </c>
      <c r="AB34" s="1256" t="e">
        <f t="shared" si="4"/>
        <v>#N/A</v>
      </c>
      <c r="AC34" s="1804" t="e">
        <f t="shared" si="5"/>
        <v>#N/A</v>
      </c>
    </row>
    <row r="35" spans="1:29" ht="15">
      <c r="A35" s="403"/>
      <c r="B35" s="358" t="s">
        <v>1692</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73"/>
      <c r="M35" s="2468"/>
      <c r="N35" s="2468"/>
      <c r="O35" s="2468"/>
      <c r="P35" s="3520"/>
      <c r="Q35" s="1255" t="str">
        <f t="shared" si="11"/>
        <v>建筑结构</v>
      </c>
      <c r="R35" s="659" t="s">
        <v>14</v>
      </c>
      <c r="S35" s="660">
        <f t="shared" si="12"/>
        <v>100</v>
      </c>
      <c r="T35" s="659" t="s">
        <v>14</v>
      </c>
      <c r="U35" s="660">
        <f t="shared" si="13"/>
        <v>100</v>
      </c>
      <c r="V35" s="659" t="s">
        <v>14</v>
      </c>
      <c r="W35" s="660">
        <f t="shared" si="14"/>
        <v>100</v>
      </c>
      <c r="X35" s="1257"/>
      <c r="Y35" s="3522"/>
      <c r="Z35" s="1256" t="str">
        <f t="shared" si="15"/>
        <v>建筑结构</v>
      </c>
      <c r="AA35" s="1256">
        <f t="shared" si="3"/>
        <v>1</v>
      </c>
      <c r="AB35" s="1256">
        <f t="shared" si="4"/>
        <v>1</v>
      </c>
      <c r="AC35" s="1804">
        <f t="shared" si="5"/>
        <v>1</v>
      </c>
    </row>
    <row r="36" spans="1:29" ht="15">
      <c r="A36" s="403"/>
      <c r="B36" s="358" t="s">
        <v>1779</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73"/>
      <c r="M36" s="2468"/>
      <c r="N36" s="2468"/>
      <c r="O36" s="2468"/>
      <c r="P36" s="3520"/>
      <c r="Q36" s="1255" t="str">
        <f t="shared" si="11"/>
        <v>公共部分装修</v>
      </c>
      <c r="R36" s="659" t="s">
        <v>14</v>
      </c>
      <c r="S36" s="660">
        <f t="shared" si="12"/>
        <v>100</v>
      </c>
      <c r="T36" s="659" t="s">
        <v>14</v>
      </c>
      <c r="U36" s="660">
        <f t="shared" si="13"/>
        <v>100</v>
      </c>
      <c r="V36" s="659" t="s">
        <v>14</v>
      </c>
      <c r="W36" s="660">
        <f t="shared" si="14"/>
        <v>100</v>
      </c>
      <c r="X36" s="1257"/>
      <c r="Y36" s="3522"/>
      <c r="Z36" s="1256" t="str">
        <f t="shared" si="15"/>
        <v>公共部分装修</v>
      </c>
      <c r="AA36" s="1256">
        <f t="shared" si="3"/>
        <v>1</v>
      </c>
      <c r="AB36" s="1256">
        <f t="shared" si="4"/>
        <v>1</v>
      </c>
      <c r="AC36" s="1804">
        <f t="shared" si="5"/>
        <v>1</v>
      </c>
    </row>
    <row r="37" spans="1:29" ht="15">
      <c r="A37" s="403"/>
      <c r="B37" s="358" t="s">
        <v>1780</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73"/>
      <c r="M37" s="2468"/>
      <c r="N37" s="2468"/>
      <c r="O37" s="2468"/>
      <c r="P37" s="3520"/>
      <c r="Q37" s="1255" t="str">
        <f t="shared" si="11"/>
        <v>成新度</v>
      </c>
      <c r="R37" s="659" t="s">
        <v>14</v>
      </c>
      <c r="S37" s="660" t="e">
        <f t="shared" si="12"/>
        <v>#N/A</v>
      </c>
      <c r="T37" s="659" t="s">
        <v>14</v>
      </c>
      <c r="U37" s="660" t="e">
        <f t="shared" si="13"/>
        <v>#N/A</v>
      </c>
      <c r="V37" s="659" t="s">
        <v>14</v>
      </c>
      <c r="W37" s="660" t="e">
        <f t="shared" si="14"/>
        <v>#N/A</v>
      </c>
      <c r="X37" s="1257"/>
      <c r="Y37" s="3522"/>
      <c r="Z37" s="1256" t="str">
        <f t="shared" si="15"/>
        <v>成新度</v>
      </c>
      <c r="AA37" s="1256" t="e">
        <f t="shared" si="3"/>
        <v>#N/A</v>
      </c>
      <c r="AB37" s="1256" t="e">
        <f t="shared" si="4"/>
        <v>#N/A</v>
      </c>
      <c r="AC37" s="1804" t="e">
        <f t="shared" si="5"/>
        <v>#N/A</v>
      </c>
    </row>
    <row r="38" spans="1:29" s="101" customFormat="1" ht="15">
      <c r="A38" s="404"/>
      <c r="B38" s="358" t="s">
        <v>1812</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69"/>
      <c r="M38" s="2423"/>
      <c r="N38" s="2423"/>
      <c r="O38" s="2423"/>
      <c r="P38" s="3520"/>
      <c r="Q38" s="524" t="str">
        <f t="shared" si="11"/>
        <v>写字楼等级</v>
      </c>
      <c r="R38" s="656" t="s">
        <v>14</v>
      </c>
      <c r="S38" s="657">
        <f t="shared" si="12"/>
        <v>100</v>
      </c>
      <c r="T38" s="656" t="s">
        <v>14</v>
      </c>
      <c r="U38" s="657">
        <f t="shared" si="13"/>
        <v>100</v>
      </c>
      <c r="V38" s="656" t="s">
        <v>14</v>
      </c>
      <c r="W38" s="657">
        <f t="shared" si="14"/>
        <v>100</v>
      </c>
      <c r="X38" s="658"/>
      <c r="Y38" s="3522"/>
      <c r="Z38" s="50" t="str">
        <f t="shared" si="15"/>
        <v>写字楼等级</v>
      </c>
      <c r="AA38" s="50">
        <f t="shared" si="3"/>
        <v>1</v>
      </c>
      <c r="AB38" s="50">
        <f t="shared" si="4"/>
        <v>1</v>
      </c>
      <c r="AC38" s="795">
        <f t="shared" si="5"/>
        <v>1</v>
      </c>
    </row>
    <row r="39" spans="1:29" ht="15">
      <c r="A39" s="403"/>
      <c r="B39" s="358" t="s">
        <v>1813</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73"/>
      <c r="M39" s="2468"/>
      <c r="N39" s="2468"/>
      <c r="O39" s="2468"/>
      <c r="P39" s="3520" t="s">
        <v>1690</v>
      </c>
      <c r="Q39" s="1255" t="str">
        <f t="shared" si="11"/>
        <v>物业管理</v>
      </c>
      <c r="R39" s="659" t="s">
        <v>14</v>
      </c>
      <c r="S39" s="660">
        <f t="shared" si="12"/>
        <v>100</v>
      </c>
      <c r="T39" s="659" t="s">
        <v>14</v>
      </c>
      <c r="U39" s="660">
        <f t="shared" si="13"/>
        <v>100</v>
      </c>
      <c r="V39" s="659" t="s">
        <v>14</v>
      </c>
      <c r="W39" s="660">
        <f t="shared" si="14"/>
        <v>100</v>
      </c>
      <c r="X39" s="1257"/>
      <c r="Y39" s="3522" t="s">
        <v>1690</v>
      </c>
      <c r="Z39" s="1256" t="str">
        <f t="shared" si="15"/>
        <v>物业管理</v>
      </c>
      <c r="AA39" s="1256">
        <f t="shared" si="3"/>
        <v>1</v>
      </c>
      <c r="AB39" s="1256">
        <f t="shared" si="4"/>
        <v>1</v>
      </c>
      <c r="AC39" s="1804">
        <f t="shared" si="5"/>
        <v>1</v>
      </c>
    </row>
    <row r="40" spans="1:29" ht="15">
      <c r="A40" s="403"/>
      <c r="B40" s="358" t="s">
        <v>1781</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73"/>
      <c r="M40" s="2468"/>
      <c r="N40" s="2468"/>
      <c r="O40" s="2468"/>
      <c r="P40" s="3520"/>
      <c r="Q40" s="1255" t="str">
        <f t="shared" si="11"/>
        <v>市政基础设施</v>
      </c>
      <c r="R40" s="659" t="s">
        <v>14</v>
      </c>
      <c r="S40" s="660">
        <f t="shared" si="12"/>
        <v>100</v>
      </c>
      <c r="T40" s="659" t="s">
        <v>14</v>
      </c>
      <c r="U40" s="660">
        <f t="shared" si="13"/>
        <v>100</v>
      </c>
      <c r="V40" s="659" t="s">
        <v>14</v>
      </c>
      <c r="W40" s="660">
        <f t="shared" si="14"/>
        <v>100</v>
      </c>
      <c r="X40" s="1257"/>
      <c r="Y40" s="3522"/>
      <c r="Z40" s="1256" t="str">
        <f t="shared" si="15"/>
        <v>市政基础设施</v>
      </c>
      <c r="AA40" s="1256">
        <f t="shared" si="3"/>
        <v>1</v>
      </c>
      <c r="AB40" s="1256">
        <f t="shared" si="4"/>
        <v>1</v>
      </c>
      <c r="AC40" s="1804">
        <f t="shared" si="5"/>
        <v>1</v>
      </c>
    </row>
    <row r="41" spans="1:29" ht="15">
      <c r="A41" s="403"/>
      <c r="B41" s="358" t="s">
        <v>1783</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73"/>
      <c r="M41" s="2468"/>
      <c r="N41" s="2468"/>
      <c r="O41" s="2468"/>
      <c r="P41" s="3520"/>
      <c r="Q41" s="1255" t="str">
        <f t="shared" si="11"/>
        <v>层高</v>
      </c>
      <c r="R41" s="659" t="s">
        <v>14</v>
      </c>
      <c r="S41" s="660">
        <f t="shared" si="12"/>
        <v>100</v>
      </c>
      <c r="T41" s="659" t="s">
        <v>14</v>
      </c>
      <c r="U41" s="660">
        <f t="shared" si="13"/>
        <v>100</v>
      </c>
      <c r="V41" s="659" t="s">
        <v>14</v>
      </c>
      <c r="W41" s="660">
        <f t="shared" si="14"/>
        <v>100</v>
      </c>
      <c r="X41" s="1257"/>
      <c r="Y41" s="3522"/>
      <c r="Z41" s="1256" t="str">
        <f t="shared" si="15"/>
        <v>层高</v>
      </c>
      <c r="AA41" s="1256">
        <f t="shared" si="3"/>
        <v>1</v>
      </c>
      <c r="AB41" s="1256">
        <f t="shared" si="4"/>
        <v>1</v>
      </c>
      <c r="AC41" s="1804">
        <f t="shared" si="5"/>
        <v>1</v>
      </c>
    </row>
    <row r="42" spans="1:29" s="402" customFormat="1" ht="15">
      <c r="A42" s="400"/>
      <c r="B42" s="394" t="s">
        <v>1814</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72"/>
      <c r="M42" s="2474"/>
      <c r="N42" s="2474"/>
      <c r="O42" s="2474"/>
      <c r="P42" s="3520"/>
      <c r="Q42" s="525" t="str">
        <f t="shared" si="11"/>
        <v>单套建筑面积</v>
      </c>
      <c r="R42" s="661" t="s">
        <v>14</v>
      </c>
      <c r="S42" s="662">
        <f t="shared" si="12"/>
        <v>100</v>
      </c>
      <c r="T42" s="661" t="s">
        <v>14</v>
      </c>
      <c r="U42" s="662">
        <f t="shared" si="13"/>
        <v>100</v>
      </c>
      <c r="V42" s="661" t="s">
        <v>14</v>
      </c>
      <c r="W42" s="662">
        <f t="shared" si="14"/>
        <v>100</v>
      </c>
      <c r="X42" s="663"/>
      <c r="Y42" s="3522"/>
      <c r="Z42" s="664" t="str">
        <f t="shared" si="15"/>
        <v>单套建筑面积</v>
      </c>
      <c r="AA42" s="1256">
        <f t="shared" si="3"/>
        <v>1</v>
      </c>
      <c r="AB42" s="1256">
        <f t="shared" si="4"/>
        <v>1</v>
      </c>
      <c r="AC42" s="1804">
        <f t="shared" si="5"/>
        <v>1</v>
      </c>
    </row>
    <row r="43" spans="1:29" ht="15">
      <c r="A43" s="403"/>
      <c r="B43" s="358" t="s">
        <v>1786</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73"/>
      <c r="M43" s="2468"/>
      <c r="N43" s="2468"/>
      <c r="O43" s="2468"/>
      <c r="P43" s="3520"/>
      <c r="Q43" s="1255" t="str">
        <f t="shared" si="11"/>
        <v>内部装修</v>
      </c>
      <c r="R43" s="659" t="s">
        <v>14</v>
      </c>
      <c r="S43" s="660">
        <f t="shared" si="12"/>
        <v>100</v>
      </c>
      <c r="T43" s="659" t="s">
        <v>14</v>
      </c>
      <c r="U43" s="660">
        <f t="shared" si="13"/>
        <v>100</v>
      </c>
      <c r="V43" s="659" t="s">
        <v>14</v>
      </c>
      <c r="W43" s="660">
        <f t="shared" si="14"/>
        <v>100</v>
      </c>
      <c r="X43" s="1257"/>
      <c r="Y43" s="3522"/>
      <c r="Z43" s="1256" t="str">
        <f t="shared" si="15"/>
        <v>内部装修</v>
      </c>
      <c r="AA43" s="1256">
        <f t="shared" si="3"/>
        <v>1</v>
      </c>
      <c r="AB43" s="1256">
        <f t="shared" si="4"/>
        <v>1</v>
      </c>
      <c r="AC43" s="1804">
        <f t="shared" si="5"/>
        <v>1</v>
      </c>
    </row>
    <row r="44" spans="1:29" ht="15">
      <c r="A44" s="403"/>
      <c r="B44" s="358" t="s">
        <v>1701</v>
      </c>
      <c r="C44" s="393"/>
      <c r="D44" s="368">
        <v>100</v>
      </c>
      <c r="E44" s="1752"/>
      <c r="F44" s="394">
        <f>SUMIF(125:125,E44,126:126)-SUMIF(125:125,C44,126:126)+100</f>
        <v>100</v>
      </c>
      <c r="G44" s="1752"/>
      <c r="H44" s="368">
        <f>SUMIF(125:125,G44,126:126)-SUMIF(125:125,C44,126:126)+100</f>
        <v>100</v>
      </c>
      <c r="I44" s="1752"/>
      <c r="J44" s="368">
        <f>SUMIF(125:125,I44,126:126)-SUMIF(125:125,C44,126:126)+100</f>
        <v>100</v>
      </c>
      <c r="K44" s="532"/>
      <c r="L44" s="2473"/>
      <c r="M44" s="2468"/>
      <c r="N44" s="2468"/>
      <c r="O44" s="2468"/>
      <c r="P44" s="3520"/>
      <c r="Q44" s="1255" t="str">
        <f t="shared" si="11"/>
        <v>内部装修维护情况</v>
      </c>
      <c r="R44" s="659" t="s">
        <v>14</v>
      </c>
      <c r="S44" s="660">
        <f t="shared" si="12"/>
        <v>100</v>
      </c>
      <c r="T44" s="659" t="s">
        <v>14</v>
      </c>
      <c r="U44" s="660">
        <f t="shared" si="13"/>
        <v>100</v>
      </c>
      <c r="V44" s="659" t="s">
        <v>14</v>
      </c>
      <c r="W44" s="660">
        <f t="shared" si="14"/>
        <v>100</v>
      </c>
      <c r="X44" s="1257"/>
      <c r="Y44" s="3522"/>
      <c r="Z44" s="1256" t="str">
        <f t="shared" si="15"/>
        <v>内部装修维护情况</v>
      </c>
      <c r="AA44" s="1256">
        <f t="shared" si="3"/>
        <v>1</v>
      </c>
      <c r="AB44" s="1256">
        <f t="shared" si="4"/>
        <v>1</v>
      </c>
      <c r="AC44" s="1804">
        <f t="shared" si="5"/>
        <v>1</v>
      </c>
    </row>
    <row r="45" spans="1:29" s="101"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69"/>
      <c r="M45" s="2423"/>
      <c r="N45" s="2423"/>
      <c r="O45" s="2423"/>
      <c r="P45" s="3520"/>
      <c r="Q45" s="524">
        <f t="shared" si="11"/>
        <v>111</v>
      </c>
      <c r="R45" s="656" t="s">
        <v>14</v>
      </c>
      <c r="S45" s="657">
        <f t="shared" si="12"/>
        <v>100</v>
      </c>
      <c r="T45" s="656" t="s">
        <v>14</v>
      </c>
      <c r="U45" s="657">
        <f t="shared" si="13"/>
        <v>100</v>
      </c>
      <c r="V45" s="656" t="s">
        <v>14</v>
      </c>
      <c r="W45" s="657">
        <f t="shared" si="14"/>
        <v>100</v>
      </c>
      <c r="X45" s="658"/>
      <c r="Y45" s="3522"/>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73"/>
      <c r="M46" s="2468"/>
      <c r="N46" s="2468"/>
      <c r="O46" s="2468"/>
      <c r="P46" s="3520"/>
      <c r="Q46" s="1255">
        <f t="shared" si="11"/>
        <v>111</v>
      </c>
      <c r="R46" s="659" t="s">
        <v>14</v>
      </c>
      <c r="S46" s="660">
        <f t="shared" si="12"/>
        <v>100</v>
      </c>
      <c r="T46" s="659" t="s">
        <v>14</v>
      </c>
      <c r="U46" s="660">
        <f t="shared" si="13"/>
        <v>100</v>
      </c>
      <c r="V46" s="659" t="s">
        <v>14</v>
      </c>
      <c r="W46" s="660">
        <f t="shared" si="14"/>
        <v>100</v>
      </c>
      <c r="X46" s="1257"/>
      <c r="Y46" s="3522"/>
      <c r="Z46" s="1256">
        <f t="shared" si="15"/>
        <v>111</v>
      </c>
      <c r="AA46" s="1256">
        <f t="shared" si="3"/>
        <v>1</v>
      </c>
      <c r="AB46" s="1256">
        <f t="shared" si="4"/>
        <v>1</v>
      </c>
      <c r="AC46" s="1804">
        <f t="shared" si="5"/>
        <v>1</v>
      </c>
    </row>
    <row r="47" spans="1:29" ht="15.75" thickBot="1">
      <c r="A47" s="409"/>
      <c r="B47" s="1741">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73"/>
      <c r="M47" s="2468"/>
      <c r="N47" s="2468"/>
      <c r="O47" s="2468"/>
      <c r="P47" s="3521"/>
      <c r="Q47" s="1255">
        <f t="shared" si="11"/>
        <v>111</v>
      </c>
      <c r="R47" s="659" t="s">
        <v>14</v>
      </c>
      <c r="S47" s="660">
        <f t="shared" si="12"/>
        <v>100</v>
      </c>
      <c r="T47" s="659" t="s">
        <v>14</v>
      </c>
      <c r="U47" s="660">
        <f t="shared" si="13"/>
        <v>100</v>
      </c>
      <c r="V47" s="659" t="s">
        <v>14</v>
      </c>
      <c r="W47" s="660">
        <f t="shared" si="14"/>
        <v>100</v>
      </c>
      <c r="X47" s="1257"/>
      <c r="Y47" s="3523"/>
      <c r="Z47" s="1256">
        <f t="shared" si="15"/>
        <v>111</v>
      </c>
      <c r="AA47" s="1256">
        <f t="shared" si="3"/>
        <v>1</v>
      </c>
      <c r="AB47" s="1256">
        <f t="shared" si="4"/>
        <v>1</v>
      </c>
      <c r="AC47" s="1804">
        <f t="shared" si="5"/>
        <v>1</v>
      </c>
    </row>
    <row r="48" spans="1:29" ht="15">
      <c r="A48" s="410" t="s">
        <v>1702</v>
      </c>
      <c r="B48" s="411"/>
      <c r="C48" s="1074" t="s">
        <v>0</v>
      </c>
      <c r="D48" s="412"/>
      <c r="E48" s="413"/>
      <c r="F48" s="414"/>
      <c r="G48" s="415"/>
      <c r="H48" s="416"/>
      <c r="I48" s="413"/>
      <c r="J48" s="416"/>
      <c r="K48" s="666"/>
      <c r="L48" s="2475"/>
      <c r="M48" s="2468"/>
      <c r="N48" s="2468"/>
      <c r="O48" s="2468"/>
      <c r="P48" s="3526" t="str">
        <f>A48</f>
        <v>成交单价（元/平方米）</v>
      </c>
      <c r="Q48" s="3515"/>
      <c r="R48" s="3516">
        <f>E48</f>
        <v>0</v>
      </c>
      <c r="S48" s="3516"/>
      <c r="T48" s="3516">
        <f>G48</f>
        <v>0</v>
      </c>
      <c r="U48" s="3516"/>
      <c r="V48" s="3516">
        <f>I48</f>
        <v>0</v>
      </c>
      <c r="W48" s="3516"/>
      <c r="X48" s="379"/>
      <c r="Y48" s="665"/>
      <c r="Z48" s="379"/>
      <c r="AA48" s="379"/>
      <c r="AB48" s="379"/>
      <c r="AC48" s="549"/>
    </row>
    <row r="49" spans="1:29" ht="15.75" thickBot="1">
      <c r="A49" s="417" t="s">
        <v>1787</v>
      </c>
      <c r="B49" s="418"/>
      <c r="C49" s="1075" t="e">
        <f>R50</f>
        <v>#DIV/0!</v>
      </c>
      <c r="D49" s="2133" t="s">
        <v>2132</v>
      </c>
      <c r="E49" s="1076" t="e">
        <f>R49</f>
        <v>#DIV/0!</v>
      </c>
      <c r="F49" s="2134"/>
      <c r="G49" s="1075" t="e">
        <f>T49</f>
        <v>#DIV/0!</v>
      </c>
      <c r="H49" s="2134"/>
      <c r="I49" s="1076" t="e">
        <f>V49</f>
        <v>#DIV/0!</v>
      </c>
      <c r="J49" s="2134"/>
      <c r="K49" s="2136">
        <f>F49+H49+J49</f>
        <v>0</v>
      </c>
      <c r="L49" s="2475"/>
      <c r="M49" s="2468"/>
      <c r="N49" s="2468"/>
      <c r="O49" s="2468"/>
      <c r="P49" s="3526" t="str">
        <f>A49</f>
        <v>比较价值（元/平方米）</v>
      </c>
      <c r="Q49" s="3515"/>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379"/>
      <c r="Y49" s="379"/>
      <c r="Z49" s="379"/>
      <c r="AA49" s="379"/>
      <c r="AB49" s="379"/>
      <c r="AC49" s="549"/>
    </row>
    <row r="50" spans="1:29" ht="15.75" thickBot="1">
      <c r="A50" s="421" t="s">
        <v>1788</v>
      </c>
      <c r="B50" s="422"/>
      <c r="C50" s="345" t="e">
        <f>R50</f>
        <v>#DIV/0!</v>
      </c>
      <c r="D50" s="345"/>
      <c r="E50" s="345"/>
      <c r="F50" s="345"/>
      <c r="G50" s="345"/>
      <c r="H50" s="345"/>
      <c r="I50" s="345"/>
      <c r="J50" s="423"/>
      <c r="K50" s="667"/>
      <c r="L50" s="2475"/>
      <c r="M50" s="2468"/>
      <c r="N50" s="2468"/>
      <c r="O50" s="2468"/>
      <c r="P50" s="3557" t="str">
        <f>A50</f>
        <v>估价对象XX用房的比较价值（楼面单价，元/平方米）</v>
      </c>
      <c r="Q50" s="3558"/>
      <c r="R50" s="3559" t="e">
        <f>IF(F1="售价",ROUND(IF(D49="简单平均",AVERAGE(R49:V49),R49*F49+T49*H49+V49*J49),0),ROUND(IF(D49="简单平均",AVERAGE(R49:V49),R49*F49+T49*H49+V49*J49),1))</f>
        <v>#DIV/0!</v>
      </c>
      <c r="S50" s="3559"/>
      <c r="T50" s="3559"/>
      <c r="U50" s="3559"/>
      <c r="V50" s="3559"/>
      <c r="W50" s="3559"/>
      <c r="X50" s="1790"/>
      <c r="Y50" s="1790"/>
      <c r="Z50" s="1790"/>
      <c r="AA50" s="1790"/>
      <c r="AB50" s="1790"/>
      <c r="AC50" s="1791"/>
    </row>
    <row r="51" spans="1:29">
      <c r="A51" s="2468"/>
      <c r="B51" s="2468"/>
      <c r="C51" s="2468"/>
      <c r="D51" s="2468"/>
      <c r="E51" s="2468"/>
      <c r="F51" s="2468"/>
      <c r="G51" s="2479"/>
      <c r="H51" s="2468"/>
      <c r="I51" s="2468"/>
      <c r="J51" s="2468"/>
      <c r="K51" s="2480"/>
      <c r="L51" s="2476"/>
      <c r="M51" s="2468"/>
      <c r="N51" s="2468"/>
      <c r="O51" s="2468"/>
      <c r="P51" s="2505"/>
      <c r="Q51" s="2468"/>
      <c r="R51" s="2468"/>
      <c r="S51" s="2468"/>
      <c r="T51" s="2468"/>
      <c r="U51" s="2468"/>
      <c r="V51" s="2468"/>
      <c r="W51" s="2468"/>
      <c r="X51" s="2468"/>
      <c r="Y51" s="2468"/>
      <c r="Z51" s="2468"/>
      <c r="AA51" s="2468"/>
      <c r="AB51" s="2468"/>
      <c r="AC51" s="2468"/>
    </row>
    <row r="52" spans="1:29">
      <c r="A52" s="2468"/>
      <c r="B52" s="2468"/>
      <c r="C52" s="2468"/>
      <c r="D52" s="2468"/>
      <c r="E52" s="2468"/>
      <c r="F52" s="2468"/>
      <c r="G52" s="2468"/>
      <c r="H52" s="2468"/>
      <c r="I52" s="2468"/>
      <c r="J52" s="2468"/>
      <c r="K52" s="2480"/>
      <c r="L52" s="2476"/>
      <c r="M52" s="2468"/>
      <c r="N52" s="2468"/>
      <c r="O52" s="2468"/>
      <c r="P52" s="2505"/>
      <c r="Q52" s="2468"/>
      <c r="R52" s="2468"/>
      <c r="S52" s="2468"/>
      <c r="T52" s="2468"/>
      <c r="U52" s="2468"/>
      <c r="V52" s="2468"/>
      <c r="W52" s="2468"/>
      <c r="X52" s="2468"/>
      <c r="Y52" s="2468"/>
      <c r="Z52" s="2468"/>
      <c r="AA52" s="2468"/>
      <c r="AB52" s="2468"/>
      <c r="AC52" s="2468"/>
    </row>
    <row r="53" spans="1:29" ht="13.5" customHeight="1">
      <c r="A53" s="2468"/>
      <c r="B53" s="2468"/>
      <c r="C53" s="426" t="s">
        <v>1789</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0"/>
      <c r="L53" s="2476"/>
      <c r="M53" s="2468"/>
      <c r="N53" s="2468"/>
      <c r="O53" s="2468"/>
      <c r="P53" s="2505"/>
      <c r="Q53" s="2468"/>
      <c r="R53" s="2468"/>
      <c r="S53" s="2468"/>
      <c r="T53" s="2468"/>
      <c r="U53" s="2468"/>
      <c r="V53" s="2468"/>
      <c r="W53" s="2468"/>
      <c r="X53" s="2468"/>
      <c r="Y53" s="2468"/>
      <c r="Z53" s="2468"/>
      <c r="AA53" s="2468"/>
      <c r="AB53" s="2468"/>
      <c r="AC53" s="2468"/>
    </row>
    <row r="54" spans="1:29" ht="13.5" customHeight="1">
      <c r="A54" s="2468"/>
      <c r="B54" s="2468"/>
      <c r="C54" s="426" t="s">
        <v>1790</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0"/>
      <c r="L54" s="2476"/>
      <c r="M54" s="2468"/>
      <c r="N54" s="2468"/>
      <c r="O54" s="2468"/>
      <c r="P54" s="2505"/>
      <c r="Q54" s="2468"/>
      <c r="R54" s="2468"/>
      <c r="S54" s="2468"/>
      <c r="T54" s="2468"/>
      <c r="U54" s="2468"/>
      <c r="V54" s="2468"/>
      <c r="W54" s="2468"/>
      <c r="X54" s="2468"/>
      <c r="Y54" s="2468"/>
      <c r="Z54" s="2468"/>
      <c r="AA54" s="2468"/>
      <c r="AB54" s="2468"/>
      <c r="AC54" s="2468"/>
    </row>
    <row r="55" spans="1:29" s="431" customFormat="1" ht="13.5" customHeight="1">
      <c r="A55" s="2478"/>
      <c r="B55" s="2478"/>
      <c r="C55" s="426" t="s">
        <v>1791</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83"/>
      <c r="L55" s="2477"/>
      <c r="M55" s="2478"/>
      <c r="N55" s="2478"/>
      <c r="O55" s="2478"/>
      <c r="P55" s="2506"/>
      <c r="Q55" s="2478"/>
      <c r="R55" s="2478"/>
      <c r="S55" s="2478"/>
      <c r="T55" s="2478"/>
      <c r="U55" s="2478"/>
      <c r="V55" s="2478"/>
      <c r="W55" s="2478"/>
      <c r="X55" s="2478"/>
      <c r="Y55" s="2478"/>
      <c r="Z55" s="2478"/>
      <c r="AA55" s="2478"/>
      <c r="AB55" s="2478"/>
      <c r="AC55" s="2478"/>
    </row>
    <row r="56" spans="1:29" s="431" customFormat="1">
      <c r="A56" s="2478"/>
      <c r="B56" s="2481"/>
      <c r="C56" s="2482"/>
      <c r="D56" s="2478"/>
      <c r="E56" s="2478"/>
      <c r="F56" s="2478"/>
      <c r="G56" s="2478"/>
      <c r="H56" s="2478"/>
      <c r="I56" s="2478"/>
      <c r="J56" s="2478"/>
      <c r="K56" s="2483"/>
      <c r="L56" s="2477"/>
      <c r="M56" s="2478"/>
      <c r="N56" s="2478"/>
      <c r="O56" s="2478"/>
      <c r="P56" s="2506"/>
      <c r="Q56" s="2478"/>
      <c r="R56" s="2478"/>
      <c r="S56" s="2478"/>
      <c r="T56" s="2478"/>
      <c r="U56" s="2478"/>
      <c r="V56" s="2478"/>
      <c r="W56" s="2478"/>
      <c r="X56" s="2478"/>
      <c r="Y56" s="2478"/>
      <c r="Z56" s="2478"/>
      <c r="AA56" s="2478"/>
      <c r="AB56" s="2478"/>
      <c r="AC56" s="2478"/>
    </row>
    <row r="57" spans="1:29">
      <c r="A57" s="2468"/>
      <c r="B57" s="2481"/>
      <c r="C57" s="2482"/>
      <c r="D57" s="2468"/>
      <c r="E57" s="2468"/>
      <c r="F57" s="2468"/>
      <c r="G57" s="2468"/>
      <c r="H57" s="2468"/>
      <c r="I57" s="2468"/>
      <c r="J57" s="2468"/>
      <c r="K57" s="2480"/>
      <c r="L57" s="2476"/>
      <c r="M57" s="2468"/>
      <c r="N57" s="2468"/>
      <c r="O57" s="2468"/>
      <c r="P57" s="2505"/>
      <c r="Q57" s="2468"/>
      <c r="R57" s="2468"/>
      <c r="S57" s="2468"/>
      <c r="T57" s="2468"/>
      <c r="U57" s="2468"/>
      <c r="V57" s="2468"/>
      <c r="W57" s="2468"/>
      <c r="X57" s="2468"/>
      <c r="Y57" s="2468"/>
      <c r="Z57" s="2468"/>
      <c r="AA57" s="2468"/>
      <c r="AB57" s="2468"/>
      <c r="AC57" s="2468"/>
    </row>
    <row r="58" spans="1:29" ht="21.75" thickBot="1">
      <c r="A58" s="650" t="s">
        <v>1792</v>
      </c>
      <c r="B58" s="379"/>
      <c r="C58" s="651"/>
      <c r="D58" s="651"/>
      <c r="E58" s="651"/>
      <c r="F58" s="652"/>
      <c r="G58" s="652"/>
      <c r="H58" s="651"/>
      <c r="I58" s="651"/>
      <c r="J58" s="651"/>
      <c r="K58" s="653"/>
      <c r="L58" s="881"/>
      <c r="M58" s="879"/>
      <c r="N58" s="2518"/>
      <c r="O58" s="2518"/>
      <c r="P58" s="2507"/>
      <c r="Q58" s="2489"/>
      <c r="R58" s="2468"/>
      <c r="S58" s="2468"/>
      <c r="T58" s="2468"/>
      <c r="U58" s="2468"/>
      <c r="V58" s="2468"/>
      <c r="W58" s="2468"/>
      <c r="X58" s="2468"/>
      <c r="Y58" s="2468"/>
      <c r="Z58" s="2468"/>
      <c r="AA58" s="2468"/>
      <c r="AB58" s="2468"/>
      <c r="AC58" s="2468"/>
    </row>
    <row r="59" spans="1:29" s="436" customFormat="1" ht="15">
      <c r="A59" s="434" t="s">
        <v>1673</v>
      </c>
      <c r="B59" s="435"/>
      <c r="C59" s="1096" t="str">
        <f>YEAR(C7)&amp;"-"&amp;MONTH(C7)</f>
        <v>2024-5</v>
      </c>
      <c r="D59" s="1097">
        <f>EDATE(C59,-1)</f>
        <v>45383</v>
      </c>
      <c r="E59" s="1097">
        <f>EDATE(D59,-1)</f>
        <v>45352</v>
      </c>
      <c r="F59" s="1097">
        <f t="shared" ref="F59:O59" si="16">EDATE(E59,-1)</f>
        <v>45323</v>
      </c>
      <c r="G59" s="1097">
        <f t="shared" si="16"/>
        <v>45292</v>
      </c>
      <c r="H59" s="1097">
        <f t="shared" si="16"/>
        <v>45261</v>
      </c>
      <c r="I59" s="1097">
        <f t="shared" si="16"/>
        <v>45231</v>
      </c>
      <c r="J59" s="1097">
        <f t="shared" si="16"/>
        <v>45200</v>
      </c>
      <c r="K59" s="1097">
        <f t="shared" si="16"/>
        <v>45170</v>
      </c>
      <c r="L59" s="1097">
        <f t="shared" si="16"/>
        <v>45139</v>
      </c>
      <c r="M59" s="1097">
        <f t="shared" si="16"/>
        <v>45108</v>
      </c>
      <c r="N59" s="1097">
        <f t="shared" si="16"/>
        <v>45078</v>
      </c>
      <c r="O59" s="1097">
        <f t="shared" si="16"/>
        <v>45047</v>
      </c>
      <c r="P59" s="2508"/>
      <c r="Q59" s="2491"/>
      <c r="R59" s="2491"/>
      <c r="S59" s="2491"/>
      <c r="T59" s="2491"/>
      <c r="U59" s="2491"/>
      <c r="V59" s="2491"/>
      <c r="W59" s="2491"/>
      <c r="X59" s="2491"/>
      <c r="Y59" s="2491"/>
      <c r="Z59" s="2491"/>
      <c r="AA59" s="2491"/>
      <c r="AB59" s="2491"/>
      <c r="AC59" s="2491"/>
    </row>
    <row r="60" spans="1:29" s="101" customFormat="1" ht="15">
      <c r="A60" s="437"/>
      <c r="B60" s="438"/>
      <c r="C60" s="1095">
        <v>100</v>
      </c>
      <c r="D60" s="440"/>
      <c r="E60" s="440"/>
      <c r="F60" s="440"/>
      <c r="G60" s="440"/>
      <c r="H60" s="440"/>
      <c r="I60" s="440"/>
      <c r="J60" s="440"/>
      <c r="K60" s="440"/>
      <c r="L60" s="440"/>
      <c r="M60" s="441"/>
      <c r="N60" s="440"/>
      <c r="O60" s="441"/>
      <c r="P60" s="2509"/>
      <c r="Q60" s="2423"/>
      <c r="R60" s="2423"/>
      <c r="S60" s="2423"/>
      <c r="T60" s="2423"/>
      <c r="U60" s="2423"/>
      <c r="V60" s="2423"/>
      <c r="W60" s="2423"/>
      <c r="X60" s="2423"/>
      <c r="Y60" s="2423"/>
      <c r="Z60" s="2423"/>
      <c r="AA60" s="2423"/>
      <c r="AB60" s="2423"/>
      <c r="AC60" s="2423"/>
    </row>
    <row r="61" spans="1:29" s="101" customFormat="1" ht="15.75" thickBot="1">
      <c r="A61" s="443" t="s">
        <v>1710</v>
      </c>
      <c r="B61" s="444"/>
      <c r="C61" s="445"/>
      <c r="D61" s="446"/>
      <c r="E61" s="446"/>
      <c r="F61" s="446"/>
      <c r="G61" s="446"/>
      <c r="H61" s="446"/>
      <c r="I61" s="446"/>
      <c r="J61" s="446"/>
      <c r="K61" s="446"/>
      <c r="L61" s="446"/>
      <c r="M61" s="447"/>
      <c r="N61" s="446"/>
      <c r="O61" s="447"/>
      <c r="P61" s="2509"/>
      <c r="Q61" s="2489"/>
      <c r="R61" s="2423"/>
      <c r="S61" s="2423"/>
      <c r="T61" s="2423"/>
      <c r="U61" s="2423"/>
      <c r="V61" s="2423"/>
      <c r="W61" s="2423"/>
      <c r="X61" s="2423"/>
      <c r="Y61" s="2423"/>
      <c r="Z61" s="2423"/>
      <c r="AA61" s="2423"/>
      <c r="AB61" s="2423"/>
      <c r="AC61" s="2423"/>
    </row>
    <row r="62" spans="1:29" s="101" customFormat="1" ht="15">
      <c r="A62" s="449" t="s">
        <v>1675</v>
      </c>
      <c r="B62" s="438"/>
      <c r="C62" s="450" t="s">
        <v>1770</v>
      </c>
      <c r="D62" s="31"/>
      <c r="E62" s="31"/>
      <c r="F62" s="31"/>
      <c r="G62" s="31"/>
      <c r="H62" s="31"/>
      <c r="I62" s="31"/>
      <c r="J62" s="31"/>
      <c r="K62" s="31"/>
      <c r="L62" s="451"/>
      <c r="M62" s="452"/>
      <c r="N62" s="2501"/>
      <c r="O62" s="2501"/>
      <c r="P62" s="2510"/>
      <c r="Q62" s="2489"/>
      <c r="R62" s="2423"/>
      <c r="S62" s="2423"/>
      <c r="T62" s="2423"/>
      <c r="U62" s="2423"/>
      <c r="V62" s="2423"/>
      <c r="W62" s="2423"/>
      <c r="X62" s="2423"/>
      <c r="Y62" s="2423"/>
      <c r="Z62" s="2423"/>
      <c r="AA62" s="2423"/>
      <c r="AB62" s="2423"/>
      <c r="AC62" s="2423"/>
    </row>
    <row r="63" spans="1:29" s="101" customFormat="1" ht="15.75" thickBot="1">
      <c r="A63" s="449"/>
      <c r="B63" s="438"/>
      <c r="C63" s="439">
        <v>100</v>
      </c>
      <c r="D63" s="440"/>
      <c r="E63" s="440"/>
      <c r="F63" s="440"/>
      <c r="G63" s="440"/>
      <c r="H63" s="440"/>
      <c r="I63" s="440"/>
      <c r="J63" s="440"/>
      <c r="K63" s="440"/>
      <c r="L63" s="440"/>
      <c r="M63" s="442"/>
      <c r="N63" s="2501"/>
      <c r="O63" s="2501"/>
      <c r="P63" s="2509"/>
      <c r="Q63" s="2489"/>
      <c r="R63" s="2423"/>
      <c r="S63" s="2423"/>
      <c r="T63" s="2423"/>
      <c r="U63" s="2423"/>
      <c r="V63" s="2423"/>
      <c r="W63" s="2423"/>
      <c r="X63" s="2423"/>
      <c r="Y63" s="2423"/>
      <c r="Z63" s="2423"/>
      <c r="AA63" s="2423"/>
      <c r="AB63" s="2423"/>
      <c r="AC63" s="2423"/>
    </row>
    <row r="64" spans="1:29">
      <c r="A64" s="373" t="s">
        <v>1713</v>
      </c>
      <c r="B64" s="454" t="s">
        <v>1679</v>
      </c>
      <c r="C64" s="455">
        <f>C9</f>
        <v>0</v>
      </c>
      <c r="D64" s="456"/>
      <c r="E64" s="456"/>
      <c r="F64" s="456"/>
      <c r="G64" s="456"/>
      <c r="H64" s="456"/>
      <c r="I64" s="456"/>
      <c r="J64" s="456"/>
      <c r="K64" s="457"/>
      <c r="L64" s="458"/>
      <c r="M64" s="459"/>
      <c r="N64" s="2502"/>
      <c r="O64" s="2502"/>
      <c r="P64" s="2511"/>
      <c r="Q64" s="2489"/>
      <c r="R64" s="2468"/>
      <c r="S64" s="2468"/>
      <c r="T64" s="2468"/>
      <c r="U64" s="2468"/>
      <c r="V64" s="2468"/>
      <c r="W64" s="2468"/>
      <c r="X64" s="2468"/>
      <c r="Y64" s="2468"/>
      <c r="Z64" s="2468"/>
      <c r="AA64" s="2468"/>
      <c r="AB64" s="2468"/>
      <c r="AC64" s="2468"/>
    </row>
    <row r="65" spans="1:29" ht="15.75" thickBot="1">
      <c r="A65" s="361"/>
      <c r="B65" s="460"/>
      <c r="C65" s="461">
        <v>100</v>
      </c>
      <c r="D65" s="461"/>
      <c r="E65" s="461"/>
      <c r="F65" s="461"/>
      <c r="G65" s="461"/>
      <c r="H65" s="461"/>
      <c r="I65" s="461"/>
      <c r="J65" s="461"/>
      <c r="K65" s="461"/>
      <c r="L65" s="461"/>
      <c r="M65" s="462"/>
      <c r="N65" s="2503"/>
      <c r="O65" s="2503"/>
      <c r="P65" s="2511"/>
      <c r="Q65" s="2489"/>
      <c r="R65" s="2468"/>
      <c r="S65" s="2468"/>
      <c r="T65" s="2468"/>
      <c r="U65" s="2468"/>
      <c r="V65" s="2468"/>
      <c r="W65" s="2468"/>
      <c r="X65" s="2468"/>
      <c r="Y65" s="2468"/>
      <c r="Z65" s="2468"/>
      <c r="AA65" s="2468"/>
      <c r="AB65" s="2468"/>
      <c r="AC65" s="2468"/>
    </row>
    <row r="66" spans="1:29" ht="27.75" thickTop="1">
      <c r="A66" s="361"/>
      <c r="B66" s="463" t="s">
        <v>1682</v>
      </c>
      <c r="C66" s="507"/>
      <c r="D66" s="507"/>
      <c r="E66" s="507"/>
      <c r="F66" s="507"/>
      <c r="G66" s="507"/>
      <c r="H66" s="507"/>
      <c r="I66" s="507"/>
      <c r="J66" s="507"/>
      <c r="K66" s="508"/>
      <c r="L66" s="509"/>
      <c r="M66" s="510"/>
      <c r="N66" s="2502"/>
      <c r="O66" s="2502"/>
      <c r="P66" s="2511"/>
      <c r="Q66" s="2489"/>
      <c r="R66" s="2468"/>
      <c r="S66" s="2468"/>
      <c r="T66" s="2468"/>
      <c r="U66" s="2468"/>
      <c r="V66" s="2468"/>
      <c r="W66" s="2468"/>
      <c r="X66" s="2468"/>
      <c r="Y66" s="2468"/>
      <c r="Z66" s="2468"/>
      <c r="AA66" s="2468"/>
      <c r="AB66" s="2468"/>
      <c r="AC66" s="2468"/>
    </row>
    <row r="67" spans="1:29" ht="15.75" thickBot="1">
      <c r="A67" s="361"/>
      <c r="B67" s="468"/>
      <c r="C67" s="461"/>
      <c r="D67" s="461"/>
      <c r="E67" s="461"/>
      <c r="F67" s="461"/>
      <c r="G67" s="461"/>
      <c r="H67" s="461"/>
      <c r="I67" s="461"/>
      <c r="J67" s="461"/>
      <c r="K67" s="461"/>
      <c r="L67" s="461"/>
      <c r="M67" s="462"/>
      <c r="N67" s="2503"/>
      <c r="O67" s="2503"/>
      <c r="P67" s="2511"/>
      <c r="Q67" s="2489"/>
      <c r="R67" s="2468"/>
      <c r="S67" s="2468"/>
      <c r="T67" s="2468"/>
      <c r="U67" s="2468"/>
      <c r="V67" s="2468"/>
      <c r="W67" s="2468"/>
      <c r="X67" s="2468"/>
      <c r="Y67" s="2468"/>
      <c r="Z67" s="2468"/>
      <c r="AA67" s="2468"/>
      <c r="AB67" s="2468"/>
      <c r="AC67" s="2468"/>
    </row>
    <row r="68" spans="1:29" ht="15.75" thickTop="1">
      <c r="A68" s="361"/>
      <c r="B68" s="471" t="s">
        <v>1683</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03"/>
      <c r="O68" s="2503"/>
      <c r="P68" s="2511"/>
      <c r="Q68" s="2489"/>
      <c r="R68" s="2468"/>
      <c r="S68" s="2468"/>
      <c r="T68" s="2468"/>
      <c r="U68" s="2468"/>
      <c r="V68" s="2468"/>
      <c r="W68" s="2468"/>
      <c r="X68" s="2468"/>
      <c r="Y68" s="2468"/>
      <c r="Z68" s="2468"/>
      <c r="AA68" s="2468"/>
      <c r="AB68" s="2468"/>
      <c r="AC68" s="2468"/>
    </row>
    <row r="69" spans="1:29" ht="15">
      <c r="A69" s="361"/>
      <c r="B69" s="473"/>
      <c r="C69" s="474">
        <v>0</v>
      </c>
      <c r="D69" s="474">
        <v>3</v>
      </c>
      <c r="E69" s="474"/>
      <c r="F69" s="474"/>
      <c r="G69" s="474"/>
      <c r="H69" s="474"/>
      <c r="I69" s="474"/>
      <c r="J69" s="474"/>
      <c r="K69" s="475"/>
      <c r="L69" s="476"/>
      <c r="M69" s="477"/>
      <c r="N69" s="2502"/>
      <c r="O69" s="2502"/>
      <c r="P69" s="2511"/>
      <c r="Q69" s="2489"/>
      <c r="R69" s="2468"/>
      <c r="S69" s="2468"/>
      <c r="T69" s="2468"/>
      <c r="U69" s="2468"/>
      <c r="V69" s="2468"/>
      <c r="W69" s="2468"/>
      <c r="X69" s="2468"/>
      <c r="Y69" s="2468"/>
      <c r="Z69" s="2468"/>
      <c r="AA69" s="2468"/>
      <c r="AB69" s="2468"/>
      <c r="AC69" s="2468"/>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03"/>
      <c r="O70" s="2503"/>
      <c r="P70" s="2511"/>
      <c r="Q70" s="2489"/>
      <c r="R70" s="2468"/>
      <c r="S70" s="2468"/>
      <c r="T70" s="2468"/>
      <c r="U70" s="2468"/>
      <c r="V70" s="2468"/>
      <c r="W70" s="2468"/>
      <c r="X70" s="2468"/>
      <c r="Y70" s="2468"/>
      <c r="Z70" s="2468"/>
      <c r="AA70" s="2468"/>
      <c r="AB70" s="2468"/>
      <c r="AC70" s="2468"/>
    </row>
    <row r="71" spans="1:29" s="402" customFormat="1" ht="15.75" thickTop="1">
      <c r="A71" s="478"/>
      <c r="B71" s="463">
        <f>B12</f>
        <v>111</v>
      </c>
      <c r="C71" s="479"/>
      <c r="D71" s="479"/>
      <c r="E71" s="479"/>
      <c r="F71" s="479"/>
      <c r="G71" s="479"/>
      <c r="H71" s="480"/>
      <c r="I71" s="480"/>
      <c r="J71" s="480"/>
      <c r="K71" s="480"/>
      <c r="L71" s="481"/>
      <c r="M71" s="482"/>
      <c r="N71" s="2504"/>
      <c r="O71" s="2504"/>
      <c r="P71" s="2512"/>
      <c r="Q71" s="2496"/>
      <c r="R71" s="2474"/>
      <c r="S71" s="2474"/>
      <c r="T71" s="2474"/>
      <c r="U71" s="2474"/>
      <c r="V71" s="2474"/>
      <c r="W71" s="2474"/>
      <c r="X71" s="2474"/>
      <c r="Y71" s="2474"/>
      <c r="Z71" s="2474"/>
      <c r="AA71" s="2474"/>
      <c r="AB71" s="2474"/>
      <c r="AC71" s="2474"/>
    </row>
    <row r="72" spans="1:29" s="402" customFormat="1" ht="15.75" thickBot="1">
      <c r="A72" s="478"/>
      <c r="B72" s="468"/>
      <c r="C72" s="485"/>
      <c r="D72" s="461"/>
      <c r="E72" s="461"/>
      <c r="F72" s="461"/>
      <c r="G72" s="461"/>
      <c r="H72" s="461"/>
      <c r="I72" s="461"/>
      <c r="J72" s="461"/>
      <c r="K72" s="461"/>
      <c r="L72" s="461"/>
      <c r="M72" s="462"/>
      <c r="N72" s="2503"/>
      <c r="O72" s="2503"/>
      <c r="P72" s="2512"/>
      <c r="Q72" s="2496"/>
      <c r="R72" s="2474"/>
      <c r="S72" s="2474"/>
      <c r="T72" s="2474"/>
      <c r="U72" s="2474"/>
      <c r="V72" s="2474"/>
      <c r="W72" s="2474"/>
      <c r="X72" s="2474"/>
      <c r="Y72" s="2474"/>
      <c r="Z72" s="2474"/>
      <c r="AA72" s="2474"/>
      <c r="AB72" s="2474"/>
      <c r="AC72" s="2474"/>
    </row>
    <row r="73" spans="1:29" s="402" customFormat="1" ht="15.75" thickTop="1">
      <c r="A73" s="478"/>
      <c r="B73" s="463">
        <f>B13</f>
        <v>111</v>
      </c>
      <c r="C73" s="479"/>
      <c r="D73" s="479"/>
      <c r="E73" s="479"/>
      <c r="F73" s="479"/>
      <c r="G73" s="479"/>
      <c r="H73" s="480"/>
      <c r="I73" s="480"/>
      <c r="J73" s="480"/>
      <c r="K73" s="480"/>
      <c r="L73" s="481"/>
      <c r="M73" s="482"/>
      <c r="N73" s="2504"/>
      <c r="O73" s="2504"/>
      <c r="P73" s="2513"/>
      <c r="Q73" s="2498"/>
      <c r="R73" s="2474"/>
      <c r="S73" s="2474"/>
      <c r="T73" s="2474"/>
      <c r="U73" s="2474"/>
      <c r="V73" s="2474"/>
      <c r="W73" s="2474"/>
      <c r="X73" s="2474"/>
      <c r="Y73" s="2474"/>
      <c r="Z73" s="2474"/>
      <c r="AA73" s="2474"/>
      <c r="AB73" s="2474"/>
      <c r="AC73" s="2474"/>
    </row>
    <row r="74" spans="1:29" s="402" customFormat="1" ht="15.75" thickBot="1">
      <c r="A74" s="478"/>
      <c r="B74" s="468"/>
      <c r="C74" s="485"/>
      <c r="D74" s="485"/>
      <c r="E74" s="485"/>
      <c r="F74" s="485"/>
      <c r="G74" s="485"/>
      <c r="H74" s="487"/>
      <c r="I74" s="487"/>
      <c r="J74" s="487"/>
      <c r="K74" s="487"/>
      <c r="L74" s="487"/>
      <c r="M74" s="488"/>
      <c r="N74" s="2504"/>
      <c r="O74" s="2504"/>
      <c r="P74" s="2512"/>
      <c r="Q74" s="2496"/>
      <c r="R74" s="2474"/>
      <c r="S74" s="2474"/>
      <c r="T74" s="2474"/>
      <c r="U74" s="2474"/>
      <c r="V74" s="2474"/>
      <c r="W74" s="2474"/>
      <c r="X74" s="2474"/>
      <c r="Y74" s="2474"/>
      <c r="Z74" s="2474"/>
      <c r="AA74" s="2474"/>
      <c r="AB74" s="2474"/>
      <c r="AC74" s="2474"/>
    </row>
    <row r="75" spans="1:29" s="402" customFormat="1" ht="15.75" thickTop="1">
      <c r="A75" s="478"/>
      <c r="B75" s="471">
        <f>B14</f>
        <v>111</v>
      </c>
      <c r="C75" s="31"/>
      <c r="D75" s="31"/>
      <c r="E75" s="31"/>
      <c r="F75" s="31"/>
      <c r="G75" s="31"/>
      <c r="H75" s="489"/>
      <c r="I75" s="489"/>
      <c r="J75" s="489"/>
      <c r="K75" s="489"/>
      <c r="L75" s="490"/>
      <c r="M75" s="491"/>
      <c r="N75" s="2504"/>
      <c r="O75" s="2504"/>
      <c r="P75" s="2514"/>
      <c r="Q75" s="2496"/>
      <c r="R75" s="2474"/>
      <c r="S75" s="2474"/>
      <c r="T75" s="2474"/>
      <c r="U75" s="2474"/>
      <c r="V75" s="2474"/>
      <c r="W75" s="2474"/>
      <c r="X75" s="2474"/>
      <c r="Y75" s="2474"/>
      <c r="Z75" s="2474"/>
      <c r="AA75" s="2474"/>
      <c r="AB75" s="2474"/>
      <c r="AC75" s="2474"/>
    </row>
    <row r="76" spans="1:29" s="402" customFormat="1" ht="15.75" thickBot="1">
      <c r="A76" s="493"/>
      <c r="B76" s="494"/>
      <c r="C76" s="495"/>
      <c r="D76" s="495"/>
      <c r="E76" s="495"/>
      <c r="F76" s="495"/>
      <c r="G76" s="495"/>
      <c r="H76" s="496"/>
      <c r="I76" s="496"/>
      <c r="J76" s="496"/>
      <c r="K76" s="496"/>
      <c r="L76" s="496"/>
      <c r="M76" s="497"/>
      <c r="N76" s="2504"/>
      <c r="O76" s="2504"/>
      <c r="P76" s="2512"/>
      <c r="Q76" s="2496"/>
      <c r="R76" s="2474"/>
      <c r="S76" s="2474"/>
      <c r="T76" s="2474"/>
      <c r="U76" s="2474"/>
      <c r="V76" s="2474"/>
      <c r="W76" s="2474"/>
      <c r="X76" s="2474"/>
      <c r="Y76" s="2474"/>
      <c r="Z76" s="2474"/>
      <c r="AA76" s="2474"/>
      <c r="AB76" s="2474"/>
      <c r="AC76" s="2474"/>
    </row>
    <row r="77" spans="1:29">
      <c r="A77" s="373" t="s">
        <v>1684</v>
      </c>
      <c r="B77" s="454" t="s">
        <v>1815</v>
      </c>
      <c r="C77" s="498" t="s">
        <v>1715</v>
      </c>
      <c r="D77" s="498" t="s">
        <v>1716</v>
      </c>
      <c r="E77" s="498" t="s">
        <v>1717</v>
      </c>
      <c r="F77" s="498" t="s">
        <v>1718</v>
      </c>
      <c r="G77" s="498" t="s">
        <v>1719</v>
      </c>
      <c r="H77" s="455"/>
      <c r="I77" s="455"/>
      <c r="J77" s="455"/>
      <c r="K77" s="499"/>
      <c r="L77" s="500"/>
      <c r="M77" s="501"/>
      <c r="N77" s="2502"/>
      <c r="O77" s="2502"/>
      <c r="P77" s="2515"/>
      <c r="Q77" s="2489"/>
      <c r="R77" s="2468"/>
      <c r="S77" s="2468"/>
      <c r="T77" s="2468"/>
      <c r="U77" s="2468"/>
      <c r="V77" s="2468"/>
      <c r="W77" s="2468"/>
      <c r="X77" s="2468"/>
      <c r="Y77" s="2468"/>
      <c r="Z77" s="2468"/>
      <c r="AA77" s="2468"/>
      <c r="AB77" s="2468"/>
      <c r="AC77" s="2468"/>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03"/>
      <c r="O78" s="2503"/>
      <c r="P78" s="2511"/>
      <c r="Q78" s="2489"/>
      <c r="R78" s="2468"/>
      <c r="S78" s="2468"/>
      <c r="T78" s="2468"/>
      <c r="U78" s="2468"/>
      <c r="V78" s="2468"/>
      <c r="W78" s="2468"/>
      <c r="X78" s="2468"/>
      <c r="Y78" s="2468"/>
      <c r="Z78" s="2468"/>
      <c r="AA78" s="2468"/>
      <c r="AB78" s="2468"/>
      <c r="AC78" s="2468"/>
    </row>
    <row r="79" spans="1:29" ht="15.75" thickTop="1">
      <c r="A79" s="361"/>
      <c r="B79" s="463" t="s">
        <v>1720</v>
      </c>
      <c r="C79" s="503" t="s">
        <v>1715</v>
      </c>
      <c r="D79" s="503" t="s">
        <v>1716</v>
      </c>
      <c r="E79" s="503" t="s">
        <v>1717</v>
      </c>
      <c r="F79" s="503" t="s">
        <v>1718</v>
      </c>
      <c r="G79" s="503" t="s">
        <v>1719</v>
      </c>
      <c r="H79" s="464"/>
      <c r="I79" s="464"/>
      <c r="J79" s="464"/>
      <c r="K79" s="465"/>
      <c r="L79" s="466"/>
      <c r="M79" s="467"/>
      <c r="N79" s="2502"/>
      <c r="O79" s="2502"/>
      <c r="P79" s="2511"/>
      <c r="Q79" s="2489"/>
      <c r="R79" s="2468"/>
      <c r="S79" s="2468"/>
      <c r="T79" s="2468"/>
      <c r="U79" s="2468"/>
      <c r="V79" s="2468"/>
      <c r="W79" s="2468"/>
      <c r="X79" s="2468"/>
      <c r="Y79" s="2468"/>
      <c r="Z79" s="2468"/>
      <c r="AA79" s="2468"/>
      <c r="AB79" s="2468"/>
      <c r="AC79" s="2468"/>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03"/>
      <c r="O80" s="2503"/>
      <c r="P80" s="2511"/>
      <c r="Q80" s="2489"/>
      <c r="R80" s="2468"/>
      <c r="S80" s="2468"/>
      <c r="T80" s="2468"/>
      <c r="U80" s="2468"/>
      <c r="V80" s="2468"/>
      <c r="W80" s="2468"/>
      <c r="X80" s="2468"/>
      <c r="Y80" s="2468"/>
      <c r="Z80" s="2468"/>
      <c r="AA80" s="2468"/>
      <c r="AB80" s="2468"/>
      <c r="AC80" s="2468"/>
    </row>
    <row r="81" spans="1:29" ht="15.75" thickTop="1">
      <c r="A81" s="361"/>
      <c r="B81" s="463" t="s">
        <v>1721</v>
      </c>
      <c r="C81" s="503" t="s">
        <v>1715</v>
      </c>
      <c r="D81" s="503" t="s">
        <v>1716</v>
      </c>
      <c r="E81" s="503" t="s">
        <v>1717</v>
      </c>
      <c r="F81" s="503" t="s">
        <v>1718</v>
      </c>
      <c r="G81" s="503" t="s">
        <v>1719</v>
      </c>
      <c r="H81" s="464"/>
      <c r="I81" s="464"/>
      <c r="J81" s="464"/>
      <c r="K81" s="465"/>
      <c r="L81" s="466"/>
      <c r="M81" s="467"/>
      <c r="N81" s="2502"/>
      <c r="O81" s="2502"/>
      <c r="P81" s="2511"/>
      <c r="Q81" s="2489"/>
      <c r="R81" s="2468"/>
      <c r="S81" s="2468"/>
      <c r="T81" s="2468"/>
      <c r="U81" s="2468"/>
      <c r="V81" s="2468"/>
      <c r="W81" s="2468"/>
      <c r="X81" s="2468"/>
      <c r="Y81" s="2468"/>
      <c r="Z81" s="2468"/>
      <c r="AA81" s="2468"/>
      <c r="AB81" s="2468"/>
      <c r="AC81" s="2468"/>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03"/>
      <c r="O82" s="2503"/>
      <c r="P82" s="2511"/>
      <c r="Q82" s="2489"/>
      <c r="R82" s="2468"/>
      <c r="S82" s="2468"/>
      <c r="T82" s="2468"/>
      <c r="U82" s="2468"/>
      <c r="V82" s="2468"/>
      <c r="W82" s="2468"/>
      <c r="X82" s="2468"/>
      <c r="Y82" s="2468"/>
      <c r="Z82" s="2468"/>
      <c r="AA82" s="2468"/>
      <c r="AB82" s="2468"/>
      <c r="AC82" s="2468"/>
    </row>
    <row r="83" spans="1:29" ht="15.75" thickTop="1">
      <c r="A83" s="361"/>
      <c r="B83" s="471" t="s">
        <v>1807</v>
      </c>
      <c r="C83" s="575" t="s">
        <v>1793</v>
      </c>
      <c r="D83" s="575" t="s">
        <v>1794</v>
      </c>
      <c r="E83" s="575" t="s">
        <v>1795</v>
      </c>
      <c r="F83" s="575" t="s">
        <v>1796</v>
      </c>
      <c r="G83" s="575" t="s">
        <v>1797</v>
      </c>
      <c r="H83" s="464"/>
      <c r="I83" s="464"/>
      <c r="J83" s="464"/>
      <c r="K83" s="464"/>
      <c r="L83" s="464"/>
      <c r="M83" s="1056"/>
      <c r="N83" s="2503"/>
      <c r="O83" s="2503"/>
      <c r="P83" s="2511"/>
      <c r="Q83" s="2489"/>
      <c r="R83" s="2468"/>
      <c r="S83" s="2468"/>
      <c r="T83" s="2468"/>
      <c r="U83" s="2468"/>
      <c r="V83" s="2468"/>
      <c r="W83" s="2468"/>
      <c r="X83" s="2468"/>
      <c r="Y83" s="2468"/>
      <c r="Z83" s="2468"/>
      <c r="AA83" s="2468"/>
      <c r="AB83" s="2468"/>
      <c r="AC83" s="2468"/>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03"/>
      <c r="O84" s="2503"/>
      <c r="P84" s="2511"/>
      <c r="Q84" s="2489"/>
      <c r="R84" s="2468"/>
      <c r="S84" s="2468"/>
      <c r="T84" s="2468"/>
      <c r="U84" s="2468"/>
      <c r="V84" s="2468"/>
      <c r="W84" s="2468"/>
      <c r="X84" s="2468"/>
      <c r="Y84" s="2468"/>
      <c r="Z84" s="2468"/>
      <c r="AA84" s="2468"/>
      <c r="AB84" s="2468"/>
      <c r="AC84" s="2468"/>
    </row>
    <row r="85" spans="1:29" ht="15.75" thickTop="1">
      <c r="A85" s="361"/>
      <c r="B85" s="463" t="s">
        <v>1816</v>
      </c>
      <c r="C85" s="503" t="s">
        <v>1715</v>
      </c>
      <c r="D85" s="503" t="s">
        <v>1716</v>
      </c>
      <c r="E85" s="503" t="s">
        <v>1717</v>
      </c>
      <c r="F85" s="503" t="s">
        <v>1718</v>
      </c>
      <c r="G85" s="503" t="s">
        <v>1719</v>
      </c>
      <c r="H85" s="464"/>
      <c r="I85" s="464"/>
      <c r="J85" s="464"/>
      <c r="K85" s="465"/>
      <c r="L85" s="466"/>
      <c r="M85" s="467"/>
      <c r="N85" s="2502"/>
      <c r="O85" s="2502"/>
      <c r="P85" s="2511"/>
      <c r="Q85" s="2489"/>
      <c r="R85" s="2468"/>
      <c r="S85" s="2468"/>
      <c r="T85" s="2468"/>
      <c r="U85" s="2468"/>
      <c r="V85" s="2468"/>
      <c r="W85" s="2468"/>
      <c r="X85" s="2468"/>
      <c r="Y85" s="2468"/>
      <c r="Z85" s="2468"/>
      <c r="AA85" s="2468"/>
      <c r="AB85" s="2468"/>
      <c r="AC85" s="2468"/>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03"/>
      <c r="O86" s="2503"/>
      <c r="P86" s="2511"/>
      <c r="Q86" s="2489"/>
      <c r="R86" s="2468"/>
      <c r="S86" s="2468"/>
      <c r="T86" s="2468"/>
      <c r="U86" s="2468"/>
      <c r="V86" s="2468"/>
      <c r="W86" s="2468"/>
      <c r="X86" s="2468"/>
      <c r="Y86" s="2468"/>
      <c r="Z86" s="2468"/>
      <c r="AA86" s="2468"/>
      <c r="AB86" s="2468"/>
      <c r="AC86" s="2468"/>
    </row>
    <row r="87" spans="1:29" s="101" customFormat="1" ht="27.75" thickTop="1">
      <c r="A87" s="364"/>
      <c r="B87" s="463" t="s">
        <v>1817</v>
      </c>
      <c r="C87" s="479"/>
      <c r="D87" s="479"/>
      <c r="E87" s="479"/>
      <c r="F87" s="479"/>
      <c r="G87" s="479"/>
      <c r="H87" s="479"/>
      <c r="I87" s="479"/>
      <c r="J87" s="479"/>
      <c r="K87" s="479"/>
      <c r="L87" s="504"/>
      <c r="M87" s="505"/>
      <c r="N87" s="2501"/>
      <c r="O87" s="2501"/>
      <c r="P87" s="2511"/>
      <c r="Q87" s="2489"/>
      <c r="R87" s="2423"/>
      <c r="S87" s="2423"/>
      <c r="T87" s="2423"/>
      <c r="U87" s="2423"/>
      <c r="V87" s="2423"/>
      <c r="W87" s="2423"/>
      <c r="X87" s="2423"/>
      <c r="Y87" s="2423"/>
      <c r="Z87" s="2423"/>
      <c r="AA87" s="2423"/>
      <c r="AB87" s="2423"/>
      <c r="AC87" s="2423"/>
    </row>
    <row r="88" spans="1:29" s="101"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03"/>
      <c r="O88" s="2503"/>
      <c r="P88" s="2511"/>
      <c r="Q88" s="2489"/>
      <c r="R88" s="2423"/>
      <c r="S88" s="2423"/>
      <c r="T88" s="2423"/>
      <c r="U88" s="2423"/>
      <c r="V88" s="2423"/>
      <c r="W88" s="2423"/>
      <c r="X88" s="2423"/>
      <c r="Y88" s="2423"/>
      <c r="Z88" s="2423"/>
      <c r="AA88" s="2423"/>
      <c r="AB88" s="2423"/>
      <c r="AC88" s="2423"/>
    </row>
    <row r="89" spans="1:29" s="101" customFormat="1" ht="15.75" thickTop="1">
      <c r="A89" s="364"/>
      <c r="B89" s="463" t="str">
        <f>B27</f>
        <v>楼层</v>
      </c>
      <c r="C89" s="479"/>
      <c r="D89" s="479"/>
      <c r="E89" s="479"/>
      <c r="F89" s="1772"/>
      <c r="G89" s="479"/>
      <c r="H89" s="479"/>
      <c r="I89" s="479"/>
      <c r="J89" s="479"/>
      <c r="K89" s="479"/>
      <c r="L89" s="479"/>
      <c r="M89" s="505"/>
      <c r="N89" s="2501"/>
      <c r="O89" s="2501"/>
      <c r="P89" s="2511"/>
      <c r="Q89" s="2489"/>
      <c r="R89" s="2423"/>
      <c r="S89" s="2423"/>
      <c r="T89" s="2423"/>
      <c r="U89" s="2423"/>
      <c r="V89" s="2423"/>
      <c r="W89" s="2423"/>
      <c r="X89" s="2423"/>
      <c r="Y89" s="2423"/>
      <c r="Z89" s="2423"/>
      <c r="AA89" s="2423"/>
      <c r="AB89" s="2423"/>
      <c r="AC89" s="2423"/>
    </row>
    <row r="90" spans="1:29" s="101"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03"/>
      <c r="O90" s="2503"/>
      <c r="P90" s="2511"/>
      <c r="Q90" s="2489"/>
      <c r="R90" s="2423"/>
      <c r="S90" s="2423"/>
      <c r="T90" s="2423"/>
      <c r="U90" s="2423"/>
      <c r="V90" s="2423"/>
      <c r="W90" s="2423"/>
      <c r="X90" s="2423"/>
      <c r="Y90" s="2423"/>
      <c r="Z90" s="2423"/>
      <c r="AA90" s="2423"/>
      <c r="AB90" s="2423"/>
      <c r="AC90" s="2423"/>
    </row>
    <row r="91" spans="1:29" s="402" customFormat="1" ht="15.75" thickTop="1">
      <c r="A91" s="478"/>
      <c r="B91" s="463" t="str">
        <f>B28</f>
        <v>朝向</v>
      </c>
      <c r="C91" s="479"/>
      <c r="D91" s="479"/>
      <c r="E91" s="479"/>
      <c r="F91" s="479"/>
      <c r="G91" s="479"/>
      <c r="H91" s="480"/>
      <c r="I91" s="480"/>
      <c r="J91" s="480"/>
      <c r="K91" s="480"/>
      <c r="L91" s="481"/>
      <c r="M91" s="482"/>
      <c r="N91" s="2504"/>
      <c r="O91" s="2504"/>
      <c r="P91" s="2512"/>
      <c r="Q91" s="2496"/>
      <c r="R91" s="2474"/>
      <c r="S91" s="2474"/>
      <c r="T91" s="2474"/>
      <c r="U91" s="2474"/>
      <c r="V91" s="2474"/>
      <c r="W91" s="2474"/>
      <c r="X91" s="2474"/>
      <c r="Y91" s="2474"/>
      <c r="Z91" s="2474"/>
      <c r="AA91" s="2474"/>
      <c r="AB91" s="2474"/>
      <c r="AC91" s="2474"/>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04"/>
      <c r="O92" s="2504"/>
      <c r="P92" s="2512"/>
      <c r="Q92" s="2496"/>
      <c r="R92" s="2474"/>
      <c r="S92" s="2474"/>
      <c r="T92" s="2474"/>
      <c r="U92" s="2474"/>
      <c r="V92" s="2474"/>
      <c r="W92" s="2474"/>
      <c r="X92" s="2474"/>
      <c r="Y92" s="2474"/>
      <c r="Z92" s="2474"/>
      <c r="AA92" s="2474"/>
      <c r="AB92" s="2474"/>
      <c r="AC92" s="2474"/>
    </row>
    <row r="93" spans="1:29" ht="15.75" thickTop="1">
      <c r="A93" s="361"/>
      <c r="B93" s="463">
        <f>B29</f>
        <v>111</v>
      </c>
      <c r="C93" s="479"/>
      <c r="D93" s="479"/>
      <c r="E93" s="479"/>
      <c r="F93" s="479"/>
      <c r="G93" s="479"/>
      <c r="H93" s="479"/>
      <c r="I93" s="479"/>
      <c r="J93" s="479"/>
      <c r="K93" s="479"/>
      <c r="L93" s="504"/>
      <c r="M93" s="505"/>
      <c r="N93" s="2502"/>
      <c r="O93" s="2502"/>
      <c r="P93" s="2511"/>
      <c r="Q93" s="2489"/>
      <c r="R93" s="2468"/>
      <c r="S93" s="2468"/>
      <c r="T93" s="2468"/>
      <c r="U93" s="2468"/>
      <c r="V93" s="2468"/>
      <c r="W93" s="2468"/>
      <c r="X93" s="2468"/>
      <c r="Y93" s="2468"/>
      <c r="Z93" s="2468"/>
      <c r="AA93" s="2468"/>
      <c r="AB93" s="2468"/>
      <c r="AC93" s="2468"/>
    </row>
    <row r="94" spans="1:29" ht="15.75" thickBot="1">
      <c r="A94" s="361"/>
      <c r="B94" s="468"/>
      <c r="C94" s="485"/>
      <c r="D94" s="461"/>
      <c r="E94" s="461"/>
      <c r="F94" s="461"/>
      <c r="G94" s="461"/>
      <c r="H94" s="461"/>
      <c r="I94" s="461"/>
      <c r="J94" s="461"/>
      <c r="K94" s="461"/>
      <c r="L94" s="461"/>
      <c r="M94" s="462"/>
      <c r="N94" s="2503"/>
      <c r="O94" s="2503"/>
      <c r="P94" s="2511"/>
      <c r="Q94" s="2489"/>
      <c r="R94" s="2468"/>
      <c r="S94" s="2468"/>
      <c r="T94" s="2468"/>
      <c r="U94" s="2468"/>
      <c r="V94" s="2468"/>
      <c r="W94" s="2468"/>
      <c r="X94" s="2468"/>
      <c r="Y94" s="2468"/>
      <c r="Z94" s="2468"/>
      <c r="AA94" s="2468"/>
      <c r="AB94" s="2468"/>
      <c r="AC94" s="2468"/>
    </row>
    <row r="95" spans="1:29" ht="15.75" thickTop="1">
      <c r="A95" s="361"/>
      <c r="B95" s="463">
        <f>B30</f>
        <v>111</v>
      </c>
      <c r="C95" s="479"/>
      <c r="D95" s="479"/>
      <c r="E95" s="479"/>
      <c r="F95" s="479"/>
      <c r="G95" s="507"/>
      <c r="H95" s="507"/>
      <c r="I95" s="507"/>
      <c r="J95" s="507"/>
      <c r="K95" s="508"/>
      <c r="L95" s="509"/>
      <c r="M95" s="510"/>
      <c r="N95" s="2502"/>
      <c r="O95" s="2502"/>
      <c r="P95" s="2511"/>
      <c r="Q95" s="2489"/>
      <c r="R95" s="2468"/>
      <c r="S95" s="2468"/>
      <c r="T95" s="2468"/>
      <c r="U95" s="2468"/>
      <c r="V95" s="2468"/>
      <c r="W95" s="2468"/>
      <c r="X95" s="2468"/>
      <c r="Y95" s="2468"/>
      <c r="Z95" s="2468"/>
      <c r="AA95" s="2468"/>
      <c r="AB95" s="2468"/>
      <c r="AC95" s="2468"/>
    </row>
    <row r="96" spans="1:29" ht="15.75" thickBot="1">
      <c r="A96" s="361"/>
      <c r="B96" s="468"/>
      <c r="C96" s="485"/>
      <c r="D96" s="485"/>
      <c r="E96" s="485"/>
      <c r="F96" s="485"/>
      <c r="G96" s="461"/>
      <c r="H96" s="461"/>
      <c r="I96" s="461"/>
      <c r="J96" s="461"/>
      <c r="K96" s="461"/>
      <c r="L96" s="461"/>
      <c r="M96" s="462"/>
      <c r="N96" s="2503"/>
      <c r="O96" s="2503"/>
      <c r="P96" s="2511"/>
      <c r="Q96" s="2489"/>
      <c r="R96" s="2468"/>
      <c r="S96" s="2468"/>
      <c r="T96" s="2468"/>
      <c r="U96" s="2468"/>
      <c r="V96" s="2468"/>
      <c r="W96" s="2468"/>
      <c r="X96" s="2468"/>
      <c r="Y96" s="2468"/>
      <c r="Z96" s="2468"/>
      <c r="AA96" s="2468"/>
      <c r="AB96" s="2468"/>
      <c r="AC96" s="2468"/>
    </row>
    <row r="97" spans="1:29" ht="15.75" thickTop="1">
      <c r="A97" s="361"/>
      <c r="B97" s="463">
        <f>B31</f>
        <v>111</v>
      </c>
      <c r="C97" s="479"/>
      <c r="D97" s="479"/>
      <c r="E97" s="479"/>
      <c r="F97" s="479"/>
      <c r="G97" s="507"/>
      <c r="H97" s="507"/>
      <c r="I97" s="507"/>
      <c r="J97" s="507"/>
      <c r="K97" s="508"/>
      <c r="L97" s="509"/>
      <c r="M97" s="510"/>
      <c r="N97" s="2502"/>
      <c r="O97" s="2502"/>
      <c r="P97" s="2511"/>
      <c r="Q97" s="2489"/>
      <c r="R97" s="2468"/>
      <c r="S97" s="2468"/>
      <c r="T97" s="2468"/>
      <c r="U97" s="2468"/>
      <c r="V97" s="2468"/>
      <c r="W97" s="2468"/>
      <c r="X97" s="2468"/>
      <c r="Y97" s="2468"/>
      <c r="Z97" s="2468"/>
      <c r="AA97" s="2468"/>
      <c r="AB97" s="2468"/>
      <c r="AC97" s="2468"/>
    </row>
    <row r="98" spans="1:29" ht="15.75" thickBot="1">
      <c r="A98" s="361"/>
      <c r="B98" s="468"/>
      <c r="C98" s="485"/>
      <c r="D98" s="461"/>
      <c r="E98" s="461"/>
      <c r="F98" s="461"/>
      <c r="G98" s="461"/>
      <c r="H98" s="461"/>
      <c r="I98" s="461"/>
      <c r="J98" s="461"/>
      <c r="K98" s="461"/>
      <c r="L98" s="461"/>
      <c r="M98" s="462"/>
      <c r="N98" s="2503"/>
      <c r="O98" s="2503"/>
      <c r="P98" s="2511"/>
      <c r="Q98" s="2489"/>
      <c r="R98" s="2468"/>
      <c r="S98" s="2468"/>
      <c r="T98" s="2468"/>
      <c r="U98" s="2468"/>
      <c r="V98" s="2468"/>
      <c r="W98" s="2468"/>
      <c r="X98" s="2468"/>
      <c r="Y98" s="2468"/>
      <c r="Z98" s="2468"/>
      <c r="AA98" s="2468"/>
      <c r="AB98" s="2468"/>
      <c r="AC98" s="2468"/>
    </row>
    <row r="99" spans="1:29" ht="15.75" thickTop="1">
      <c r="A99" s="361"/>
      <c r="B99" s="471">
        <f>B32</f>
        <v>111</v>
      </c>
      <c r="C99" s="31"/>
      <c r="D99" s="31"/>
      <c r="E99" s="31"/>
      <c r="F99" s="31"/>
      <c r="G99" s="511"/>
      <c r="H99" s="511"/>
      <c r="I99" s="511"/>
      <c r="J99" s="511"/>
      <c r="K99" s="512"/>
      <c r="L99" s="513"/>
      <c r="M99" s="514"/>
      <c r="N99" s="2502"/>
      <c r="O99" s="2502"/>
      <c r="P99" s="2511"/>
      <c r="Q99" s="2489"/>
      <c r="R99" s="2468"/>
      <c r="S99" s="2468"/>
      <c r="T99" s="2468"/>
      <c r="U99" s="2468"/>
      <c r="V99" s="2468"/>
      <c r="W99" s="2468"/>
      <c r="X99" s="2468"/>
      <c r="Y99" s="2468"/>
      <c r="Z99" s="2468"/>
      <c r="AA99" s="2468"/>
      <c r="AB99" s="2468"/>
      <c r="AC99" s="2468"/>
    </row>
    <row r="100" spans="1:29" ht="15.75" thickBot="1">
      <c r="A100" s="369"/>
      <c r="B100" s="494"/>
      <c r="C100" s="495"/>
      <c r="D100" s="495"/>
      <c r="E100" s="495"/>
      <c r="F100" s="495"/>
      <c r="G100" s="515"/>
      <c r="H100" s="515"/>
      <c r="I100" s="515"/>
      <c r="J100" s="515"/>
      <c r="K100" s="515"/>
      <c r="L100" s="515"/>
      <c r="M100" s="516"/>
      <c r="N100" s="2503"/>
      <c r="O100" s="2503"/>
      <c r="P100" s="2511"/>
      <c r="Q100" s="2489"/>
      <c r="R100" s="2468"/>
      <c r="S100" s="2468"/>
      <c r="T100" s="2468"/>
      <c r="U100" s="2468"/>
      <c r="V100" s="2468"/>
      <c r="W100" s="2468"/>
      <c r="X100" s="2468"/>
      <c r="Y100" s="2468"/>
      <c r="Z100" s="2468"/>
      <c r="AA100" s="2468"/>
      <c r="AB100" s="2468"/>
      <c r="AC100" s="2468"/>
    </row>
    <row r="101" spans="1:29">
      <c r="A101" s="373" t="s">
        <v>1688</v>
      </c>
      <c r="B101" s="454" t="s">
        <v>1730</v>
      </c>
      <c r="C101" s="456"/>
      <c r="D101" s="456"/>
      <c r="E101" s="456"/>
      <c r="F101" s="456"/>
      <c r="G101" s="456"/>
      <c r="H101" s="456"/>
      <c r="I101" s="456"/>
      <c r="J101" s="456"/>
      <c r="K101" s="457"/>
      <c r="L101" s="458"/>
      <c r="M101" s="459"/>
      <c r="N101" s="2502"/>
      <c r="O101" s="2502"/>
      <c r="P101" s="2511"/>
      <c r="Q101" s="2489"/>
      <c r="R101" s="2468"/>
      <c r="S101" s="2468"/>
      <c r="T101" s="2468"/>
      <c r="U101" s="2468"/>
      <c r="V101" s="2468"/>
      <c r="W101" s="2468"/>
      <c r="X101" s="2468"/>
      <c r="Y101" s="2468"/>
      <c r="Z101" s="2468"/>
      <c r="AA101" s="2468"/>
      <c r="AB101" s="2468"/>
      <c r="AC101" s="2468"/>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03"/>
      <c r="O102" s="2503"/>
      <c r="P102" s="2511"/>
      <c r="Q102" s="2489"/>
      <c r="R102" s="2468"/>
      <c r="S102" s="2468"/>
      <c r="T102" s="2468"/>
      <c r="U102" s="2468"/>
      <c r="V102" s="2468"/>
      <c r="W102" s="2468"/>
      <c r="X102" s="2468"/>
      <c r="Y102" s="2468"/>
      <c r="Z102" s="2468"/>
      <c r="AA102" s="2468"/>
      <c r="AB102" s="2468"/>
      <c r="AC102" s="2468"/>
    </row>
    <row r="103" spans="1:29" ht="15.75" thickTop="1">
      <c r="A103" s="361"/>
      <c r="B103" s="463" t="s">
        <v>1731</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01"/>
      <c r="O103" s="2501"/>
      <c r="P103" s="2511"/>
      <c r="Q103" s="2489"/>
      <c r="R103" s="2468"/>
      <c r="S103" s="2468"/>
      <c r="T103" s="2468"/>
      <c r="U103" s="2468"/>
      <c r="V103" s="2468"/>
      <c r="W103" s="2468"/>
      <c r="X103" s="2468"/>
      <c r="Y103" s="2468"/>
      <c r="Z103" s="2468"/>
      <c r="AA103" s="2468"/>
      <c r="AB103" s="2468"/>
      <c r="AC103" s="2468"/>
    </row>
    <row r="104" spans="1:29" s="402" customFormat="1">
      <c r="A104" s="400"/>
      <c r="B104" s="517"/>
      <c r="C104" s="6"/>
      <c r="D104" s="6"/>
      <c r="E104" s="6"/>
      <c r="F104" s="6"/>
      <c r="G104" s="6"/>
      <c r="H104" s="6"/>
      <c r="I104" s="6"/>
      <c r="J104" s="518"/>
      <c r="K104" s="518"/>
      <c r="L104" s="519"/>
      <c r="M104" s="520"/>
      <c r="N104" s="2504"/>
      <c r="O104" s="2504"/>
      <c r="P104" s="2512"/>
      <c r="Q104" s="2496"/>
      <c r="R104" s="2474"/>
      <c r="S104" s="2474"/>
      <c r="T104" s="2474"/>
      <c r="U104" s="2474"/>
      <c r="V104" s="2474"/>
      <c r="W104" s="2474"/>
      <c r="X104" s="2474"/>
      <c r="Y104" s="2474"/>
      <c r="Z104" s="2474"/>
      <c r="AA104" s="2474"/>
      <c r="AB104" s="2474"/>
      <c r="AC104" s="2474"/>
    </row>
    <row r="105" spans="1:29" s="402" customFormat="1" ht="15.75" thickBot="1">
      <c r="A105" s="478"/>
      <c r="B105" s="468"/>
      <c r="C105" s="485"/>
      <c r="D105" s="461"/>
      <c r="E105" s="461"/>
      <c r="F105" s="461"/>
      <c r="G105" s="461"/>
      <c r="H105" s="461"/>
      <c r="I105" s="461"/>
      <c r="J105" s="461"/>
      <c r="K105" s="461"/>
      <c r="L105" s="461"/>
      <c r="M105" s="462"/>
      <c r="N105" s="2503"/>
      <c r="O105" s="2503"/>
      <c r="P105" s="2512"/>
      <c r="Q105" s="2496"/>
      <c r="R105" s="2474"/>
      <c r="S105" s="2474"/>
      <c r="T105" s="2474"/>
      <c r="U105" s="2474"/>
      <c r="V105" s="2474"/>
      <c r="W105" s="2474"/>
      <c r="X105" s="2474"/>
      <c r="Y105" s="2474"/>
      <c r="Z105" s="2474"/>
      <c r="AA105" s="2474"/>
      <c r="AB105" s="2474"/>
      <c r="AC105" s="2474"/>
    </row>
    <row r="106" spans="1:29" ht="15" thickTop="1">
      <c r="A106" s="403"/>
      <c r="B106" s="463" t="s">
        <v>1732</v>
      </c>
      <c r="C106" s="479"/>
      <c r="D106" s="479"/>
      <c r="E106" s="507"/>
      <c r="F106" s="507"/>
      <c r="G106" s="507"/>
      <c r="H106" s="507"/>
      <c r="I106" s="507"/>
      <c r="J106" s="507"/>
      <c r="K106" s="508"/>
      <c r="L106" s="509"/>
      <c r="M106" s="510"/>
      <c r="N106" s="2502"/>
      <c r="O106" s="2502"/>
      <c r="P106" s="2511"/>
      <c r="Q106" s="2489"/>
      <c r="R106" s="2468"/>
      <c r="S106" s="2468"/>
      <c r="T106" s="2468"/>
      <c r="U106" s="2468"/>
      <c r="V106" s="2468"/>
      <c r="W106" s="2468"/>
      <c r="X106" s="2468"/>
      <c r="Y106" s="2468"/>
      <c r="Z106" s="2468"/>
      <c r="AA106" s="2468"/>
      <c r="AB106" s="2468"/>
      <c r="AC106" s="2468"/>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03"/>
      <c r="O107" s="2503"/>
      <c r="P107" s="2511"/>
      <c r="Q107" s="2489"/>
      <c r="R107" s="2468"/>
      <c r="S107" s="2468"/>
      <c r="T107" s="2468"/>
      <c r="U107" s="2468"/>
      <c r="V107" s="2468"/>
      <c r="W107" s="2468"/>
      <c r="X107" s="2468"/>
      <c r="Y107" s="2468"/>
      <c r="Z107" s="2468"/>
      <c r="AA107" s="2468"/>
      <c r="AB107" s="2468"/>
      <c r="AC107" s="2468"/>
    </row>
    <row r="108" spans="1:29" ht="15" thickTop="1">
      <c r="A108" s="403"/>
      <c r="B108" s="463" t="s">
        <v>1734</v>
      </c>
      <c r="C108" s="479"/>
      <c r="D108" s="479"/>
      <c r="E108" s="479"/>
      <c r="F108" s="507"/>
      <c r="G108" s="507"/>
      <c r="H108" s="507"/>
      <c r="I108" s="507"/>
      <c r="J108" s="507"/>
      <c r="K108" s="508"/>
      <c r="L108" s="509"/>
      <c r="M108" s="510"/>
      <c r="N108" s="2502"/>
      <c r="O108" s="2502"/>
      <c r="P108" s="2511"/>
      <c r="Q108" s="2489"/>
      <c r="R108" s="2468"/>
      <c r="S108" s="2468"/>
      <c r="T108" s="2468"/>
      <c r="U108" s="2468"/>
      <c r="V108" s="2468"/>
      <c r="W108" s="2468"/>
      <c r="X108" s="2468"/>
      <c r="Y108" s="2468"/>
      <c r="Z108" s="2468"/>
      <c r="AA108" s="2468"/>
      <c r="AB108" s="2468"/>
      <c r="AC108" s="2468"/>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03"/>
      <c r="O109" s="2503"/>
      <c r="P109" s="2511"/>
      <c r="Q109" s="2489"/>
      <c r="R109" s="2468"/>
      <c r="S109" s="2468"/>
      <c r="T109" s="2468"/>
      <c r="U109" s="2468"/>
      <c r="V109" s="2468"/>
      <c r="W109" s="2468"/>
      <c r="X109" s="2468"/>
      <c r="Y109" s="2468"/>
      <c r="Z109" s="2468"/>
      <c r="AA109" s="2468"/>
      <c r="AB109" s="2468"/>
      <c r="AC109" s="2468"/>
    </row>
    <row r="110" spans="1:29" ht="15" thickTop="1">
      <c r="A110" s="403"/>
      <c r="B110" s="463" t="s">
        <v>1187</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02"/>
      <c r="O110" s="2502"/>
      <c r="P110" s="2511"/>
      <c r="Q110" s="2489"/>
      <c r="R110" s="2468"/>
      <c r="S110" s="2468"/>
      <c r="T110" s="2468"/>
      <c r="U110" s="2468"/>
      <c r="V110" s="2468"/>
      <c r="W110" s="2468"/>
      <c r="X110" s="2468"/>
      <c r="Y110" s="2468"/>
      <c r="Z110" s="2468"/>
      <c r="AA110" s="2468"/>
      <c r="AB110" s="2468"/>
      <c r="AC110" s="2468"/>
    </row>
    <row r="111" spans="1:29">
      <c r="A111" s="403"/>
      <c r="B111" s="471"/>
      <c r="C111" s="524">
        <v>0.5</v>
      </c>
      <c r="D111" s="524">
        <v>0.6</v>
      </c>
      <c r="E111" s="524">
        <v>0.7</v>
      </c>
      <c r="F111" s="524">
        <v>0.8</v>
      </c>
      <c r="G111" s="524">
        <v>0.9</v>
      </c>
      <c r="H111" s="524">
        <v>1.0001</v>
      </c>
      <c r="I111" s="542"/>
      <c r="J111" s="542"/>
      <c r="K111" s="543"/>
      <c r="L111" s="544"/>
      <c r="M111" s="545"/>
      <c r="N111" s="2502"/>
      <c r="O111" s="2502"/>
      <c r="P111" s="2511"/>
      <c r="Q111" s="2489"/>
      <c r="R111" s="2468"/>
      <c r="S111" s="2468"/>
      <c r="T111" s="2468"/>
      <c r="U111" s="2468"/>
      <c r="V111" s="2468"/>
      <c r="W111" s="2468"/>
      <c r="X111" s="2468"/>
      <c r="Y111" s="2468"/>
      <c r="Z111" s="2468"/>
      <c r="AA111" s="2468"/>
      <c r="AB111" s="2468"/>
      <c r="AC111" s="2468"/>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03"/>
      <c r="O112" s="2503"/>
      <c r="P112" s="2511"/>
      <c r="Q112" s="2489"/>
      <c r="R112" s="2468"/>
      <c r="S112" s="2468"/>
      <c r="T112" s="2468"/>
      <c r="U112" s="2468"/>
      <c r="V112" s="2468"/>
      <c r="W112" s="2468"/>
      <c r="X112" s="2468"/>
      <c r="Y112" s="2468"/>
      <c r="Z112" s="2468"/>
      <c r="AA112" s="2468"/>
      <c r="AB112" s="2468"/>
      <c r="AC112" s="2468"/>
    </row>
    <row r="113" spans="1:29" s="402" customFormat="1" ht="15" thickTop="1">
      <c r="A113" s="400"/>
      <c r="B113" s="463" t="s">
        <v>1818</v>
      </c>
      <c r="C113" s="479"/>
      <c r="D113" s="479"/>
      <c r="E113" s="479"/>
      <c r="F113" s="479"/>
      <c r="G113" s="479"/>
      <c r="H113" s="507"/>
      <c r="I113" s="507"/>
      <c r="J113" s="507"/>
      <c r="K113" s="508"/>
      <c r="L113" s="509"/>
      <c r="M113" s="510"/>
      <c r="N113" s="2504"/>
      <c r="O113" s="2504"/>
      <c r="P113" s="2512"/>
      <c r="Q113" s="2496"/>
      <c r="R113" s="2474"/>
      <c r="S113" s="2474"/>
      <c r="T113" s="2474"/>
      <c r="U113" s="2474"/>
      <c r="V113" s="2474"/>
      <c r="W113" s="2474"/>
      <c r="X113" s="2474"/>
      <c r="Y113" s="2474"/>
      <c r="Z113" s="2474"/>
      <c r="AA113" s="2474"/>
      <c r="AB113" s="2474"/>
      <c r="AC113" s="2474"/>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04"/>
      <c r="O114" s="2504"/>
      <c r="P114" s="2512"/>
      <c r="Q114" s="2496"/>
      <c r="R114" s="2474"/>
      <c r="S114" s="2474"/>
      <c r="T114" s="2474"/>
      <c r="U114" s="2474"/>
      <c r="V114" s="2474"/>
      <c r="W114" s="2474"/>
      <c r="X114" s="2474"/>
      <c r="Y114" s="2474"/>
      <c r="Z114" s="2474"/>
      <c r="AA114" s="2474"/>
      <c r="AB114" s="2474"/>
      <c r="AC114" s="2474"/>
    </row>
    <row r="115" spans="1:29" ht="15" thickTop="1">
      <c r="A115" s="403"/>
      <c r="B115" s="463" t="s">
        <v>1735</v>
      </c>
      <c r="C115" s="479"/>
      <c r="D115" s="479"/>
      <c r="E115" s="507"/>
      <c r="F115" s="507"/>
      <c r="G115" s="507"/>
      <c r="H115" s="507"/>
      <c r="I115" s="507"/>
      <c r="J115" s="507"/>
      <c r="K115" s="508"/>
      <c r="L115" s="509"/>
      <c r="M115" s="510"/>
      <c r="N115" s="2502"/>
      <c r="O115" s="2502"/>
      <c r="P115" s="2511"/>
      <c r="Q115" s="2489"/>
      <c r="R115" s="2468"/>
      <c r="S115" s="2468"/>
      <c r="T115" s="2468"/>
      <c r="U115" s="2468"/>
      <c r="V115" s="2468"/>
      <c r="W115" s="2468"/>
      <c r="X115" s="2468"/>
      <c r="Y115" s="2468"/>
      <c r="Z115" s="2468"/>
      <c r="AA115" s="2468"/>
      <c r="AB115" s="2468"/>
      <c r="AC115" s="2468"/>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03"/>
      <c r="O116" s="2503"/>
      <c r="P116" s="2511"/>
      <c r="Q116" s="2489"/>
      <c r="R116" s="2468"/>
      <c r="S116" s="2468"/>
      <c r="T116" s="2468"/>
      <c r="U116" s="2468"/>
      <c r="V116" s="2468"/>
      <c r="W116" s="2468"/>
      <c r="X116" s="2468"/>
      <c r="Y116" s="2468"/>
      <c r="Z116" s="2468"/>
      <c r="AA116" s="2468"/>
      <c r="AB116" s="2468"/>
      <c r="AC116" s="2468"/>
    </row>
    <row r="117" spans="1:29" ht="15" thickTop="1">
      <c r="A117" s="403"/>
      <c r="B117" s="463" t="s">
        <v>1736</v>
      </c>
      <c r="C117" s="479"/>
      <c r="D117" s="479"/>
      <c r="E117" s="479"/>
      <c r="F117" s="479"/>
      <c r="G117" s="479"/>
      <c r="H117" s="507"/>
      <c r="I117" s="507"/>
      <c r="J117" s="507"/>
      <c r="K117" s="508"/>
      <c r="L117" s="509"/>
      <c r="M117" s="510"/>
      <c r="N117" s="2502"/>
      <c r="O117" s="2502"/>
      <c r="P117" s="2511"/>
      <c r="Q117" s="2489"/>
      <c r="R117" s="2468"/>
      <c r="S117" s="2468"/>
      <c r="T117" s="2468"/>
      <c r="U117" s="2468"/>
      <c r="V117" s="2468"/>
      <c r="W117" s="2468"/>
      <c r="X117" s="2468"/>
      <c r="Y117" s="2468"/>
      <c r="Z117" s="2468"/>
      <c r="AA117" s="2468"/>
      <c r="AB117" s="2468"/>
      <c r="AC117" s="2468"/>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03"/>
      <c r="O118" s="2503"/>
      <c r="P118" s="2511"/>
      <c r="Q118" s="2489"/>
      <c r="R118" s="2468"/>
      <c r="S118" s="2468"/>
      <c r="T118" s="2468"/>
      <c r="U118" s="2468"/>
      <c r="V118" s="2468"/>
      <c r="W118" s="2468"/>
      <c r="X118" s="2468"/>
      <c r="Y118" s="2468"/>
      <c r="Z118" s="2468"/>
      <c r="AA118" s="2468"/>
      <c r="AB118" s="2468"/>
      <c r="AC118" s="2468"/>
    </row>
    <row r="119" spans="1:29" ht="15" thickTop="1">
      <c r="A119" s="403"/>
      <c r="B119" s="554" t="s">
        <v>1819</v>
      </c>
      <c r="C119" s="507"/>
      <c r="D119" s="507"/>
      <c r="E119" s="507"/>
      <c r="F119" s="507"/>
      <c r="G119" s="507"/>
      <c r="H119" s="507"/>
      <c r="I119" s="507"/>
      <c r="J119" s="507"/>
      <c r="K119" s="507"/>
      <c r="L119" s="1808"/>
      <c r="M119" s="1809"/>
      <c r="N119" s="2503"/>
      <c r="O119" s="2503"/>
      <c r="P119" s="2516"/>
      <c r="Q119" s="2517"/>
      <c r="R119" s="2468"/>
      <c r="S119" s="2468"/>
      <c r="T119" s="2468"/>
      <c r="U119" s="2468"/>
      <c r="V119" s="2468"/>
      <c r="W119" s="2468"/>
      <c r="X119" s="2468"/>
      <c r="Y119" s="2468"/>
      <c r="Z119" s="2468"/>
      <c r="AA119" s="2468"/>
      <c r="AB119" s="2468"/>
      <c r="AC119" s="2468"/>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03"/>
      <c r="O120" s="2503"/>
      <c r="P120" s="2511"/>
      <c r="Q120" s="2489"/>
      <c r="R120" s="2468"/>
      <c r="S120" s="2468"/>
      <c r="T120" s="2468"/>
      <c r="U120" s="2468"/>
      <c r="V120" s="2468"/>
      <c r="W120" s="2468"/>
      <c r="X120" s="2468"/>
      <c r="Y120" s="2468"/>
      <c r="Z120" s="2468"/>
      <c r="AA120" s="2468"/>
      <c r="AB120" s="2468"/>
      <c r="AC120" s="2468"/>
    </row>
    <row r="121" spans="1:29" s="402" customFormat="1" ht="15" thickTop="1">
      <c r="A121" s="400"/>
      <c r="B121" s="463" t="s">
        <v>1802</v>
      </c>
      <c r="C121" s="479"/>
      <c r="D121" s="479"/>
      <c r="E121" s="479"/>
      <c r="F121" s="507"/>
      <c r="G121" s="480"/>
      <c r="H121" s="480"/>
      <c r="I121" s="480"/>
      <c r="J121" s="480"/>
      <c r="K121" s="480"/>
      <c r="L121" s="481"/>
      <c r="M121" s="482"/>
      <c r="N121" s="2504"/>
      <c r="O121" s="2504"/>
      <c r="P121" s="2512"/>
      <c r="Q121" s="2496"/>
      <c r="R121" s="2474"/>
      <c r="S121" s="2474"/>
      <c r="T121" s="2474"/>
      <c r="U121" s="2474"/>
      <c r="V121" s="2474"/>
      <c r="W121" s="2474"/>
      <c r="X121" s="2474"/>
      <c r="Y121" s="2474"/>
      <c r="Z121" s="2474"/>
      <c r="AA121" s="2474"/>
      <c r="AB121" s="2474"/>
      <c r="AC121" s="2474"/>
    </row>
    <row r="122" spans="1:29" s="402" customFormat="1" ht="15.75" thickBot="1">
      <c r="A122" s="478"/>
      <c r="B122" s="460"/>
      <c r="C122" s="485"/>
      <c r="D122" s="485"/>
      <c r="E122" s="485"/>
      <c r="F122" s="485"/>
      <c r="G122" s="485"/>
      <c r="H122" s="485"/>
      <c r="I122" s="485"/>
      <c r="J122" s="485"/>
      <c r="K122" s="485"/>
      <c r="L122" s="485"/>
      <c r="M122" s="485"/>
      <c r="N122" s="2504"/>
      <c r="O122" s="2504"/>
      <c r="P122" s="2512"/>
      <c r="Q122" s="2496"/>
      <c r="R122" s="2474"/>
      <c r="S122" s="2474"/>
      <c r="T122" s="2474"/>
      <c r="U122" s="2474"/>
      <c r="V122" s="2474"/>
      <c r="W122" s="2474"/>
      <c r="X122" s="2474"/>
      <c r="Y122" s="2474"/>
      <c r="Z122" s="2474"/>
      <c r="AA122" s="2474"/>
      <c r="AB122" s="2474"/>
      <c r="AC122" s="2474"/>
    </row>
    <row r="123" spans="1:29" ht="15" thickTop="1">
      <c r="A123" s="403"/>
      <c r="B123" s="463" t="s">
        <v>1738</v>
      </c>
      <c r="C123" s="479"/>
      <c r="D123" s="479"/>
      <c r="E123" s="479"/>
      <c r="F123" s="507"/>
      <c r="G123" s="507"/>
      <c r="H123" s="507"/>
      <c r="I123" s="507"/>
      <c r="J123" s="507"/>
      <c r="K123" s="508"/>
      <c r="L123" s="509"/>
      <c r="M123" s="510"/>
      <c r="N123" s="2502"/>
      <c r="O123" s="2502"/>
      <c r="P123" s="2511"/>
      <c r="Q123" s="2489"/>
      <c r="R123" s="2468"/>
      <c r="S123" s="2468"/>
      <c r="T123" s="2468"/>
      <c r="U123" s="2468"/>
      <c r="V123" s="2468"/>
      <c r="W123" s="2468"/>
      <c r="X123" s="2468"/>
      <c r="Y123" s="2468"/>
      <c r="Z123" s="2468"/>
      <c r="AA123" s="2468"/>
      <c r="AB123" s="2468"/>
      <c r="AC123" s="2468"/>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03"/>
      <c r="O124" s="2503"/>
      <c r="P124" s="2511"/>
      <c r="Q124" s="2489"/>
      <c r="R124" s="2468"/>
      <c r="S124" s="2468"/>
      <c r="T124" s="2468"/>
      <c r="U124" s="2468"/>
      <c r="V124" s="2468"/>
      <c r="W124" s="2468"/>
      <c r="X124" s="2468"/>
      <c r="Y124" s="2468"/>
      <c r="Z124" s="2468"/>
      <c r="AA124" s="2468"/>
      <c r="AB124" s="2468"/>
      <c r="AC124" s="2468"/>
    </row>
    <row r="125" spans="1:29" ht="15" thickTop="1">
      <c r="A125" s="403"/>
      <c r="B125" s="463" t="s">
        <v>1739</v>
      </c>
      <c r="C125" s="503" t="s">
        <v>1715</v>
      </c>
      <c r="D125" s="503" t="s">
        <v>1716</v>
      </c>
      <c r="E125" s="503" t="s">
        <v>1717</v>
      </c>
      <c r="F125" s="503" t="s">
        <v>1718</v>
      </c>
      <c r="G125" s="503" t="s">
        <v>1719</v>
      </c>
      <c r="H125" s="464"/>
      <c r="I125" s="464"/>
      <c r="J125" s="464"/>
      <c r="K125" s="465"/>
      <c r="L125" s="466"/>
      <c r="M125" s="467"/>
      <c r="N125" s="2502"/>
      <c r="O125" s="2502"/>
      <c r="P125" s="2512"/>
      <c r="Q125" s="2489"/>
      <c r="R125" s="2468"/>
      <c r="S125" s="2468"/>
      <c r="T125" s="2468"/>
      <c r="U125" s="2468"/>
      <c r="V125" s="2468"/>
      <c r="W125" s="2468"/>
      <c r="X125" s="2468"/>
      <c r="Y125" s="2468"/>
      <c r="Z125" s="2468"/>
      <c r="AA125" s="2468"/>
      <c r="AB125" s="2468"/>
      <c r="AC125" s="2468"/>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03"/>
      <c r="O126" s="2503"/>
      <c r="P126" s="2511"/>
      <c r="Q126" s="2489"/>
      <c r="R126" s="2468"/>
      <c r="S126" s="2468"/>
      <c r="T126" s="2468"/>
      <c r="U126" s="2468"/>
      <c r="V126" s="2468"/>
      <c r="W126" s="2468"/>
      <c r="X126" s="2468"/>
      <c r="Y126" s="2468"/>
      <c r="Z126" s="2468"/>
      <c r="AA126" s="2468"/>
      <c r="AB126" s="2468"/>
      <c r="AC126" s="2468"/>
    </row>
    <row r="127" spans="1:29" s="402" customFormat="1" ht="15" thickTop="1">
      <c r="A127" s="400"/>
      <c r="B127" s="463">
        <f>B45</f>
        <v>111</v>
      </c>
      <c r="C127" s="479"/>
      <c r="D127" s="479"/>
      <c r="E127" s="479"/>
      <c r="F127" s="479"/>
      <c r="G127" s="479"/>
      <c r="H127" s="480"/>
      <c r="I127" s="480"/>
      <c r="J127" s="480"/>
      <c r="K127" s="480"/>
      <c r="L127" s="481"/>
      <c r="M127" s="482"/>
      <c r="N127" s="2504"/>
      <c r="O127" s="2504"/>
      <c r="P127" s="2512"/>
      <c r="Q127" s="2496"/>
      <c r="R127" s="2474"/>
      <c r="S127" s="2474"/>
      <c r="T127" s="2474"/>
      <c r="U127" s="2474"/>
      <c r="V127" s="2474"/>
      <c r="W127" s="2474"/>
      <c r="X127" s="2474"/>
      <c r="Y127" s="2474"/>
      <c r="Z127" s="2474"/>
      <c r="AA127" s="2474"/>
      <c r="AB127" s="2474"/>
      <c r="AC127" s="2474"/>
    </row>
    <row r="128" spans="1:29" s="402" customFormat="1" ht="15.75" thickBot="1">
      <c r="A128" s="478"/>
      <c r="B128" s="468"/>
      <c r="C128" s="485"/>
      <c r="D128" s="461"/>
      <c r="E128" s="461"/>
      <c r="F128" s="461"/>
      <c r="G128" s="485"/>
      <c r="H128" s="487"/>
      <c r="I128" s="487"/>
      <c r="J128" s="487"/>
      <c r="K128" s="487"/>
      <c r="L128" s="487"/>
      <c r="M128" s="488"/>
      <c r="N128" s="2504"/>
      <c r="O128" s="2504"/>
      <c r="P128" s="2512"/>
      <c r="Q128" s="2496"/>
      <c r="R128" s="2474"/>
      <c r="S128" s="2474"/>
      <c r="T128" s="2474"/>
      <c r="U128" s="2474"/>
      <c r="V128" s="2474"/>
      <c r="W128" s="2474"/>
      <c r="X128" s="2474"/>
      <c r="Y128" s="2474"/>
      <c r="Z128" s="2474"/>
      <c r="AA128" s="2474"/>
      <c r="AB128" s="2474"/>
      <c r="AC128" s="2474"/>
    </row>
    <row r="129" spans="1:29" ht="15" thickTop="1">
      <c r="A129" s="403"/>
      <c r="B129" s="463">
        <f>B46</f>
        <v>111</v>
      </c>
      <c r="C129" s="479"/>
      <c r="D129" s="479"/>
      <c r="E129" s="479"/>
      <c r="F129" s="479"/>
      <c r="G129" s="507"/>
      <c r="H129" s="507"/>
      <c r="I129" s="507"/>
      <c r="J129" s="507"/>
      <c r="K129" s="508"/>
      <c r="L129" s="509"/>
      <c r="M129" s="510"/>
      <c r="N129" s="2502"/>
      <c r="O129" s="2502"/>
      <c r="P129" s="2511"/>
      <c r="Q129" s="2489"/>
      <c r="R129" s="2468"/>
      <c r="S129" s="2468"/>
      <c r="T129" s="2468"/>
      <c r="U129" s="2468"/>
      <c r="V129" s="2468"/>
      <c r="W129" s="2468"/>
      <c r="X129" s="2468"/>
      <c r="Y129" s="2468"/>
      <c r="Z129" s="2468"/>
      <c r="AA129" s="2468"/>
      <c r="AB129" s="2468"/>
      <c r="AC129" s="2468"/>
    </row>
    <row r="130" spans="1:29" ht="15.75" thickBot="1">
      <c r="A130" s="361"/>
      <c r="B130" s="468"/>
      <c r="C130" s="485"/>
      <c r="D130" s="485"/>
      <c r="E130" s="485"/>
      <c r="F130" s="485"/>
      <c r="G130" s="461"/>
      <c r="H130" s="461"/>
      <c r="I130" s="461"/>
      <c r="J130" s="461"/>
      <c r="K130" s="461"/>
      <c r="L130" s="461"/>
      <c r="M130" s="462"/>
      <c r="N130" s="2503"/>
      <c r="O130" s="2503"/>
      <c r="P130" s="2511"/>
      <c r="Q130" s="2489"/>
      <c r="R130" s="2468"/>
      <c r="S130" s="2468"/>
      <c r="T130" s="2468"/>
      <c r="U130" s="2468"/>
      <c r="V130" s="2468"/>
      <c r="W130" s="2468"/>
      <c r="X130" s="2468"/>
      <c r="Y130" s="2468"/>
      <c r="Z130" s="2468"/>
      <c r="AA130" s="2468"/>
      <c r="AB130" s="2468"/>
      <c r="AC130" s="2468"/>
    </row>
    <row r="131" spans="1:29" ht="15" thickTop="1">
      <c r="A131" s="403"/>
      <c r="B131" s="471">
        <f>B47</f>
        <v>111</v>
      </c>
      <c r="C131" s="31"/>
      <c r="D131" s="31"/>
      <c r="E131" s="31"/>
      <c r="F131" s="31"/>
      <c r="G131" s="511"/>
      <c r="H131" s="511"/>
      <c r="I131" s="511"/>
      <c r="J131" s="511"/>
      <c r="K131" s="31"/>
      <c r="L131" s="451"/>
      <c r="M131" s="514"/>
      <c r="N131" s="2502"/>
      <c r="O131" s="2502"/>
      <c r="P131" s="2511"/>
      <c r="Q131" s="2489"/>
      <c r="R131" s="2468"/>
      <c r="S131" s="2468"/>
      <c r="T131" s="2468"/>
      <c r="U131" s="2468"/>
      <c r="V131" s="2468"/>
      <c r="W131" s="2468"/>
      <c r="X131" s="2468"/>
      <c r="Y131" s="2468"/>
      <c r="Z131" s="2468"/>
      <c r="AA131" s="2468"/>
      <c r="AB131" s="2468"/>
      <c r="AC131" s="2468"/>
    </row>
    <row r="132" spans="1:29" ht="15.75" thickBot="1">
      <c r="A132" s="369"/>
      <c r="B132" s="494"/>
      <c r="C132" s="495"/>
      <c r="D132" s="495"/>
      <c r="E132" s="495"/>
      <c r="F132" s="495"/>
      <c r="G132" s="515"/>
      <c r="H132" s="515"/>
      <c r="I132" s="515"/>
      <c r="J132" s="515"/>
      <c r="K132" s="515"/>
      <c r="L132" s="515"/>
      <c r="M132" s="516"/>
      <c r="N132" s="2503"/>
      <c r="O132" s="2503"/>
      <c r="P132" s="2511"/>
      <c r="Q132" s="2489"/>
      <c r="R132" s="2468"/>
      <c r="S132" s="2468"/>
      <c r="T132" s="2468"/>
      <c r="U132" s="2468"/>
      <c r="V132" s="2468"/>
      <c r="W132" s="2468"/>
      <c r="X132" s="2468"/>
      <c r="Y132" s="2468"/>
      <c r="Z132" s="2468"/>
      <c r="AA132" s="2468"/>
      <c r="AB132" s="2468"/>
      <c r="AC132" s="24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1654</v>
      </c>
      <c r="B1" s="1800" t="s">
        <v>1820</v>
      </c>
      <c r="C1" s="1134" t="s">
        <v>1656</v>
      </c>
      <c r="D1" s="1135"/>
      <c r="E1" s="3112"/>
      <c r="F1" s="1727"/>
      <c r="G1" s="1145" t="s">
        <v>1761</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6" customFormat="1" ht="28.5" customHeight="1" thickTop="1">
      <c r="A2" s="1131" t="s">
        <v>1456</v>
      </c>
      <c r="B2" s="1078" t="b">
        <f>IF(E1="项目模式",IF(C2="——",ROUND(C43*D3/10000,0),ROUND(C43*D3/10000,0)-D2),IF(E1="单套模式",IF(C2="——",ROUND(C43*D3/10000,4),ROUND(C43*D3/10000,4)-D2)))</f>
        <v>0</v>
      </c>
      <c r="C2" s="1729"/>
      <c r="D2" s="847" t="e">
        <f ca="1">IF(E1="项目模式",SUMIF(INDIRECT("'"&amp;F2&amp;"'"&amp;"!A:A"),"承租人权益价值",INDIRECT("'"&amp;F2&amp;"'"&amp;"!c:c")),SUMIF(INDIRECT("'"&amp;F2&amp;"'"&amp;"!A:A"),"承租人权益价值（单套）",INDIRECT("'"&amp;F2&amp;"'"&amp;"!c:c")))</f>
        <v>#REF!</v>
      </c>
      <c r="E2" s="1730" t="s">
        <v>1457</v>
      </c>
      <c r="F2" s="1731"/>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1458</v>
      </c>
      <c r="B3" s="530">
        <f>IF(C2="——",C43,ROUND(B2*10000/D3,0))</f>
        <v>0</v>
      </c>
      <c r="C3" s="338" t="s">
        <v>1762</v>
      </c>
      <c r="D3" s="337">
        <f>IF(D1="",'数据-汇总表'!E3,SUMIF('数据-汇总表'!$C19:$C33,D1,'数据-汇总表'!$E19:$E33))</f>
        <v>5979.5300000000007</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1763</v>
      </c>
      <c r="B4" s="340"/>
      <c r="C4" s="3530" t="s">
        <v>1764</v>
      </c>
      <c r="D4" s="3531"/>
      <c r="E4" s="3532" t="s">
        <v>1765</v>
      </c>
      <c r="F4" s="3533"/>
      <c r="G4" s="3530" t="s">
        <v>1766</v>
      </c>
      <c r="H4" s="3531"/>
      <c r="I4" s="3530" t="s">
        <v>1767</v>
      </c>
      <c r="J4" s="3531"/>
      <c r="K4" s="531" t="s">
        <v>1768</v>
      </c>
      <c r="L4" s="853"/>
      <c r="M4" s="854"/>
      <c r="N4" s="854"/>
      <c r="O4" s="854"/>
      <c r="P4" s="3534" t="s">
        <v>1769</v>
      </c>
      <c r="Q4" s="3535"/>
      <c r="R4" s="3540" t="s">
        <v>1765</v>
      </c>
      <c r="S4" s="3541"/>
      <c r="T4" s="3540" t="s">
        <v>1766</v>
      </c>
      <c r="U4" s="3541"/>
      <c r="V4" s="3516" t="s">
        <v>1767</v>
      </c>
      <c r="W4" s="3516"/>
      <c r="X4" s="1257"/>
      <c r="Y4" s="3540" t="s">
        <v>1769</v>
      </c>
      <c r="Z4" s="3541"/>
      <c r="AA4" s="3527" t="s">
        <v>1765</v>
      </c>
      <c r="AB4" s="3528" t="s">
        <v>1766</v>
      </c>
      <c r="AC4" s="3527" t="s">
        <v>1767</v>
      </c>
    </row>
    <row r="5" spans="1:29" ht="15">
      <c r="A5" s="342"/>
      <c r="B5" s="343"/>
      <c r="C5" s="3548" t="s">
        <v>1667</v>
      </c>
      <c r="D5" s="3549"/>
      <c r="E5" s="3555" t="s">
        <v>1668</v>
      </c>
      <c r="F5" s="3556"/>
      <c r="G5" s="3548" t="s">
        <v>1669</v>
      </c>
      <c r="H5" s="3549"/>
      <c r="I5" s="3548" t="s">
        <v>1670</v>
      </c>
      <c r="J5" s="3549"/>
      <c r="K5" s="531"/>
      <c r="L5" s="853"/>
      <c r="M5" s="854"/>
      <c r="N5" s="854"/>
      <c r="O5" s="854"/>
      <c r="P5" s="3536"/>
      <c r="Q5" s="3537"/>
      <c r="R5" s="3542"/>
      <c r="S5" s="3543"/>
      <c r="T5" s="3542"/>
      <c r="U5" s="3543"/>
      <c r="V5" s="3516"/>
      <c r="W5" s="3516"/>
      <c r="X5" s="1257"/>
      <c r="Y5" s="3542"/>
      <c r="Z5" s="3543"/>
      <c r="AA5" s="3528"/>
      <c r="AB5" s="3528"/>
      <c r="AC5" s="3528"/>
    </row>
    <row r="6" spans="1:29" ht="15.75" thickBot="1">
      <c r="A6" s="344"/>
      <c r="B6" s="345"/>
      <c r="C6" s="3546" t="s">
        <v>1671</v>
      </c>
      <c r="D6" s="3547"/>
      <c r="E6" s="3553" t="s">
        <v>1671</v>
      </c>
      <c r="F6" s="3554"/>
      <c r="G6" s="3546" t="s">
        <v>1671</v>
      </c>
      <c r="H6" s="3547"/>
      <c r="I6" s="3546" t="s">
        <v>1671</v>
      </c>
      <c r="J6" s="3547"/>
      <c r="K6" s="531" t="s">
        <v>1672</v>
      </c>
      <c r="L6" s="853"/>
      <c r="M6" s="854"/>
      <c r="N6" s="854"/>
      <c r="O6" s="854"/>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SUMIF(52:52,YEAR(E7)&amp;"-"&amp;MONTH(E7),53:53)</f>
        <v>0</v>
      </c>
      <c r="G7" s="350"/>
      <c r="H7" s="349">
        <f>SUMIF(52:52,YEAR(G7)&amp;"-"&amp;MONTH(G7),53:53)</f>
        <v>0</v>
      </c>
      <c r="I7" s="350"/>
      <c r="J7" s="349">
        <f>SUMIF(52:52,YEAR(I7)&amp;"-"&amp;MONTH(I7),53:53)</f>
        <v>0</v>
      </c>
      <c r="K7" s="38"/>
      <c r="L7" s="855"/>
      <c r="M7" s="856"/>
      <c r="N7" s="856"/>
      <c r="O7" s="856"/>
      <c r="P7" s="3550" t="s">
        <v>1674</v>
      </c>
      <c r="Q7" s="3552"/>
      <c r="R7" s="656" t="s">
        <v>14</v>
      </c>
      <c r="S7" s="657">
        <f t="shared" ref="S7:S15" si="0">F7</f>
        <v>0</v>
      </c>
      <c r="T7" s="656" t="s">
        <v>14</v>
      </c>
      <c r="U7" s="657">
        <f t="shared" ref="U7:U15" si="1">H7</f>
        <v>0</v>
      </c>
      <c r="V7" s="656" t="s">
        <v>14</v>
      </c>
      <c r="W7" s="657">
        <f t="shared" ref="W7:W15" si="2">J7</f>
        <v>0</v>
      </c>
      <c r="X7" s="658"/>
      <c r="Y7" s="3550" t="s">
        <v>1674</v>
      </c>
      <c r="Z7" s="3551"/>
      <c r="AA7" s="50" t="e">
        <f>D7/F7</f>
        <v>#DIV/0!</v>
      </c>
      <c r="AB7" s="50" t="e">
        <f>D7/H7</f>
        <v>#DIV/0!</v>
      </c>
      <c r="AC7" s="50" t="e">
        <f>D7/J7</f>
        <v>#DIV/0!</v>
      </c>
    </row>
    <row r="8" spans="1:29" s="101" customFormat="1" ht="15.75" thickBot="1">
      <c r="A8" s="346" t="s">
        <v>1675</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550" t="s">
        <v>1677</v>
      </c>
      <c r="Q8" s="3551"/>
      <c r="R8" s="656" t="s">
        <v>14</v>
      </c>
      <c r="S8" s="657">
        <f t="shared" si="0"/>
        <v>100</v>
      </c>
      <c r="T8" s="656" t="s">
        <v>14</v>
      </c>
      <c r="U8" s="657">
        <f t="shared" si="1"/>
        <v>100</v>
      </c>
      <c r="V8" s="656" t="s">
        <v>14</v>
      </c>
      <c r="W8" s="657">
        <f t="shared" si="2"/>
        <v>100</v>
      </c>
      <c r="X8" s="658"/>
      <c r="Y8" s="3550" t="s">
        <v>1677</v>
      </c>
      <c r="Z8" s="3551"/>
      <c r="AA8" s="50">
        <f t="shared" ref="AA8:AA40" si="3">D8/F8</f>
        <v>1</v>
      </c>
      <c r="AB8" s="50">
        <f t="shared" ref="AB8:AB40" si="4">D8/H8</f>
        <v>1</v>
      </c>
      <c r="AC8" s="50">
        <f t="shared" ref="AC8:AC40" si="5">D8/J8</f>
        <v>1</v>
      </c>
    </row>
    <row r="9" spans="1:29" s="101" customFormat="1">
      <c r="A9" s="353" t="s">
        <v>1678</v>
      </c>
      <c r="B9" s="60" t="s">
        <v>1679</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515"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50">
        <f t="shared" si="5"/>
        <v>1</v>
      </c>
    </row>
    <row r="10" spans="1:29" s="360" customFormat="1" ht="27">
      <c r="A10" s="357"/>
      <c r="B10" s="358" t="s">
        <v>1682</v>
      </c>
      <c r="C10" s="3113"/>
      <c r="D10" s="113">
        <v>100</v>
      </c>
      <c r="E10" s="3113"/>
      <c r="F10" s="113">
        <f>SUMIF(59:59,E10,60:60)-SUMIF(59:59,C10,60:60)+100</f>
        <v>100</v>
      </c>
      <c r="G10" s="3114"/>
      <c r="H10" s="113">
        <f>SUMIF(59:59,G10,60:60)-SUMIF(59:59,C10,60:60)+100</f>
        <v>100</v>
      </c>
      <c r="I10" s="3113"/>
      <c r="J10" s="113">
        <f>SUMIF(59:59,I10,60:60)-SUMIF(59:59,C10,60:60)+100</f>
        <v>100</v>
      </c>
      <c r="K10" s="38"/>
      <c r="L10" s="858"/>
      <c r="M10" s="859"/>
      <c r="N10" s="859"/>
      <c r="O10" s="860"/>
      <c r="P10" s="3515"/>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50">
        <f t="shared" si="5"/>
        <v>1</v>
      </c>
    </row>
    <row r="11" spans="1:29" ht="15">
      <c r="A11" s="361"/>
      <c r="B11" s="358" t="s">
        <v>1683</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515"/>
      <c r="Q11" s="524" t="str">
        <f t="shared" si="6"/>
        <v>容积率</v>
      </c>
      <c r="R11" s="656" t="s">
        <v>14</v>
      </c>
      <c r="S11" s="657">
        <f t="shared" si="0"/>
        <v>100</v>
      </c>
      <c r="T11" s="656" t="s">
        <v>14</v>
      </c>
      <c r="U11" s="657">
        <f t="shared" si="1"/>
        <v>100</v>
      </c>
      <c r="V11" s="656" t="s">
        <v>14</v>
      </c>
      <c r="W11" s="657">
        <f t="shared" si="2"/>
        <v>100</v>
      </c>
      <c r="X11" s="658"/>
      <c r="Y11" s="3367"/>
      <c r="Z11" s="50" t="str">
        <f t="shared" si="7"/>
        <v>容积率</v>
      </c>
      <c r="AA11" s="50">
        <f t="shared" si="3"/>
        <v>1</v>
      </c>
      <c r="AB11" s="50">
        <f t="shared" si="4"/>
        <v>1</v>
      </c>
      <c r="AC11" s="50">
        <f t="shared" si="5"/>
        <v>1</v>
      </c>
    </row>
    <row r="12" spans="1:29" s="101" customFormat="1" ht="15">
      <c r="A12" s="364"/>
      <c r="B12" s="441">
        <v>111</v>
      </c>
      <c r="C12" s="365"/>
      <c r="D12" s="366">
        <v>100</v>
      </c>
      <c r="E12" s="367"/>
      <c r="F12" s="113">
        <f>SUMIF(64:64,E12,65:65)-SUMIF(64:64,C12,65:65)+100</f>
        <v>100</v>
      </c>
      <c r="G12" s="1810"/>
      <c r="H12" s="113">
        <f>SUMIF(64:64,G12,65:65)-SUMIF(64:64,C12,65:65)+100</f>
        <v>100</v>
      </c>
      <c r="I12" s="401"/>
      <c r="J12" s="113">
        <f>SUMIF(64:64,I12,65:65)-SUMIF(64:64,C12,65:65)+100</f>
        <v>100</v>
      </c>
      <c r="K12" s="533"/>
      <c r="L12" s="855"/>
      <c r="M12" s="856"/>
      <c r="N12" s="856"/>
      <c r="O12" s="857"/>
      <c r="P12" s="3515"/>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10"/>
      <c r="H13" s="368">
        <f>SUMIF(66:66,G13,67:67)-SUMIF(66:66,C13,67:67)+100</f>
        <v>100</v>
      </c>
      <c r="I13" s="401"/>
      <c r="J13" s="368">
        <f>SUMIF(66:66,I13,67:67)-SUMIF(66:66,C13,67:67)+100</f>
        <v>100</v>
      </c>
      <c r="K13" s="533"/>
      <c r="L13" s="863"/>
      <c r="M13" s="854"/>
      <c r="N13" s="854"/>
      <c r="O13" s="862"/>
      <c r="P13" s="3515"/>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50">
        <f t="shared" si="5"/>
        <v>1</v>
      </c>
    </row>
    <row r="14" spans="1:29" ht="15.75" thickBot="1">
      <c r="A14" s="369"/>
      <c r="B14" s="1741">
        <v>111</v>
      </c>
      <c r="C14" s="370"/>
      <c r="D14" s="371">
        <v>100</v>
      </c>
      <c r="E14" s="370"/>
      <c r="F14" s="371">
        <f>SUMIF(68:68,E14,69:69)-SUMIF(68:68,C14,69:69)+100</f>
        <v>100</v>
      </c>
      <c r="G14" s="1810"/>
      <c r="H14" s="371">
        <f>SUMIF(68:68,G14,69:69)-SUMIF(68:68,C14,69:69)+100</f>
        <v>100</v>
      </c>
      <c r="I14" s="401"/>
      <c r="J14" s="371">
        <f>SUMIF(68:68,I14,69:69)-SUMIF(68:68,C14,69:69)+100</f>
        <v>100</v>
      </c>
      <c r="K14" s="533"/>
      <c r="L14" s="863"/>
      <c r="M14" s="854"/>
      <c r="N14" s="854"/>
      <c r="O14" s="862"/>
      <c r="P14" s="3515"/>
      <c r="Q14" s="524">
        <f t="shared" si="6"/>
        <v>111</v>
      </c>
      <c r="R14" s="656" t="s">
        <v>14</v>
      </c>
      <c r="S14" s="657">
        <f t="shared" si="0"/>
        <v>100</v>
      </c>
      <c r="T14" s="656" t="s">
        <v>14</v>
      </c>
      <c r="U14" s="657">
        <f t="shared" si="1"/>
        <v>100</v>
      </c>
      <c r="V14" s="656" t="s">
        <v>14</v>
      </c>
      <c r="W14" s="657">
        <f t="shared" si="2"/>
        <v>100</v>
      </c>
      <c r="X14" s="658"/>
      <c r="Y14" s="3367"/>
      <c r="Z14" s="50">
        <f t="shared" si="7"/>
        <v>111</v>
      </c>
      <c r="AA14" s="50">
        <f t="shared" si="3"/>
        <v>1</v>
      </c>
      <c r="AB14" s="50">
        <f t="shared" si="4"/>
        <v>1</v>
      </c>
      <c r="AC14" s="50">
        <f t="shared" si="5"/>
        <v>1</v>
      </c>
    </row>
    <row r="15" spans="1:29" ht="57">
      <c r="A15" s="373" t="s">
        <v>1684</v>
      </c>
      <c r="B15" s="58" t="s">
        <v>1821</v>
      </c>
      <c r="C15" s="1811" t="str">
        <f>估价对象房地状况!G3</f>
        <v>估价对象位于XX开发区，园区建设成熟度XX，产业集聚程度XX</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517" t="s">
        <v>1685</v>
      </c>
      <c r="Q15" s="1255" t="str">
        <f t="shared" si="6"/>
        <v>产业集聚程度</v>
      </c>
      <c r="R15" s="659" t="s">
        <v>14</v>
      </c>
      <c r="S15" s="660">
        <f t="shared" si="0"/>
        <v>100</v>
      </c>
      <c r="T15" s="659" t="s">
        <v>14</v>
      </c>
      <c r="U15" s="660">
        <f t="shared" si="1"/>
        <v>100</v>
      </c>
      <c r="V15" s="659" t="s">
        <v>14</v>
      </c>
      <c r="W15" s="660">
        <f t="shared" si="2"/>
        <v>100</v>
      </c>
      <c r="X15" s="1257"/>
      <c r="Y15" s="3517" t="s">
        <v>1685</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518"/>
      <c r="Q16" s="1255"/>
      <c r="R16" s="659"/>
      <c r="S16" s="660"/>
      <c r="T16" s="659"/>
      <c r="U16" s="660"/>
      <c r="V16" s="659"/>
      <c r="W16" s="660"/>
      <c r="X16" s="1257"/>
      <c r="Y16" s="3518"/>
      <c r="Z16" s="1256"/>
      <c r="AA16" s="1256">
        <v>1</v>
      </c>
      <c r="AB16" s="1256">
        <v>1</v>
      </c>
      <c r="AC16" s="1256">
        <v>1</v>
      </c>
    </row>
    <row r="17" spans="1:29" ht="85.5">
      <c r="A17" s="361"/>
      <c r="B17" s="384" t="s">
        <v>1256</v>
      </c>
      <c r="C17" s="1746" t="str">
        <f>估价对象房地状况!G4</f>
        <v>估价对象周边道路状况、公共交通通达情况、停车便捷程度，综合评价交通便捷度较好</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518"/>
      <c r="Q17" s="1255" t="str">
        <f>B17</f>
        <v>交通便捷度</v>
      </c>
      <c r="R17" s="659" t="s">
        <v>14</v>
      </c>
      <c r="S17" s="660">
        <f>F17</f>
        <v>100</v>
      </c>
      <c r="T17" s="659" t="s">
        <v>14</v>
      </c>
      <c r="U17" s="660">
        <f>H17</f>
        <v>100</v>
      </c>
      <c r="V17" s="659" t="s">
        <v>14</v>
      </c>
      <c r="W17" s="660">
        <f>J17</f>
        <v>100</v>
      </c>
      <c r="X17" s="1257"/>
      <c r="Y17" s="3518"/>
      <c r="Z17" s="1256" t="str">
        <f>Q17</f>
        <v>交通便捷度</v>
      </c>
      <c r="AA17" s="1256">
        <f t="shared" si="3"/>
        <v>1</v>
      </c>
      <c r="AB17" s="1256">
        <f t="shared" si="4"/>
        <v>1</v>
      </c>
      <c r="AC17" s="1256">
        <f t="shared" si="5"/>
        <v>1</v>
      </c>
    </row>
    <row r="18" spans="1:29" ht="15">
      <c r="A18" s="361"/>
      <c r="B18" s="389"/>
      <c r="C18" s="1747"/>
      <c r="D18" s="383"/>
      <c r="E18" s="1749"/>
      <c r="F18" s="386"/>
      <c r="G18" s="1748"/>
      <c r="H18" s="381"/>
      <c r="I18" s="1749"/>
      <c r="J18" s="381"/>
      <c r="K18" s="535"/>
      <c r="L18" s="863"/>
      <c r="M18" s="854"/>
      <c r="N18" s="854"/>
      <c r="O18" s="862"/>
      <c r="P18" s="3518"/>
      <c r="Q18" s="1255"/>
      <c r="R18" s="659"/>
      <c r="S18" s="660"/>
      <c r="T18" s="659"/>
      <c r="U18" s="660"/>
      <c r="V18" s="659"/>
      <c r="W18" s="660"/>
      <c r="X18" s="1257"/>
      <c r="Y18" s="3518"/>
      <c r="Z18" s="1256"/>
      <c r="AA18" s="1256">
        <v>1</v>
      </c>
      <c r="AB18" s="1256">
        <v>1</v>
      </c>
      <c r="AC18" s="1256">
        <v>1</v>
      </c>
    </row>
    <row r="19" spans="1:29" ht="42.75">
      <c r="A19" s="361"/>
      <c r="B19" s="384" t="s">
        <v>1806</v>
      </c>
      <c r="C19" s="1746" t="str">
        <f>估价对象房地状况!G5</f>
        <v>估价对象所在区域公共配套设施齐备情况</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518"/>
      <c r="Q19" s="1255" t="str">
        <f>B19</f>
        <v>公共配套设施</v>
      </c>
      <c r="R19" s="659" t="s">
        <v>14</v>
      </c>
      <c r="S19" s="660">
        <f>F19</f>
        <v>100</v>
      </c>
      <c r="T19" s="659" t="s">
        <v>14</v>
      </c>
      <c r="U19" s="660">
        <f>H19</f>
        <v>100</v>
      </c>
      <c r="V19" s="659" t="s">
        <v>14</v>
      </c>
      <c r="W19" s="660">
        <f>J19</f>
        <v>100</v>
      </c>
      <c r="X19" s="1257"/>
      <c r="Y19" s="3518"/>
      <c r="Z19" s="1256" t="str">
        <f>Q19</f>
        <v>公共配套设施</v>
      </c>
      <c r="AA19" s="1256">
        <f t="shared" si="3"/>
        <v>1</v>
      </c>
      <c r="AB19" s="1256">
        <f t="shared" si="4"/>
        <v>1</v>
      </c>
      <c r="AC19" s="1256">
        <f t="shared" si="5"/>
        <v>1</v>
      </c>
    </row>
    <row r="20" spans="1:29" ht="15">
      <c r="A20" s="361"/>
      <c r="B20" s="389"/>
      <c r="C20" s="380"/>
      <c r="D20" s="381"/>
      <c r="E20" s="1744"/>
      <c r="F20" s="382"/>
      <c r="G20" s="1743"/>
      <c r="H20" s="381"/>
      <c r="I20" s="1744"/>
      <c r="J20" s="381"/>
      <c r="K20" s="535"/>
      <c r="L20" s="863"/>
      <c r="M20" s="854"/>
      <c r="N20" s="854"/>
      <c r="O20" s="862"/>
      <c r="P20" s="3518"/>
      <c r="Q20" s="1255"/>
      <c r="R20" s="659"/>
      <c r="S20" s="660"/>
      <c r="T20" s="659"/>
      <c r="U20" s="660"/>
      <c r="V20" s="659"/>
      <c r="W20" s="660"/>
      <c r="X20" s="1257"/>
      <c r="Y20" s="3518"/>
      <c r="Z20" s="1256"/>
      <c r="AA20" s="1256">
        <v>1</v>
      </c>
      <c r="AB20" s="1256">
        <v>1</v>
      </c>
      <c r="AC20" s="1256">
        <v>1</v>
      </c>
    </row>
    <row r="21" spans="1:29" ht="28.5">
      <c r="A21" s="361"/>
      <c r="B21" s="580" t="s">
        <v>1807</v>
      </c>
      <c r="C21" s="1746" t="str">
        <f>估价对象房地状况!G6</f>
        <v>估价对象所在区域基础设施水平</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518"/>
      <c r="Q21" s="1255" t="str">
        <f>B21</f>
        <v>基础设施水平</v>
      </c>
      <c r="R21" s="659" t="s">
        <v>14</v>
      </c>
      <c r="S21" s="660">
        <f>F21</f>
        <v>100</v>
      </c>
      <c r="T21" s="659" t="s">
        <v>14</v>
      </c>
      <c r="U21" s="660">
        <f>H21</f>
        <v>100</v>
      </c>
      <c r="V21" s="659" t="s">
        <v>14</v>
      </c>
      <c r="W21" s="660">
        <f>J21</f>
        <v>100</v>
      </c>
      <c r="X21" s="1257"/>
      <c r="Y21" s="3518"/>
      <c r="Z21" s="1256" t="str">
        <f>Q21</f>
        <v>基础设施水平</v>
      </c>
      <c r="AA21" s="1256">
        <f t="shared" ref="AA21" si="8">D21/F21</f>
        <v>1</v>
      </c>
      <c r="AB21" s="1256">
        <f t="shared" ref="AB21" si="9">D21/H21</f>
        <v>1</v>
      </c>
      <c r="AC21" s="1256">
        <f t="shared" ref="AC21" si="10">D21/J21</f>
        <v>1</v>
      </c>
    </row>
    <row r="22" spans="1:29" ht="15">
      <c r="A22" s="361"/>
      <c r="B22" s="580"/>
      <c r="C22" s="1747"/>
      <c r="D22" s="381"/>
      <c r="E22" s="380"/>
      <c r="F22" s="382"/>
      <c r="G22" s="380"/>
      <c r="H22" s="381"/>
      <c r="I22" s="380"/>
      <c r="J22" s="381"/>
      <c r="K22" s="1057"/>
      <c r="L22" s="863"/>
      <c r="M22" s="854"/>
      <c r="N22" s="854"/>
      <c r="O22" s="862"/>
      <c r="P22" s="3518"/>
      <c r="Q22" s="1255"/>
      <c r="R22" s="659"/>
      <c r="S22" s="660"/>
      <c r="T22" s="659"/>
      <c r="U22" s="660"/>
      <c r="V22" s="659"/>
      <c r="W22" s="660"/>
      <c r="X22" s="1257"/>
      <c r="Y22" s="3518"/>
      <c r="Z22" s="1256"/>
      <c r="AA22" s="1256">
        <v>1</v>
      </c>
      <c r="AB22" s="1256">
        <v>1</v>
      </c>
      <c r="AC22" s="1256">
        <v>1</v>
      </c>
    </row>
    <row r="23" spans="1:29" ht="71.25">
      <c r="A23" s="361"/>
      <c r="B23" s="384" t="s">
        <v>1808</v>
      </c>
      <c r="C23" s="1746" t="str">
        <f>估价对象房地状况!G7</f>
        <v>该园区内是否有污染型企业，绿化情况，卫生条件，整体环境状况判断</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518"/>
      <c r="Q23" s="1255" t="str">
        <f>B23</f>
        <v>环境质量</v>
      </c>
      <c r="R23" s="659" t="s">
        <v>14</v>
      </c>
      <c r="S23" s="660">
        <f>F23</f>
        <v>100</v>
      </c>
      <c r="T23" s="659" t="s">
        <v>14</v>
      </c>
      <c r="U23" s="660">
        <f>H23</f>
        <v>100</v>
      </c>
      <c r="V23" s="659" t="s">
        <v>14</v>
      </c>
      <c r="W23" s="660">
        <f>J23</f>
        <v>100</v>
      </c>
      <c r="X23" s="1257"/>
      <c r="Y23" s="3518"/>
      <c r="Z23" s="1256" t="str">
        <f>Q23</f>
        <v>环境质量</v>
      </c>
      <c r="AA23" s="1256">
        <f t="shared" si="3"/>
        <v>1</v>
      </c>
      <c r="AB23" s="1256">
        <f t="shared" si="4"/>
        <v>1</v>
      </c>
      <c r="AC23" s="1256">
        <f t="shared" si="5"/>
        <v>1</v>
      </c>
    </row>
    <row r="24" spans="1:29" ht="15">
      <c r="A24" s="361"/>
      <c r="B24" s="580"/>
      <c r="C24" s="380"/>
      <c r="D24" s="381"/>
      <c r="E24" s="1744"/>
      <c r="F24" s="382"/>
      <c r="G24" s="1743"/>
      <c r="H24" s="381"/>
      <c r="I24" s="1744"/>
      <c r="J24" s="381"/>
      <c r="K24" s="535"/>
      <c r="L24" s="863"/>
      <c r="M24" s="854"/>
      <c r="N24" s="854"/>
      <c r="O24" s="862"/>
      <c r="P24" s="3518"/>
      <c r="Q24" s="1255"/>
      <c r="R24" s="659"/>
      <c r="S24" s="660"/>
      <c r="T24" s="659"/>
      <c r="U24" s="660"/>
      <c r="V24" s="659"/>
      <c r="W24" s="660"/>
      <c r="X24" s="1257"/>
      <c r="Y24" s="3518"/>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518"/>
      <c r="Q25" s="1255">
        <f>B25</f>
        <v>111</v>
      </c>
      <c r="R25" s="659" t="s">
        <v>14</v>
      </c>
      <c r="S25" s="660">
        <f>F25</f>
        <v>100</v>
      </c>
      <c r="T25" s="659" t="s">
        <v>14</v>
      </c>
      <c r="U25" s="660">
        <f>H25</f>
        <v>100</v>
      </c>
      <c r="V25" s="659" t="s">
        <v>14</v>
      </c>
      <c r="W25" s="660">
        <f>J25</f>
        <v>100</v>
      </c>
      <c r="X25" s="1257"/>
      <c r="Y25" s="3518"/>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518"/>
      <c r="Q26" s="1255">
        <f t="shared" ref="Q26:Q40" si="11">B26</f>
        <v>111</v>
      </c>
      <c r="R26" s="659" t="s">
        <v>14</v>
      </c>
      <c r="S26" s="660">
        <f>F26</f>
        <v>100</v>
      </c>
      <c r="T26" s="659" t="s">
        <v>14</v>
      </c>
      <c r="U26" s="660">
        <f>H26</f>
        <v>100</v>
      </c>
      <c r="V26" s="659" t="s">
        <v>14</v>
      </c>
      <c r="W26" s="660">
        <f>J26</f>
        <v>100</v>
      </c>
      <c r="X26" s="1257"/>
      <c r="Y26" s="3518"/>
      <c r="Z26" s="1256">
        <f>Q26</f>
        <v>111</v>
      </c>
      <c r="AA26" s="1256">
        <f t="shared" si="3"/>
        <v>1</v>
      </c>
      <c r="AB26" s="1256">
        <f t="shared" si="4"/>
        <v>1</v>
      </c>
      <c r="AC26" s="1256">
        <f t="shared" si="5"/>
        <v>1</v>
      </c>
    </row>
    <row r="27" spans="1:29" s="101"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518"/>
      <c r="Q27" s="524">
        <f t="shared" si="11"/>
        <v>111</v>
      </c>
      <c r="R27" s="656" t="s">
        <v>14</v>
      </c>
      <c r="S27" s="657">
        <f>F27</f>
        <v>100</v>
      </c>
      <c r="T27" s="656" t="s">
        <v>14</v>
      </c>
      <c r="U27" s="657">
        <f>H27</f>
        <v>100</v>
      </c>
      <c r="V27" s="656" t="s">
        <v>14</v>
      </c>
      <c r="W27" s="657">
        <f>J27</f>
        <v>100</v>
      </c>
      <c r="X27" s="658"/>
      <c r="Y27" s="3518"/>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518"/>
      <c r="Q28" s="1255">
        <f t="shared" si="11"/>
        <v>111</v>
      </c>
      <c r="R28" s="659" t="s">
        <v>14</v>
      </c>
      <c r="S28" s="660">
        <f t="shared" ref="S28:S40" si="12">F28</f>
        <v>100</v>
      </c>
      <c r="T28" s="659" t="s">
        <v>14</v>
      </c>
      <c r="U28" s="660">
        <f t="shared" ref="U28:U40" si="13">H28</f>
        <v>100</v>
      </c>
      <c r="V28" s="659" t="s">
        <v>14</v>
      </c>
      <c r="W28" s="660">
        <f t="shared" ref="W28:W40" si="14">J28</f>
        <v>100</v>
      </c>
      <c r="X28" s="1257"/>
      <c r="Y28" s="3518"/>
      <c r="Z28" s="1256">
        <f t="shared" ref="Z28:Z40" si="15">Q28</f>
        <v>111</v>
      </c>
      <c r="AA28" s="1256">
        <f t="shared" si="3"/>
        <v>1</v>
      </c>
      <c r="AB28" s="1256">
        <f t="shared" si="4"/>
        <v>1</v>
      </c>
      <c r="AC28" s="1256">
        <f t="shared" si="5"/>
        <v>1</v>
      </c>
    </row>
    <row r="29" spans="1:29" ht="28.5">
      <c r="A29" s="398" t="s">
        <v>1688</v>
      </c>
      <c r="B29" s="60" t="s">
        <v>1811</v>
      </c>
      <c r="C29" s="1756"/>
      <c r="D29" s="399">
        <v>100</v>
      </c>
      <c r="E29" s="1756"/>
      <c r="F29" s="394">
        <f>SUMIF(88:88,E29,89:89)-SUMIF(88:88,C29,89:89)+100</f>
        <v>100</v>
      </c>
      <c r="G29" s="1756"/>
      <c r="H29" s="368">
        <f>SUMIF(88:88,G29,89:89)-SUMIF(88:88,C29,89:89)+100</f>
        <v>100</v>
      </c>
      <c r="I29" s="1756"/>
      <c r="J29" s="399">
        <f>SUMIF(88:88,I29,89:89)-SUMIF(88:88,C29,89:89)+100</f>
        <v>100</v>
      </c>
      <c r="K29" s="532"/>
      <c r="L29" s="863"/>
      <c r="M29" s="854"/>
      <c r="N29" s="854"/>
      <c r="O29" s="862"/>
      <c r="P29" s="3572" t="s">
        <v>1690</v>
      </c>
      <c r="Q29" s="1255" t="str">
        <f t="shared" si="11"/>
        <v>建筑类型</v>
      </c>
      <c r="R29" s="659" t="s">
        <v>14</v>
      </c>
      <c r="S29" s="660">
        <f t="shared" si="12"/>
        <v>100</v>
      </c>
      <c r="T29" s="659" t="s">
        <v>14</v>
      </c>
      <c r="U29" s="660">
        <f t="shared" si="13"/>
        <v>100</v>
      </c>
      <c r="V29" s="659" t="s">
        <v>14</v>
      </c>
      <c r="W29" s="660">
        <f t="shared" si="14"/>
        <v>100</v>
      </c>
      <c r="X29" s="1257"/>
      <c r="Y29" s="3522" t="s">
        <v>1690</v>
      </c>
      <c r="Z29" s="1256" t="str">
        <f t="shared" si="15"/>
        <v>建筑类型</v>
      </c>
      <c r="AA29" s="1256">
        <f t="shared" si="3"/>
        <v>1</v>
      </c>
      <c r="AB29" s="1256">
        <f t="shared" si="4"/>
        <v>1</v>
      </c>
      <c r="AC29" s="1256">
        <f t="shared" si="5"/>
        <v>1</v>
      </c>
    </row>
    <row r="30" spans="1:29" s="402" customFormat="1" ht="15">
      <c r="A30" s="400"/>
      <c r="B30" s="358" t="s">
        <v>1691</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522"/>
      <c r="Q30" s="525" t="str">
        <f t="shared" si="11"/>
        <v>项目建筑规模</v>
      </c>
      <c r="R30" s="661" t="s">
        <v>14</v>
      </c>
      <c r="S30" s="662" t="e">
        <f t="shared" si="12"/>
        <v>#N/A</v>
      </c>
      <c r="T30" s="661" t="s">
        <v>14</v>
      </c>
      <c r="U30" s="662" t="e">
        <f t="shared" si="13"/>
        <v>#N/A</v>
      </c>
      <c r="V30" s="661" t="s">
        <v>14</v>
      </c>
      <c r="W30" s="662" t="e">
        <f t="shared" si="14"/>
        <v>#N/A</v>
      </c>
      <c r="X30" s="663"/>
      <c r="Y30" s="3522"/>
      <c r="Z30" s="664" t="str">
        <f t="shared" si="15"/>
        <v>项目建筑规模</v>
      </c>
      <c r="AA30" s="1256" t="e">
        <f t="shared" si="3"/>
        <v>#N/A</v>
      </c>
      <c r="AB30" s="1256" t="e">
        <f t="shared" si="4"/>
        <v>#N/A</v>
      </c>
      <c r="AC30" s="1256" t="e">
        <f t="shared" si="5"/>
        <v>#N/A</v>
      </c>
    </row>
    <row r="31" spans="1:29" ht="15">
      <c r="A31" s="403"/>
      <c r="B31" s="358" t="s">
        <v>1692</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522"/>
      <c r="Q31" s="1255" t="str">
        <f t="shared" si="11"/>
        <v>建筑结构</v>
      </c>
      <c r="R31" s="659" t="s">
        <v>14</v>
      </c>
      <c r="S31" s="660">
        <f t="shared" si="12"/>
        <v>100</v>
      </c>
      <c r="T31" s="659" t="s">
        <v>14</v>
      </c>
      <c r="U31" s="660">
        <f t="shared" si="13"/>
        <v>100</v>
      </c>
      <c r="V31" s="659" t="s">
        <v>14</v>
      </c>
      <c r="W31" s="660">
        <f t="shared" si="14"/>
        <v>100</v>
      </c>
      <c r="X31" s="1257"/>
      <c r="Y31" s="3522"/>
      <c r="Z31" s="1256" t="str">
        <f t="shared" si="15"/>
        <v>建筑结构</v>
      </c>
      <c r="AA31" s="1256">
        <f t="shared" si="3"/>
        <v>1</v>
      </c>
      <c r="AB31" s="1256">
        <f t="shared" si="4"/>
        <v>1</v>
      </c>
      <c r="AC31" s="1256">
        <f t="shared" si="5"/>
        <v>1</v>
      </c>
    </row>
    <row r="32" spans="1:29" ht="15">
      <c r="A32" s="403"/>
      <c r="B32" s="358" t="s">
        <v>1779</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522"/>
      <c r="Q32" s="1255" t="str">
        <f t="shared" si="11"/>
        <v>公共部分装修</v>
      </c>
      <c r="R32" s="659" t="s">
        <v>14</v>
      </c>
      <c r="S32" s="660">
        <f t="shared" si="12"/>
        <v>100</v>
      </c>
      <c r="T32" s="659" t="s">
        <v>14</v>
      </c>
      <c r="U32" s="660">
        <f t="shared" si="13"/>
        <v>100</v>
      </c>
      <c r="V32" s="659" t="s">
        <v>14</v>
      </c>
      <c r="W32" s="660">
        <f t="shared" si="14"/>
        <v>100</v>
      </c>
      <c r="X32" s="1257"/>
      <c r="Y32" s="3522"/>
      <c r="Z32" s="1256" t="str">
        <f t="shared" si="15"/>
        <v>公共部分装修</v>
      </c>
      <c r="AA32" s="1256">
        <f t="shared" si="3"/>
        <v>1</v>
      </c>
      <c r="AB32" s="1256">
        <f t="shared" si="4"/>
        <v>1</v>
      </c>
      <c r="AC32" s="1256">
        <f t="shared" si="5"/>
        <v>1</v>
      </c>
    </row>
    <row r="33" spans="1:29" ht="15">
      <c r="A33" s="403"/>
      <c r="B33" s="358" t="s">
        <v>1780</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522"/>
      <c r="Q33" s="1255" t="str">
        <f t="shared" si="11"/>
        <v>成新度</v>
      </c>
      <c r="R33" s="659" t="s">
        <v>14</v>
      </c>
      <c r="S33" s="660" t="e">
        <f t="shared" si="12"/>
        <v>#N/A</v>
      </c>
      <c r="T33" s="659" t="s">
        <v>14</v>
      </c>
      <c r="U33" s="660" t="e">
        <f t="shared" si="13"/>
        <v>#N/A</v>
      </c>
      <c r="V33" s="659" t="s">
        <v>14</v>
      </c>
      <c r="W33" s="660" t="e">
        <f t="shared" si="14"/>
        <v>#N/A</v>
      </c>
      <c r="X33" s="1257"/>
      <c r="Y33" s="3522"/>
      <c r="Z33" s="1256" t="str">
        <f t="shared" si="15"/>
        <v>成新度</v>
      </c>
      <c r="AA33" s="1256" t="e">
        <f t="shared" si="3"/>
        <v>#N/A</v>
      </c>
      <c r="AB33" s="1256" t="e">
        <f t="shared" si="4"/>
        <v>#N/A</v>
      </c>
      <c r="AC33" s="1256" t="e">
        <f t="shared" si="5"/>
        <v>#N/A</v>
      </c>
    </row>
    <row r="34" spans="1:29" s="101" customFormat="1" ht="15">
      <c r="A34" s="404"/>
      <c r="B34" s="358" t="s">
        <v>1813</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522"/>
      <c r="Q34" s="524" t="str">
        <f t="shared" si="11"/>
        <v>物业管理</v>
      </c>
      <c r="R34" s="656" t="s">
        <v>14</v>
      </c>
      <c r="S34" s="657">
        <f t="shared" si="12"/>
        <v>100</v>
      </c>
      <c r="T34" s="656" t="s">
        <v>14</v>
      </c>
      <c r="U34" s="657">
        <f t="shared" si="13"/>
        <v>100</v>
      </c>
      <c r="V34" s="656" t="s">
        <v>14</v>
      </c>
      <c r="W34" s="657">
        <f t="shared" si="14"/>
        <v>100</v>
      </c>
      <c r="X34" s="658"/>
      <c r="Y34" s="3522"/>
      <c r="Z34" s="50" t="str">
        <f t="shared" si="15"/>
        <v>物业管理</v>
      </c>
      <c r="AA34" s="50">
        <f t="shared" si="3"/>
        <v>1</v>
      </c>
      <c r="AB34" s="50">
        <f t="shared" si="4"/>
        <v>1</v>
      </c>
      <c r="AC34" s="50">
        <f t="shared" si="5"/>
        <v>1</v>
      </c>
    </row>
    <row r="35" spans="1:29" ht="15">
      <c r="A35" s="403"/>
      <c r="B35" s="358" t="s">
        <v>1781</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522" t="s">
        <v>1690</v>
      </c>
      <c r="Q35" s="1255" t="str">
        <f t="shared" si="11"/>
        <v>市政基础设施</v>
      </c>
      <c r="R35" s="659" t="s">
        <v>14</v>
      </c>
      <c r="S35" s="660">
        <f t="shared" si="12"/>
        <v>100</v>
      </c>
      <c r="T35" s="659" t="s">
        <v>14</v>
      </c>
      <c r="U35" s="660">
        <f t="shared" si="13"/>
        <v>100</v>
      </c>
      <c r="V35" s="659" t="s">
        <v>14</v>
      </c>
      <c r="W35" s="660">
        <f t="shared" si="14"/>
        <v>100</v>
      </c>
      <c r="X35" s="1257"/>
      <c r="Y35" s="3522" t="s">
        <v>1690</v>
      </c>
      <c r="Z35" s="1256" t="str">
        <f t="shared" si="15"/>
        <v>市政基础设施</v>
      </c>
      <c r="AA35" s="1256">
        <f t="shared" si="3"/>
        <v>1</v>
      </c>
      <c r="AB35" s="1256">
        <f t="shared" si="4"/>
        <v>1</v>
      </c>
      <c r="AC35" s="1256">
        <f t="shared" si="5"/>
        <v>1</v>
      </c>
    </row>
    <row r="36" spans="1:29" ht="15">
      <c r="A36" s="403"/>
      <c r="B36" s="358" t="s">
        <v>1786</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522"/>
      <c r="Q36" s="1255" t="str">
        <f t="shared" si="11"/>
        <v>内部装修</v>
      </c>
      <c r="R36" s="659" t="s">
        <v>14</v>
      </c>
      <c r="S36" s="660">
        <f t="shared" si="12"/>
        <v>100</v>
      </c>
      <c r="T36" s="659" t="s">
        <v>14</v>
      </c>
      <c r="U36" s="660">
        <f t="shared" si="13"/>
        <v>100</v>
      </c>
      <c r="V36" s="659" t="s">
        <v>14</v>
      </c>
      <c r="W36" s="660">
        <f t="shared" si="14"/>
        <v>100</v>
      </c>
      <c r="X36" s="1257"/>
      <c r="Y36" s="3522"/>
      <c r="Z36" s="1256" t="str">
        <f t="shared" si="15"/>
        <v>内部装修</v>
      </c>
      <c r="AA36" s="1256">
        <f t="shared" si="3"/>
        <v>1</v>
      </c>
      <c r="AB36" s="1256">
        <f t="shared" si="4"/>
        <v>1</v>
      </c>
      <c r="AC36" s="1256">
        <f t="shared" si="5"/>
        <v>1</v>
      </c>
    </row>
    <row r="37" spans="1:29" ht="15">
      <c r="A37" s="403"/>
      <c r="B37" s="358" t="s">
        <v>1822</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522"/>
      <c r="Q37" s="1255" t="str">
        <f t="shared" si="11"/>
        <v>内部装修状况</v>
      </c>
      <c r="R37" s="659" t="s">
        <v>14</v>
      </c>
      <c r="S37" s="660">
        <f t="shared" si="12"/>
        <v>100</v>
      </c>
      <c r="T37" s="659" t="s">
        <v>14</v>
      </c>
      <c r="U37" s="660">
        <f t="shared" si="13"/>
        <v>100</v>
      </c>
      <c r="V37" s="659" t="s">
        <v>14</v>
      </c>
      <c r="W37" s="660">
        <f t="shared" si="14"/>
        <v>100</v>
      </c>
      <c r="X37" s="1257"/>
      <c r="Y37" s="3522"/>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522"/>
      <c r="Q38" s="525">
        <f t="shared" si="11"/>
        <v>111</v>
      </c>
      <c r="R38" s="661" t="s">
        <v>14</v>
      </c>
      <c r="S38" s="662">
        <f t="shared" si="12"/>
        <v>100</v>
      </c>
      <c r="T38" s="661" t="s">
        <v>14</v>
      </c>
      <c r="U38" s="662">
        <f t="shared" si="13"/>
        <v>100</v>
      </c>
      <c r="V38" s="661" t="s">
        <v>14</v>
      </c>
      <c r="W38" s="662">
        <f t="shared" si="14"/>
        <v>100</v>
      </c>
      <c r="X38" s="663"/>
      <c r="Y38" s="3522"/>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522"/>
      <c r="Q39" s="1255">
        <f t="shared" si="11"/>
        <v>111</v>
      </c>
      <c r="R39" s="659" t="s">
        <v>14</v>
      </c>
      <c r="S39" s="660">
        <f t="shared" si="12"/>
        <v>100</v>
      </c>
      <c r="T39" s="659" t="s">
        <v>14</v>
      </c>
      <c r="U39" s="660">
        <f t="shared" si="13"/>
        <v>100</v>
      </c>
      <c r="V39" s="659" t="s">
        <v>14</v>
      </c>
      <c r="W39" s="660">
        <f t="shared" si="14"/>
        <v>100</v>
      </c>
      <c r="X39" s="1257"/>
      <c r="Y39" s="3522"/>
      <c r="Z39" s="1256">
        <f t="shared" si="15"/>
        <v>111</v>
      </c>
      <c r="AA39" s="1256">
        <f t="shared" si="3"/>
        <v>1</v>
      </c>
      <c r="AB39" s="1256">
        <f t="shared" si="4"/>
        <v>1</v>
      </c>
      <c r="AC39" s="1256">
        <f t="shared" si="5"/>
        <v>1</v>
      </c>
    </row>
    <row r="40" spans="1:29" ht="15.75" thickBot="1">
      <c r="A40" s="409"/>
      <c r="B40" s="1741">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523"/>
      <c r="Q40" s="1255">
        <f t="shared" si="11"/>
        <v>111</v>
      </c>
      <c r="R40" s="659" t="s">
        <v>14</v>
      </c>
      <c r="S40" s="660">
        <f t="shared" si="12"/>
        <v>100</v>
      </c>
      <c r="T40" s="659" t="s">
        <v>14</v>
      </c>
      <c r="U40" s="660">
        <f t="shared" si="13"/>
        <v>100</v>
      </c>
      <c r="V40" s="659" t="s">
        <v>14</v>
      </c>
      <c r="W40" s="660">
        <f t="shared" si="14"/>
        <v>100</v>
      </c>
      <c r="X40" s="1257"/>
      <c r="Y40" s="3523"/>
      <c r="Z40" s="1256">
        <f t="shared" si="15"/>
        <v>111</v>
      </c>
      <c r="AA40" s="1256">
        <f t="shared" si="3"/>
        <v>1</v>
      </c>
      <c r="AB40" s="1256">
        <f t="shared" si="4"/>
        <v>1</v>
      </c>
      <c r="AC40" s="1256">
        <f t="shared" si="5"/>
        <v>1</v>
      </c>
    </row>
    <row r="41" spans="1:29" ht="15">
      <c r="A41" s="410" t="s">
        <v>1702</v>
      </c>
      <c r="B41" s="411"/>
      <c r="C41" s="1074" t="s">
        <v>0</v>
      </c>
      <c r="D41" s="412"/>
      <c r="E41" s="413"/>
      <c r="F41" s="414"/>
      <c r="G41" s="415"/>
      <c r="H41" s="416"/>
      <c r="I41" s="413"/>
      <c r="J41" s="416"/>
      <c r="K41" s="666"/>
      <c r="L41" s="866"/>
      <c r="M41" s="854"/>
      <c r="N41" s="854"/>
      <c r="O41" s="854"/>
      <c r="P41" s="3515" t="str">
        <f>A41</f>
        <v>成交单价（元/平方米）</v>
      </c>
      <c r="Q41" s="3515"/>
      <c r="R41" s="3516">
        <f>E41</f>
        <v>0</v>
      </c>
      <c r="S41" s="3516"/>
      <c r="T41" s="3516">
        <f>G41</f>
        <v>0</v>
      </c>
      <c r="U41" s="3516"/>
      <c r="V41" s="3516">
        <f>I41</f>
        <v>0</v>
      </c>
      <c r="W41" s="3516"/>
      <c r="X41" s="379"/>
      <c r="Y41" s="665"/>
      <c r="Z41" s="379"/>
      <c r="AA41" s="379"/>
      <c r="AB41" s="379"/>
      <c r="AC41" s="379"/>
    </row>
    <row r="42" spans="1:29" ht="15.75" thickBot="1">
      <c r="A42" s="417" t="s">
        <v>1787</v>
      </c>
      <c r="B42" s="418"/>
      <c r="C42" s="1075" t="e">
        <f>R43</f>
        <v>#DIV/0!</v>
      </c>
      <c r="D42" s="2133" t="s">
        <v>2132</v>
      </c>
      <c r="E42" s="1076" t="e">
        <f>R42</f>
        <v>#DIV/0!</v>
      </c>
      <c r="F42" s="2134"/>
      <c r="G42" s="1075" t="e">
        <f>T42</f>
        <v>#DIV/0!</v>
      </c>
      <c r="H42" s="2134"/>
      <c r="I42" s="1076" t="e">
        <f>V42</f>
        <v>#DIV/0!</v>
      </c>
      <c r="J42" s="2134"/>
      <c r="K42" s="2136">
        <f>F42+H42+J42</f>
        <v>0</v>
      </c>
      <c r="L42" s="866"/>
      <c r="M42" s="854"/>
      <c r="N42" s="854"/>
      <c r="O42" s="854"/>
      <c r="P42" s="3515" t="str">
        <f>A42</f>
        <v>比较价值（元/平方米）</v>
      </c>
      <c r="Q42" s="3515"/>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379"/>
      <c r="Y42" s="379"/>
      <c r="Z42" s="379"/>
      <c r="AA42" s="379"/>
      <c r="AB42" s="379"/>
      <c r="AC42" s="379"/>
    </row>
    <row r="43" spans="1:29" ht="15.75" thickBot="1">
      <c r="A43" s="421" t="s">
        <v>1788</v>
      </c>
      <c r="B43" s="422"/>
      <c r="C43" s="345" t="e">
        <f>R43</f>
        <v>#DIV/0!</v>
      </c>
      <c r="D43" s="345"/>
      <c r="E43" s="345"/>
      <c r="F43" s="345"/>
      <c r="G43" s="345"/>
      <c r="H43" s="345"/>
      <c r="I43" s="345"/>
      <c r="J43" s="345"/>
      <c r="K43" s="667"/>
      <c r="L43" s="866"/>
      <c r="M43" s="854"/>
      <c r="N43" s="854"/>
      <c r="O43" s="854"/>
      <c r="P43" s="3512" t="str">
        <f>A43</f>
        <v>估价对象XX用房的比较价值（楼面单价，元/平方米）</v>
      </c>
      <c r="Q43" s="3513"/>
      <c r="R43" s="3514" t="e">
        <f>IF(F1="售价",ROUND(IF(D42="简单平均",AVERAGE(R42:V42),R42*F42+T42*H42+V42*J42),0),ROUND(IF(D42="简单平均",AVERAGE(R42:V42),R42*F42+T42*H42+V42*J42),1))</f>
        <v>#DIV/0!</v>
      </c>
      <c r="S43" s="3514"/>
      <c r="T43" s="3514"/>
      <c r="U43" s="3514"/>
      <c r="V43" s="3514"/>
      <c r="W43" s="3514"/>
      <c r="X43" s="379"/>
      <c r="Y43" s="379"/>
      <c r="Z43" s="379"/>
      <c r="AA43" s="379"/>
      <c r="AB43" s="379"/>
      <c r="AC43" s="379"/>
    </row>
    <row r="44" spans="1:29">
      <c r="A44" s="2468"/>
      <c r="B44" s="2468"/>
      <c r="C44" s="2468"/>
      <c r="D44" s="2468"/>
      <c r="E44" s="2468"/>
      <c r="F44" s="2468"/>
      <c r="G44" s="2479"/>
      <c r="H44" s="2468"/>
      <c r="I44" s="2468"/>
      <c r="J44" s="2468"/>
      <c r="K44" s="2480"/>
      <c r="L44" s="829"/>
      <c r="M44" s="854"/>
      <c r="N44" s="854"/>
      <c r="O44" s="854"/>
    </row>
    <row r="45" spans="1:29">
      <c r="A45" s="2468"/>
      <c r="B45" s="2468"/>
      <c r="C45" s="2468"/>
      <c r="D45" s="2468"/>
      <c r="E45" s="2468"/>
      <c r="F45" s="2468"/>
      <c r="G45" s="2468"/>
      <c r="H45" s="2468"/>
      <c r="I45" s="2468"/>
      <c r="J45" s="2468"/>
      <c r="K45" s="2480"/>
      <c r="L45" s="829"/>
      <c r="M45" s="854"/>
      <c r="N45" s="854"/>
      <c r="O45" s="854"/>
    </row>
    <row r="46" spans="1:29" ht="13.5" customHeight="1">
      <c r="A46" s="2468"/>
      <c r="B46" s="2468"/>
      <c r="C46" s="426" t="s">
        <v>1789</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0"/>
      <c r="L46" s="829"/>
      <c r="M46" s="854"/>
      <c r="N46" s="854"/>
      <c r="O46" s="854"/>
    </row>
    <row r="47" spans="1:29" ht="13.5" customHeight="1">
      <c r="A47" s="2468"/>
      <c r="B47" s="2468"/>
      <c r="C47" s="426" t="s">
        <v>1790</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0"/>
      <c r="L47" s="829"/>
      <c r="M47" s="854"/>
      <c r="N47" s="854"/>
      <c r="O47" s="854"/>
    </row>
    <row r="48" spans="1:29" s="431" customFormat="1" ht="13.5" customHeight="1">
      <c r="A48" s="2478"/>
      <c r="B48" s="2478"/>
      <c r="C48" s="426" t="s">
        <v>1791</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3"/>
      <c r="L48" s="869"/>
      <c r="M48" s="867"/>
      <c r="N48" s="867"/>
      <c r="O48" s="867"/>
    </row>
    <row r="49" spans="1:17" s="431" customFormat="1">
      <c r="A49" s="2478"/>
      <c r="B49" s="2481"/>
      <c r="C49" s="2482"/>
      <c r="D49" s="2478"/>
      <c r="E49" s="2478"/>
      <c r="F49" s="2478"/>
      <c r="G49" s="2478"/>
      <c r="H49" s="2478"/>
      <c r="I49" s="2478"/>
      <c r="J49" s="2478"/>
      <c r="K49" s="2483"/>
      <c r="L49" s="869"/>
      <c r="M49" s="867"/>
      <c r="N49" s="867"/>
      <c r="O49" s="867"/>
    </row>
    <row r="50" spans="1:17">
      <c r="A50" s="2468"/>
      <c r="B50" s="2481"/>
      <c r="C50" s="2482"/>
      <c r="D50" s="2468"/>
      <c r="E50" s="2468"/>
      <c r="F50" s="2468"/>
      <c r="G50" s="2468"/>
      <c r="H50" s="2468"/>
      <c r="I50" s="2468"/>
      <c r="J50" s="2468"/>
      <c r="K50" s="2480"/>
      <c r="L50" s="829"/>
      <c r="M50" s="854"/>
      <c r="N50" s="854"/>
      <c r="O50" s="854"/>
    </row>
    <row r="51" spans="1:17" ht="21.75" thickBot="1">
      <c r="A51" s="650" t="s">
        <v>1792</v>
      </c>
      <c r="B51" s="379"/>
      <c r="C51" s="651"/>
      <c r="D51" s="651"/>
      <c r="E51" s="651"/>
      <c r="F51" s="652"/>
      <c r="G51" s="652"/>
      <c r="H51" s="651"/>
      <c r="I51" s="651"/>
      <c r="J51" s="651"/>
      <c r="K51" s="880"/>
      <c r="L51" s="881"/>
      <c r="M51" s="879"/>
      <c r="N51" s="879"/>
      <c r="O51" s="879"/>
      <c r="P51" s="432"/>
      <c r="Q51" s="433"/>
    </row>
    <row r="52" spans="1:17" s="436" customFormat="1" ht="15">
      <c r="A52" s="434" t="s">
        <v>1673</v>
      </c>
      <c r="B52" s="435"/>
      <c r="C52" s="1096" t="str">
        <f>YEAR(C7)&amp;"-"&amp;MONTH(C7)</f>
        <v>2024-5</v>
      </c>
      <c r="D52" s="1097">
        <f>EDATE(C52,-1)</f>
        <v>45383</v>
      </c>
      <c r="E52" s="1097">
        <f t="shared" ref="E52:O52" si="16">EDATE(D52,-1)</f>
        <v>45352</v>
      </c>
      <c r="F52" s="1097">
        <f t="shared" si="16"/>
        <v>45323</v>
      </c>
      <c r="G52" s="1097">
        <f t="shared" si="16"/>
        <v>45292</v>
      </c>
      <c r="H52" s="1097">
        <f t="shared" si="16"/>
        <v>45261</v>
      </c>
      <c r="I52" s="1097">
        <f t="shared" si="16"/>
        <v>45231</v>
      </c>
      <c r="J52" s="1097">
        <f t="shared" si="16"/>
        <v>45200</v>
      </c>
      <c r="K52" s="1097">
        <f t="shared" si="16"/>
        <v>45170</v>
      </c>
      <c r="L52" s="1097">
        <f t="shared" si="16"/>
        <v>45139</v>
      </c>
      <c r="M52" s="1097">
        <f t="shared" si="16"/>
        <v>45108</v>
      </c>
      <c r="N52" s="1097">
        <f t="shared" si="16"/>
        <v>45078</v>
      </c>
      <c r="O52" s="1097">
        <f t="shared" si="16"/>
        <v>45047</v>
      </c>
    </row>
    <row r="53" spans="1:17" s="101" customFormat="1" ht="15">
      <c r="A53" s="437"/>
      <c r="B53" s="438"/>
      <c r="C53" s="1095">
        <v>100</v>
      </c>
      <c r="D53" s="440"/>
      <c r="E53" s="440"/>
      <c r="F53" s="440"/>
      <c r="G53" s="440"/>
      <c r="H53" s="440"/>
      <c r="I53" s="440"/>
      <c r="J53" s="440"/>
      <c r="K53" s="440"/>
      <c r="L53" s="440"/>
      <c r="M53" s="441"/>
      <c r="N53" s="440"/>
      <c r="O53" s="442"/>
      <c r="P53" s="433"/>
    </row>
    <row r="54" spans="1:17" s="101" customFormat="1" ht="15.75" thickBot="1">
      <c r="A54" s="443" t="s">
        <v>1710</v>
      </c>
      <c r="B54" s="444"/>
      <c r="C54" s="445"/>
      <c r="D54" s="446"/>
      <c r="E54" s="446"/>
      <c r="F54" s="446"/>
      <c r="G54" s="446"/>
      <c r="H54" s="446"/>
      <c r="I54" s="446"/>
      <c r="J54" s="446"/>
      <c r="K54" s="446"/>
      <c r="L54" s="446"/>
      <c r="M54" s="447"/>
      <c r="N54" s="2519"/>
      <c r="O54" s="2520"/>
      <c r="P54" s="433"/>
      <c r="Q54" s="433"/>
    </row>
    <row r="55" spans="1:17" s="101" customFormat="1" ht="15">
      <c r="A55" s="449" t="s">
        <v>1675</v>
      </c>
      <c r="B55" s="438"/>
      <c r="C55" s="450" t="s">
        <v>1770</v>
      </c>
      <c r="D55" s="31"/>
      <c r="E55" s="31"/>
      <c r="F55" s="31"/>
      <c r="G55" s="31"/>
      <c r="H55" s="31"/>
      <c r="I55" s="31"/>
      <c r="J55" s="31"/>
      <c r="K55" s="31"/>
      <c r="L55" s="451"/>
      <c r="M55" s="452"/>
      <c r="N55" s="871"/>
      <c r="O55" s="871"/>
      <c r="P55" s="453"/>
      <c r="Q55" s="433"/>
    </row>
    <row r="56" spans="1:17" s="101"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1713</v>
      </c>
      <c r="B57" s="454" t="s">
        <v>1679</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1682</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1683</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1684</v>
      </c>
      <c r="B70" s="454" t="s">
        <v>1823</v>
      </c>
      <c r="C70" s="498" t="s">
        <v>1715</v>
      </c>
      <c r="D70" s="498" t="s">
        <v>1716</v>
      </c>
      <c r="E70" s="498" t="s">
        <v>1717</v>
      </c>
      <c r="F70" s="498" t="s">
        <v>1718</v>
      </c>
      <c r="G70" s="498" t="s">
        <v>1719</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1720</v>
      </c>
      <c r="C72" s="503" t="s">
        <v>1715</v>
      </c>
      <c r="D72" s="503" t="s">
        <v>1716</v>
      </c>
      <c r="E72" s="503" t="s">
        <v>1717</v>
      </c>
      <c r="F72" s="503" t="s">
        <v>1718</v>
      </c>
      <c r="G72" s="503" t="s">
        <v>1719</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1721</v>
      </c>
      <c r="C74" s="503" t="s">
        <v>1715</v>
      </c>
      <c r="D74" s="503" t="s">
        <v>1716</v>
      </c>
      <c r="E74" s="503" t="s">
        <v>1717</v>
      </c>
      <c r="F74" s="503" t="s">
        <v>1718</v>
      </c>
      <c r="G74" s="503" t="s">
        <v>1719</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1807</v>
      </c>
      <c r="C76" s="575" t="s">
        <v>1793</v>
      </c>
      <c r="D76" s="575" t="s">
        <v>1794</v>
      </c>
      <c r="E76" s="575" t="s">
        <v>1795</v>
      </c>
      <c r="F76" s="575" t="s">
        <v>1796</v>
      </c>
      <c r="G76" s="575" t="s">
        <v>1797</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1816</v>
      </c>
      <c r="C78" s="503" t="s">
        <v>1715</v>
      </c>
      <c r="D78" s="503" t="s">
        <v>1716</v>
      </c>
      <c r="E78" s="503" t="s">
        <v>1717</v>
      </c>
      <c r="F78" s="503" t="s">
        <v>1718</v>
      </c>
      <c r="G78" s="503" t="s">
        <v>1719</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1" customFormat="1" ht="15.75" thickTop="1">
      <c r="A80" s="364"/>
      <c r="B80" s="463">
        <f>B25</f>
        <v>111</v>
      </c>
      <c r="C80" s="479"/>
      <c r="D80" s="479"/>
      <c r="E80" s="479"/>
      <c r="F80" s="479"/>
      <c r="G80" s="479"/>
      <c r="H80" s="479"/>
      <c r="I80" s="479"/>
      <c r="J80" s="479"/>
      <c r="K80" s="479"/>
      <c r="L80" s="504"/>
      <c r="M80" s="505"/>
      <c r="N80" s="871"/>
      <c r="O80" s="871"/>
      <c r="P80" s="40"/>
      <c r="Q80" s="433"/>
    </row>
    <row r="81" spans="1:17" s="101" customFormat="1" ht="15.75" thickBot="1">
      <c r="A81" s="364"/>
      <c r="B81" s="468"/>
      <c r="C81" s="485"/>
      <c r="D81" s="461"/>
      <c r="E81" s="461"/>
      <c r="F81" s="461"/>
      <c r="G81" s="461"/>
      <c r="H81" s="461"/>
      <c r="I81" s="461"/>
      <c r="J81" s="461"/>
      <c r="K81" s="461"/>
      <c r="L81" s="461"/>
      <c r="M81" s="462"/>
      <c r="N81" s="873"/>
      <c r="O81" s="873"/>
      <c r="P81" s="40"/>
      <c r="Q81" s="433"/>
    </row>
    <row r="82" spans="1:17" s="101" customFormat="1" ht="15.75" thickTop="1">
      <c r="A82" s="364"/>
      <c r="B82" s="463">
        <f>B26</f>
        <v>111</v>
      </c>
      <c r="C82" s="479"/>
      <c r="D82" s="479"/>
      <c r="E82" s="479"/>
      <c r="F82" s="479"/>
      <c r="G82" s="479"/>
      <c r="H82" s="479"/>
      <c r="I82" s="479"/>
      <c r="J82" s="479"/>
      <c r="K82" s="479"/>
      <c r="L82" s="504"/>
      <c r="M82" s="505"/>
      <c r="N82" s="871"/>
      <c r="O82" s="871"/>
      <c r="P82" s="40"/>
      <c r="Q82" s="433"/>
    </row>
    <row r="83" spans="1:17" s="101"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1688</v>
      </c>
      <c r="B88" s="454" t="s">
        <v>1730</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1731</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1732</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1734</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1187</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1735</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1736</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1738</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1824</v>
      </c>
      <c r="C106" s="503" t="s">
        <v>1715</v>
      </c>
      <c r="D106" s="503" t="s">
        <v>1716</v>
      </c>
      <c r="E106" s="503" t="s">
        <v>1717</v>
      </c>
      <c r="F106" s="503" t="s">
        <v>1718</v>
      </c>
      <c r="G106" s="503" t="s">
        <v>1719</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1825</v>
      </c>
      <c r="B1" s="1133" t="s">
        <v>3331</v>
      </c>
      <c r="C1" s="1134" t="s">
        <v>1656</v>
      </c>
      <c r="D1" s="1135"/>
      <c r="E1" s="3112"/>
      <c r="F1" s="1727"/>
      <c r="G1" s="1137" t="s">
        <v>1761</v>
      </c>
      <c r="H1" s="1136"/>
      <c r="I1" s="1136"/>
      <c r="J1" s="1136"/>
      <c r="K1" s="1138"/>
      <c r="L1" s="1139"/>
      <c r="M1" s="1140"/>
      <c r="N1" s="1140"/>
      <c r="O1" s="1140"/>
      <c r="P1" s="1141"/>
      <c r="Q1" s="1134"/>
      <c r="R1" s="1134"/>
      <c r="S1" s="1134"/>
      <c r="T1" s="1134"/>
      <c r="U1" s="1134"/>
      <c r="V1" s="1134"/>
      <c r="W1" s="1134"/>
      <c r="X1" s="1134"/>
      <c r="Y1" s="1134"/>
      <c r="Z1" s="1134"/>
      <c r="AA1" s="1134"/>
      <c r="AB1" s="1134"/>
      <c r="AC1" s="1142"/>
    </row>
    <row r="2" spans="1:29" s="336" customFormat="1" ht="28.5" customHeight="1" thickTop="1">
      <c r="A2" s="1131" t="s">
        <v>1456</v>
      </c>
      <c r="B2" s="1078" t="b">
        <f>IF(E1="项目模式",IF(C2="——",IF(B37="元/平方米",ROUND(C39*D3/10000,0),ROUND(F3*C39/10000,0)),IF(B37="元/平方米",ROUND(C39*D3/10000,0),ROUND(F3*C39/10000,0))-D2),IF(E1="单套模式",IF(C2="——",IF(B37="元/平方米",ROUND(C39*D3/10000,0),ROUND(F3*C39/10000,0)),IF(B37="元/平方米",ROUND(C39*D3/10000,0),ROUND(F3*C39/10000,0))-D2)))</f>
        <v>0</v>
      </c>
      <c r="C2" s="1729"/>
      <c r="D2" s="847" t="e">
        <f ca="1">IF(E1="项目模式",SUMIF(INDIRECT("'"&amp;F2&amp;"'"&amp;"!A:A"),"承租人权益价值",INDIRECT("'"&amp;F2&amp;"'"&amp;"!c:c")),SUMIF(INDIRECT("'"&amp;F2&amp;"'"&amp;"!A:A"),"承租人权益价值（单套）",INDIRECT("'"&amp;F2&amp;"'"&amp;"!c:c")))</f>
        <v>#REF!</v>
      </c>
      <c r="E2" s="1730" t="s">
        <v>1457</v>
      </c>
      <c r="F2" s="1731"/>
      <c r="G2" s="848"/>
      <c r="H2" s="848"/>
      <c r="I2" s="848"/>
      <c r="J2" s="848"/>
      <c r="K2" s="850"/>
      <c r="L2" s="2484"/>
      <c r="M2" s="2485"/>
      <c r="N2" s="2485"/>
      <c r="O2" s="2485"/>
      <c r="P2" s="1079"/>
      <c r="Q2" s="335"/>
      <c r="R2" s="335"/>
      <c r="S2" s="335"/>
      <c r="T2" s="335"/>
      <c r="U2" s="335"/>
      <c r="V2" s="335"/>
      <c r="W2" s="335"/>
      <c r="X2" s="335"/>
      <c r="Y2" s="335"/>
      <c r="Z2" s="335"/>
      <c r="AA2" s="335"/>
      <c r="AB2" s="335"/>
      <c r="AC2" s="655"/>
    </row>
    <row r="3" spans="1:29" s="336" customFormat="1" ht="28.5" customHeight="1" thickBot="1">
      <c r="A3" s="189" t="s">
        <v>1458</v>
      </c>
      <c r="B3" s="530" t="e">
        <f>IF(AND(C2="——",B37="元/平方米"),C39,ROUND(B2*10000/D3,0))</f>
        <v>#DIV/0!</v>
      </c>
      <c r="C3" s="338" t="s">
        <v>1762</v>
      </c>
      <c r="D3" s="337">
        <f>SUMIF('数据-汇总表'!$C19:$C33,D1,'数据-汇总表'!$E19:$E33)</f>
        <v>0</v>
      </c>
      <c r="E3" s="338" t="s">
        <v>1826</v>
      </c>
      <c r="F3" s="337">
        <f>SUMIF('数据-取费表'!A5:A15,D1,'数据-取费表'!AH5:AH15)</f>
        <v>0</v>
      </c>
      <c r="G3" s="848"/>
      <c r="H3" s="848"/>
      <c r="I3" s="848"/>
      <c r="J3" s="848"/>
      <c r="K3" s="850"/>
      <c r="L3" s="2484"/>
      <c r="M3" s="2485" t="e">
        <f ca="1">IF(C2="——",IF(B37="元/平方米",ROUND(C39*D3/10000,0),ROUND(F3*C39/10000,0)),IF(B37="元/平方米",ROUND(C39*D3/10000,0),ROUND(F3*C39/10000,0))-D2)</f>
        <v>#DIV/0!</v>
      </c>
      <c r="N3" s="2485"/>
      <c r="O3" s="2485"/>
      <c r="P3" s="1079"/>
      <c r="Q3" s="335"/>
      <c r="R3" s="335"/>
      <c r="S3" s="335"/>
      <c r="T3" s="335"/>
      <c r="U3" s="335"/>
      <c r="V3" s="335"/>
      <c r="W3" s="335"/>
      <c r="X3" s="335"/>
      <c r="Y3" s="335"/>
      <c r="Z3" s="335"/>
      <c r="AA3" s="335"/>
      <c r="AB3" s="668"/>
      <c r="AC3" s="655"/>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34" t="s">
        <v>1769</v>
      </c>
      <c r="Q4" s="3535"/>
      <c r="R4" s="3540" t="s">
        <v>1765</v>
      </c>
      <c r="S4" s="3541"/>
      <c r="T4" s="3540" t="s">
        <v>1766</v>
      </c>
      <c r="U4" s="3541"/>
      <c r="V4" s="3516" t="s">
        <v>1767</v>
      </c>
      <c r="W4" s="3516"/>
      <c r="X4" s="1257"/>
      <c r="Y4" s="3540" t="s">
        <v>1769</v>
      </c>
      <c r="Z4" s="3541"/>
      <c r="AA4" s="3527" t="s">
        <v>1765</v>
      </c>
      <c r="AB4" s="3528" t="s">
        <v>1766</v>
      </c>
      <c r="AC4" s="3527" t="s">
        <v>1767</v>
      </c>
    </row>
    <row r="5" spans="1:29" ht="15">
      <c r="A5" s="342"/>
      <c r="B5" s="343"/>
      <c r="C5" s="3548" t="s">
        <v>1667</v>
      </c>
      <c r="D5" s="3549"/>
      <c r="E5" s="3555" t="s">
        <v>1668</v>
      </c>
      <c r="F5" s="3556"/>
      <c r="G5" s="3548" t="s">
        <v>1669</v>
      </c>
      <c r="H5" s="3549"/>
      <c r="I5" s="3548" t="s">
        <v>1670</v>
      </c>
      <c r="J5" s="3549"/>
      <c r="K5" s="531"/>
      <c r="L5" s="2467"/>
      <c r="M5" s="2468"/>
      <c r="N5" s="2468"/>
      <c r="O5" s="2468"/>
      <c r="P5" s="3536"/>
      <c r="Q5" s="3537"/>
      <c r="R5" s="3542"/>
      <c r="S5" s="3543"/>
      <c r="T5" s="3542"/>
      <c r="U5" s="3543"/>
      <c r="V5" s="3516"/>
      <c r="W5" s="3516"/>
      <c r="X5" s="1257"/>
      <c r="Y5" s="3542"/>
      <c r="Z5" s="3543"/>
      <c r="AA5" s="3528"/>
      <c r="AB5" s="3528"/>
      <c r="AC5" s="3528"/>
    </row>
    <row r="6" spans="1:29" ht="15.75" thickBot="1">
      <c r="A6" s="344"/>
      <c r="B6" s="345"/>
      <c r="C6" s="3546" t="s">
        <v>1671</v>
      </c>
      <c r="D6" s="3547"/>
      <c r="E6" s="3553" t="s">
        <v>1671</v>
      </c>
      <c r="F6" s="3554"/>
      <c r="G6" s="3546" t="s">
        <v>1671</v>
      </c>
      <c r="H6" s="3547"/>
      <c r="I6" s="3546" t="s">
        <v>1671</v>
      </c>
      <c r="J6" s="3547"/>
      <c r="K6" s="531" t="s">
        <v>1672</v>
      </c>
      <c r="L6" s="2467"/>
      <c r="M6" s="2468"/>
      <c r="N6" s="2468"/>
      <c r="O6" s="2468"/>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SUMIF(48:48,YEAR(E7)&amp;"-"&amp;MONTH(E7),49:49)</f>
        <v>0</v>
      </c>
      <c r="G7" s="350"/>
      <c r="H7" s="349">
        <f>SUMIF(48:48,YEAR(G7)&amp;"-"&amp;MONTH(G7),49:49)</f>
        <v>0</v>
      </c>
      <c r="I7" s="350"/>
      <c r="J7" s="349">
        <f>SUMIF(48:48,YEAR(I7)&amp;"-"&amp;MONTH(I7),49:49)</f>
        <v>0</v>
      </c>
      <c r="K7" s="38"/>
      <c r="L7" s="2469"/>
      <c r="M7" s="2423"/>
      <c r="N7" s="2423"/>
      <c r="O7" s="2423"/>
      <c r="P7" s="3550" t="s">
        <v>1674</v>
      </c>
      <c r="Q7" s="3552"/>
      <c r="R7" s="656" t="s">
        <v>14</v>
      </c>
      <c r="S7" s="657">
        <f t="shared" ref="S7:S14" si="0">F7</f>
        <v>0</v>
      </c>
      <c r="T7" s="656" t="s">
        <v>14</v>
      </c>
      <c r="U7" s="657">
        <f t="shared" ref="U7:U14" si="1">H7</f>
        <v>0</v>
      </c>
      <c r="V7" s="656" t="s">
        <v>14</v>
      </c>
      <c r="W7" s="657">
        <f t="shared" ref="W7:W14" si="2">J7</f>
        <v>0</v>
      </c>
      <c r="X7" s="658"/>
      <c r="Y7" s="3550" t="s">
        <v>1674</v>
      </c>
      <c r="Z7" s="3551"/>
      <c r="AA7" s="50" t="e">
        <f>D7/F7</f>
        <v>#DIV/0!</v>
      </c>
      <c r="AB7" s="50" t="e">
        <f>D7/H7</f>
        <v>#DIV/0!</v>
      </c>
      <c r="AC7" s="50" t="e">
        <f>D7/J7</f>
        <v>#DIV/0!</v>
      </c>
    </row>
    <row r="8" spans="1:29" s="101" customFormat="1" ht="15.75" thickBot="1">
      <c r="A8" s="346" t="s">
        <v>1675</v>
      </c>
      <c r="B8" s="347"/>
      <c r="C8" s="352"/>
      <c r="D8" s="349">
        <v>100</v>
      </c>
      <c r="E8" s="352"/>
      <c r="F8" s="351">
        <f>SUMIF(51:51,E8,52:52)-SUMIF(51:51,C8,52:52)+100</f>
        <v>100</v>
      </c>
      <c r="G8" s="352"/>
      <c r="H8" s="349">
        <f>SUMIF(51:51,G8,52:52)-SUMIF(51:51,C8,52:52)+100</f>
        <v>100</v>
      </c>
      <c r="I8" s="352"/>
      <c r="J8" s="349">
        <f>SUMIF(51:51,I8,52:52)-SUMIF(51:51,C8,52:52)+100</f>
        <v>100</v>
      </c>
      <c r="K8" s="38"/>
      <c r="L8" s="2469"/>
      <c r="M8" s="2423"/>
      <c r="N8" s="2423"/>
      <c r="O8" s="2423"/>
      <c r="P8" s="3550" t="s">
        <v>1677</v>
      </c>
      <c r="Q8" s="3551"/>
      <c r="R8" s="656" t="s">
        <v>14</v>
      </c>
      <c r="S8" s="657">
        <f t="shared" si="0"/>
        <v>100</v>
      </c>
      <c r="T8" s="656" t="s">
        <v>14</v>
      </c>
      <c r="U8" s="657">
        <f t="shared" si="1"/>
        <v>100</v>
      </c>
      <c r="V8" s="656" t="s">
        <v>14</v>
      </c>
      <c r="W8" s="657">
        <f t="shared" si="2"/>
        <v>100</v>
      </c>
      <c r="X8" s="658"/>
      <c r="Y8" s="3550" t="s">
        <v>1677</v>
      </c>
      <c r="Z8" s="3551"/>
      <c r="AA8" s="50">
        <f t="shared" ref="AA8:AA36" si="3">D8/F8</f>
        <v>1</v>
      </c>
      <c r="AB8" s="50">
        <f t="shared" ref="AB8:AB36" si="4">D8/H8</f>
        <v>1</v>
      </c>
      <c r="AC8" s="50">
        <f t="shared" ref="AC8:AC36" si="5">D8/J8</f>
        <v>1</v>
      </c>
    </row>
    <row r="9" spans="1:29" s="101" customFormat="1">
      <c r="A9" s="57" t="s">
        <v>1678</v>
      </c>
      <c r="B9" s="558" t="s">
        <v>1679</v>
      </c>
      <c r="C9" s="354"/>
      <c r="D9" s="59">
        <v>100</v>
      </c>
      <c r="E9" s="356"/>
      <c r="F9" s="59">
        <f>SUMIF(53:53,E9,54:54)-SUMIF(53:53,C9,54:54)+100</f>
        <v>100</v>
      </c>
      <c r="G9" s="355"/>
      <c r="H9" s="59">
        <f>SUMIF(53:53,G9,54:54)-SUMIF(53:53,C9,54:54)+100</f>
        <v>100</v>
      </c>
      <c r="I9" s="355"/>
      <c r="J9" s="59">
        <f>SUMIF(53:53,I9,54:54)-SUMIF(53:53,C9,54:54)+100</f>
        <v>100</v>
      </c>
      <c r="K9" s="38"/>
      <c r="L9" s="2469"/>
      <c r="M9" s="2423"/>
      <c r="N9" s="2423"/>
      <c r="O9" s="2423"/>
      <c r="P9" s="3515" t="s">
        <v>1680</v>
      </c>
      <c r="Q9" s="524" t="str">
        <f t="shared" ref="Q9:Q14" si="6">B9</f>
        <v>用途</v>
      </c>
      <c r="R9" s="656" t="s">
        <v>14</v>
      </c>
      <c r="S9" s="657">
        <f t="shared" si="0"/>
        <v>100</v>
      </c>
      <c r="T9" s="656" t="s">
        <v>14</v>
      </c>
      <c r="U9" s="657">
        <f t="shared" si="1"/>
        <v>100</v>
      </c>
      <c r="V9" s="656" t="s">
        <v>14</v>
      </c>
      <c r="W9" s="657">
        <f t="shared" si="2"/>
        <v>100</v>
      </c>
      <c r="X9" s="658"/>
      <c r="Y9" s="3367" t="s">
        <v>1681</v>
      </c>
      <c r="Z9" s="50" t="str">
        <f t="shared" ref="Z9:Z14" si="7">Q9</f>
        <v>用途</v>
      </c>
      <c r="AA9" s="50">
        <f t="shared" si="3"/>
        <v>1</v>
      </c>
      <c r="AB9" s="50">
        <f t="shared" si="4"/>
        <v>1</v>
      </c>
      <c r="AC9" s="50">
        <f t="shared" si="5"/>
        <v>1</v>
      </c>
    </row>
    <row r="10" spans="1:29" s="360" customFormat="1" ht="27">
      <c r="A10" s="559"/>
      <c r="B10" s="560" t="s">
        <v>1682</v>
      </c>
      <c r="C10" s="3113"/>
      <c r="D10" s="113">
        <v>100</v>
      </c>
      <c r="E10" s="3113"/>
      <c r="F10" s="113">
        <f>SUMIF(55:55,E10,56:56)-SUMIF(55:55,C10,56:56)+100</f>
        <v>100</v>
      </c>
      <c r="G10" s="3114"/>
      <c r="H10" s="113">
        <f>SUMIF(55:55,G10,56:56)-SUMIF(55:55,C10,56:56)+100</f>
        <v>100</v>
      </c>
      <c r="I10" s="3113"/>
      <c r="J10" s="113">
        <f>SUMIF(55:55,I10,56:56)-SUMIF(55:55,C10,56:56)+100</f>
        <v>100</v>
      </c>
      <c r="K10" s="38"/>
      <c r="L10" s="2470"/>
      <c r="M10" s="2471"/>
      <c r="N10" s="2471"/>
      <c r="O10" s="2471"/>
      <c r="P10" s="3515"/>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72"/>
      <c r="M11" s="2468"/>
      <c r="N11" s="2468"/>
      <c r="O11" s="2468"/>
      <c r="P11" s="3515"/>
      <c r="Q11" s="524">
        <f t="shared" si="6"/>
        <v>111</v>
      </c>
      <c r="R11" s="656" t="s">
        <v>14</v>
      </c>
      <c r="S11" s="657">
        <f t="shared" si="0"/>
        <v>100</v>
      </c>
      <c r="T11" s="656" t="s">
        <v>14</v>
      </c>
      <c r="U11" s="657">
        <f t="shared" si="1"/>
        <v>100</v>
      </c>
      <c r="V11" s="656" t="s">
        <v>14</v>
      </c>
      <c r="W11" s="657">
        <f t="shared" si="2"/>
        <v>100</v>
      </c>
      <c r="X11" s="658"/>
      <c r="Y11" s="3367"/>
      <c r="Z11" s="50">
        <f t="shared" si="7"/>
        <v>111</v>
      </c>
      <c r="AA11" s="50">
        <f t="shared" si="3"/>
        <v>1</v>
      </c>
      <c r="AB11" s="50">
        <f t="shared" si="4"/>
        <v>1</v>
      </c>
      <c r="AC11" s="50">
        <f t="shared" si="5"/>
        <v>1</v>
      </c>
    </row>
    <row r="12" spans="1:29" s="101"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69"/>
      <c r="M12" s="2423"/>
      <c r="N12" s="2423"/>
      <c r="O12" s="2423"/>
      <c r="P12" s="3515"/>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73"/>
      <c r="M13" s="2468"/>
      <c r="N13" s="2468"/>
      <c r="O13" s="2468"/>
      <c r="P13" s="3515"/>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50">
        <f t="shared" si="5"/>
        <v>1</v>
      </c>
    </row>
    <row r="14" spans="1:29" ht="85.5">
      <c r="A14" s="339" t="s">
        <v>1684</v>
      </c>
      <c r="B14" s="548" t="s">
        <v>1827</v>
      </c>
      <c r="C14" s="1811" t="str">
        <f>IF(B1="工业",估价对象房地状况!G4,估价对象房地状况!C6)</f>
        <v>估价对象周边道路状况、公共交通通达情况、停车便捷程度，综合评价交通便捷度较好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73"/>
      <c r="M14" s="2468"/>
      <c r="N14" s="2468"/>
      <c r="O14" s="2468"/>
      <c r="P14" s="3517" t="s">
        <v>1685</v>
      </c>
      <c r="Q14" s="1255" t="str">
        <f t="shared" si="6"/>
        <v>交通便捷度</v>
      </c>
      <c r="R14" s="659" t="s">
        <v>14</v>
      </c>
      <c r="S14" s="660">
        <f t="shared" si="0"/>
        <v>100</v>
      </c>
      <c r="T14" s="659" t="s">
        <v>14</v>
      </c>
      <c r="U14" s="660">
        <f t="shared" si="1"/>
        <v>100</v>
      </c>
      <c r="V14" s="659" t="s">
        <v>14</v>
      </c>
      <c r="W14" s="660">
        <f t="shared" si="2"/>
        <v>100</v>
      </c>
      <c r="X14" s="1257"/>
      <c r="Y14" s="3517" t="s">
        <v>1685</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73"/>
      <c r="M15" s="2468"/>
      <c r="N15" s="2468"/>
      <c r="O15" s="2468"/>
      <c r="P15" s="3518"/>
      <c r="Q15" s="1255"/>
      <c r="R15" s="659"/>
      <c r="S15" s="660"/>
      <c r="T15" s="659"/>
      <c r="U15" s="660"/>
      <c r="V15" s="659"/>
      <c r="W15" s="660"/>
      <c r="X15" s="1257"/>
      <c r="Y15" s="3518"/>
      <c r="Z15" s="1256"/>
      <c r="AA15" s="1256">
        <v>1</v>
      </c>
      <c r="AB15" s="1256">
        <v>1</v>
      </c>
      <c r="AC15" s="1256">
        <v>1</v>
      </c>
    </row>
    <row r="16" spans="1:29" ht="42.75">
      <c r="A16" s="342"/>
      <c r="B16" s="550" t="s">
        <v>1806</v>
      </c>
      <c r="C16" s="1746" t="str">
        <f>IF(B1="工业",估价对象房地状况!G5,估价对象房地状况!C7)</f>
        <v>估价对象所在区域公共配套设施齐备情况</v>
      </c>
      <c r="D16" s="388">
        <v>100</v>
      </c>
      <c r="E16" s="390"/>
      <c r="F16" s="391">
        <f>SUMIF(65:65,E17,66:66)-SUMIF(65:65,C17,66:66)+100</f>
        <v>100</v>
      </c>
      <c r="G16" s="392"/>
      <c r="H16" s="388">
        <f>SUMIF(65:65,G17,66:66)-SUMIF(65:65,C17,66:66)+100</f>
        <v>100</v>
      </c>
      <c r="I16" s="390"/>
      <c r="J16" s="388">
        <f>SUMIF(65:65,I17,66:66)-SUMIF(65:65,C17,66:66)+100</f>
        <v>100</v>
      </c>
      <c r="K16" s="534"/>
      <c r="L16" s="2473"/>
      <c r="M16" s="2468"/>
      <c r="N16" s="2468"/>
      <c r="O16" s="2468"/>
      <c r="P16" s="3518"/>
      <c r="Q16" s="1255" t="str">
        <f>B16</f>
        <v>公共配套设施</v>
      </c>
      <c r="R16" s="659" t="s">
        <v>14</v>
      </c>
      <c r="S16" s="660">
        <f>F16</f>
        <v>100</v>
      </c>
      <c r="T16" s="659" t="s">
        <v>14</v>
      </c>
      <c r="U16" s="660">
        <f>H16</f>
        <v>100</v>
      </c>
      <c r="V16" s="659" t="s">
        <v>14</v>
      </c>
      <c r="W16" s="660">
        <f>J16</f>
        <v>100</v>
      </c>
      <c r="X16" s="1257"/>
      <c r="Y16" s="3518"/>
      <c r="Z16" s="1256" t="str">
        <f>Q16</f>
        <v>公共配套设施</v>
      </c>
      <c r="AA16" s="1256">
        <f t="shared" si="3"/>
        <v>1</v>
      </c>
      <c r="AB16" s="1256">
        <f t="shared" si="4"/>
        <v>1</v>
      </c>
      <c r="AC16" s="1256">
        <f t="shared" si="5"/>
        <v>1</v>
      </c>
    </row>
    <row r="17" spans="1:29" ht="15">
      <c r="A17" s="342"/>
      <c r="B17" s="395"/>
      <c r="C17" s="1747"/>
      <c r="D17" s="381"/>
      <c r="E17" s="380"/>
      <c r="F17" s="382"/>
      <c r="G17" s="380"/>
      <c r="H17" s="381"/>
      <c r="I17" s="380"/>
      <c r="J17" s="381"/>
      <c r="K17" s="535"/>
      <c r="L17" s="2473"/>
      <c r="M17" s="2468"/>
      <c r="N17" s="2468"/>
      <c r="O17" s="2468"/>
      <c r="P17" s="3518"/>
      <c r="Q17" s="1255"/>
      <c r="R17" s="659"/>
      <c r="S17" s="660"/>
      <c r="T17" s="659"/>
      <c r="U17" s="660"/>
      <c r="V17" s="659"/>
      <c r="W17" s="660"/>
      <c r="X17" s="1257"/>
      <c r="Y17" s="3518"/>
      <c r="Z17" s="1256"/>
      <c r="AA17" s="1256">
        <v>1</v>
      </c>
      <c r="AB17" s="1256">
        <v>1</v>
      </c>
      <c r="AC17" s="1256">
        <v>1</v>
      </c>
    </row>
    <row r="18" spans="1:29" ht="28.5">
      <c r="A18" s="342"/>
      <c r="B18" s="551" t="s">
        <v>1807</v>
      </c>
      <c r="C18" s="1746" t="str">
        <f>IF(B1="工业",估价对象房地状况!G6,估价对象房地状况!C8)</f>
        <v>估价对象所在区域基础设施水平</v>
      </c>
      <c r="D18" s="383">
        <v>100</v>
      </c>
      <c r="E18" s="385"/>
      <c r="F18" s="391">
        <f>SUMIF(67:67,E19,68:68)-SUMIF(67:67,C19,68:68)+100</f>
        <v>100</v>
      </c>
      <c r="G18" s="387"/>
      <c r="H18" s="388">
        <f>SUMIF(67:67,G19,68:68)-SUMIF(67:67,C19,68:68)+100</f>
        <v>100</v>
      </c>
      <c r="I18" s="385"/>
      <c r="J18" s="388">
        <f>SUMIF(67:67,I19,68:68)-SUMIF(67:67,C19,68:68)+100</f>
        <v>100</v>
      </c>
      <c r="K18" s="534"/>
      <c r="L18" s="2473"/>
      <c r="M18" s="2468"/>
      <c r="N18" s="2468"/>
      <c r="O18" s="2468"/>
      <c r="P18" s="3518"/>
      <c r="Q18" s="1255" t="str">
        <f>B18</f>
        <v>基础设施水平</v>
      </c>
      <c r="R18" s="659" t="s">
        <v>14</v>
      </c>
      <c r="S18" s="660">
        <f>F18</f>
        <v>100</v>
      </c>
      <c r="T18" s="659" t="s">
        <v>14</v>
      </c>
      <c r="U18" s="660">
        <f>H18</f>
        <v>100</v>
      </c>
      <c r="V18" s="659" t="s">
        <v>14</v>
      </c>
      <c r="W18" s="660">
        <f>J18</f>
        <v>100</v>
      </c>
      <c r="X18" s="1257"/>
      <c r="Y18" s="3518"/>
      <c r="Z18" s="1256" t="str">
        <f>Q18</f>
        <v>基础设施水平</v>
      </c>
      <c r="AA18" s="1256">
        <f t="shared" ref="AA18" si="8">D18/F18</f>
        <v>1</v>
      </c>
      <c r="AB18" s="1256">
        <f t="shared" ref="AB18" si="9">D18/H18</f>
        <v>1</v>
      </c>
      <c r="AC18" s="1256">
        <f t="shared" ref="AC18" si="10">D18/J18</f>
        <v>1</v>
      </c>
    </row>
    <row r="19" spans="1:29" ht="15">
      <c r="A19" s="342"/>
      <c r="B19" s="551"/>
      <c r="C19" s="1747"/>
      <c r="D19" s="383"/>
      <c r="E19" s="1747"/>
      <c r="F19" s="386"/>
      <c r="G19" s="1747"/>
      <c r="H19" s="381"/>
      <c r="I19" s="380"/>
      <c r="J19" s="381"/>
      <c r="K19" s="1057"/>
      <c r="L19" s="2473"/>
      <c r="M19" s="2468"/>
      <c r="N19" s="2468"/>
      <c r="O19" s="2468"/>
      <c r="P19" s="3518"/>
      <c r="Q19" s="1255"/>
      <c r="R19" s="659"/>
      <c r="S19" s="660"/>
      <c r="T19" s="659"/>
      <c r="U19" s="660"/>
      <c r="V19" s="659"/>
      <c r="W19" s="660"/>
      <c r="X19" s="1257"/>
      <c r="Y19" s="3518"/>
      <c r="Z19" s="1256"/>
      <c r="AA19" s="1256">
        <v>1</v>
      </c>
      <c r="AB19" s="1256">
        <v>1</v>
      </c>
      <c r="AC19" s="1256">
        <v>1</v>
      </c>
    </row>
    <row r="20" spans="1:29" ht="57">
      <c r="A20" s="342"/>
      <c r="B20" s="550" t="s">
        <v>1828</v>
      </c>
      <c r="C20" s="1746" t="str">
        <f>IF(B1="工业",估价对象房地状况!G7,估价对象房地状况!C9)</f>
        <v>区域自然环境：；人文环境；综合评价环境状况一般</v>
      </c>
      <c r="D20" s="388">
        <v>100</v>
      </c>
      <c r="E20" s="390"/>
      <c r="F20" s="391">
        <f>SUMIF(69:69,E21,70:70)-SUMIF(69:69,C21,70:70)+100</f>
        <v>100</v>
      </c>
      <c r="G20" s="392"/>
      <c r="H20" s="383">
        <f>SUMIF(69:69,G21,70:70)-SUMIF(69:69,C21,70:70)+100</f>
        <v>100</v>
      </c>
      <c r="I20" s="385"/>
      <c r="J20" s="383">
        <f>SUMIF(69:69,I21,70:70)-SUMIF(69:69,C21,70:70)+100</f>
        <v>100</v>
      </c>
      <c r="K20" s="534"/>
      <c r="L20" s="2473"/>
      <c r="M20" s="2468"/>
      <c r="N20" s="2468"/>
      <c r="O20" s="2468"/>
      <c r="P20" s="3518"/>
      <c r="Q20" s="1255" t="str">
        <f>B20</f>
        <v>自然及人文环境</v>
      </c>
      <c r="R20" s="659" t="s">
        <v>14</v>
      </c>
      <c r="S20" s="660">
        <f>F20</f>
        <v>100</v>
      </c>
      <c r="T20" s="659" t="s">
        <v>14</v>
      </c>
      <c r="U20" s="660">
        <f>H20</f>
        <v>100</v>
      </c>
      <c r="V20" s="659" t="s">
        <v>14</v>
      </c>
      <c r="W20" s="660">
        <f>J20</f>
        <v>100</v>
      </c>
      <c r="X20" s="1257"/>
      <c r="Y20" s="3518"/>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73"/>
      <c r="M21" s="2468"/>
      <c r="N21" s="2468"/>
      <c r="O21" s="2468"/>
      <c r="P21" s="3518"/>
      <c r="Q21" s="1255"/>
      <c r="R21" s="659"/>
      <c r="S21" s="660"/>
      <c r="T21" s="659"/>
      <c r="U21" s="660"/>
      <c r="V21" s="659"/>
      <c r="W21" s="660"/>
      <c r="X21" s="1257"/>
      <c r="Y21" s="3518"/>
      <c r="Z21" s="1256"/>
      <c r="AA21" s="1256">
        <v>1</v>
      </c>
      <c r="AB21" s="1256">
        <v>1</v>
      </c>
      <c r="AC21" s="1256">
        <v>1</v>
      </c>
    </row>
    <row r="22" spans="1:29" ht="15">
      <c r="A22" s="342"/>
      <c r="B22" s="550" t="s">
        <v>1829</v>
      </c>
      <c r="C22" s="536"/>
      <c r="D22" s="383">
        <v>100</v>
      </c>
      <c r="E22" s="536"/>
      <c r="F22" s="394">
        <f>SUMIF(71:71,E22,72:72)-SUMIF(71:71,C22,72:72)+100</f>
        <v>100</v>
      </c>
      <c r="G22" s="536"/>
      <c r="H22" s="368">
        <f>SUMIF(71:71,G22,72:72)-SUMIF(71:71,C22,72:72)+100</f>
        <v>100</v>
      </c>
      <c r="I22" s="536"/>
      <c r="J22" s="368">
        <f>SUMIF(71:71,I22,72:72)-SUMIF(71:71,C22,72:72)+100</f>
        <v>100</v>
      </c>
      <c r="K22" s="532"/>
      <c r="L22" s="2473"/>
      <c r="M22" s="2468"/>
      <c r="N22" s="2468"/>
      <c r="O22" s="2468"/>
      <c r="P22" s="3518"/>
      <c r="Q22" s="1255" t="str">
        <f>B22</f>
        <v>楼层</v>
      </c>
      <c r="R22" s="659" t="s">
        <v>14</v>
      </c>
      <c r="S22" s="660">
        <f>F22</f>
        <v>100</v>
      </c>
      <c r="T22" s="659" t="s">
        <v>14</v>
      </c>
      <c r="U22" s="660">
        <f>H22</f>
        <v>100</v>
      </c>
      <c r="V22" s="659" t="s">
        <v>14</v>
      </c>
      <c r="W22" s="660">
        <f>J22</f>
        <v>100</v>
      </c>
      <c r="X22" s="1257"/>
      <c r="Y22" s="3518"/>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73"/>
      <c r="M23" s="2468"/>
      <c r="N23" s="2468"/>
      <c r="O23" s="2468"/>
      <c r="P23" s="3518"/>
      <c r="Q23" s="1255">
        <f>B23</f>
        <v>111</v>
      </c>
      <c r="R23" s="659" t="s">
        <v>14</v>
      </c>
      <c r="S23" s="660">
        <f>F23</f>
        <v>100</v>
      </c>
      <c r="T23" s="659" t="s">
        <v>14</v>
      </c>
      <c r="U23" s="660">
        <f>H23</f>
        <v>100</v>
      </c>
      <c r="V23" s="659" t="s">
        <v>14</v>
      </c>
      <c r="W23" s="660">
        <f>J23</f>
        <v>100</v>
      </c>
      <c r="X23" s="1257"/>
      <c r="Y23" s="3518"/>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73"/>
      <c r="M24" s="2468"/>
      <c r="N24" s="2468"/>
      <c r="O24" s="2468"/>
      <c r="P24" s="3518"/>
      <c r="Q24" s="1255">
        <f t="shared" ref="Q24:Q36" si="11">B24</f>
        <v>111</v>
      </c>
      <c r="R24" s="659" t="s">
        <v>14</v>
      </c>
      <c r="S24" s="660">
        <f>F24</f>
        <v>100</v>
      </c>
      <c r="T24" s="659" t="s">
        <v>14</v>
      </c>
      <c r="U24" s="660">
        <f>H24</f>
        <v>100</v>
      </c>
      <c r="V24" s="659" t="s">
        <v>14</v>
      </c>
      <c r="W24" s="660">
        <f>J24</f>
        <v>100</v>
      </c>
      <c r="X24" s="1257"/>
      <c r="Y24" s="3518"/>
      <c r="Z24" s="1256">
        <f>Q24</f>
        <v>111</v>
      </c>
      <c r="AA24" s="1256">
        <f t="shared" si="3"/>
        <v>1</v>
      </c>
      <c r="AB24" s="1256">
        <f t="shared" si="4"/>
        <v>1</v>
      </c>
      <c r="AC24" s="1256">
        <f t="shared" si="5"/>
        <v>1</v>
      </c>
    </row>
    <row r="25" spans="1:29" s="101"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69"/>
      <c r="M25" s="2423"/>
      <c r="N25" s="2423"/>
      <c r="O25" s="2423"/>
      <c r="P25" s="3518"/>
      <c r="Q25" s="524">
        <f t="shared" si="11"/>
        <v>111</v>
      </c>
      <c r="R25" s="656" t="s">
        <v>14</v>
      </c>
      <c r="S25" s="657">
        <f>F25</f>
        <v>100</v>
      </c>
      <c r="T25" s="656" t="s">
        <v>14</v>
      </c>
      <c r="U25" s="657">
        <f>H25</f>
        <v>100</v>
      </c>
      <c r="V25" s="656" t="s">
        <v>14</v>
      </c>
      <c r="W25" s="657">
        <f>J25</f>
        <v>100</v>
      </c>
      <c r="X25" s="658"/>
      <c r="Y25" s="3518"/>
      <c r="Z25" s="50">
        <f>Q25</f>
        <v>111</v>
      </c>
      <c r="AA25" s="1256">
        <f>D25/F25</f>
        <v>1</v>
      </c>
      <c r="AB25" s="1256">
        <f>D25/H25</f>
        <v>1</v>
      </c>
      <c r="AC25" s="1256">
        <f>D25/J25</f>
        <v>1</v>
      </c>
    </row>
    <row r="26" spans="1:29" ht="28.5">
      <c r="A26" s="568" t="s">
        <v>1688</v>
      </c>
      <c r="B26" s="59" t="s">
        <v>1830</v>
      </c>
      <c r="C26" s="1812" t="str">
        <f>B1</f>
        <v>车库</v>
      </c>
      <c r="D26" s="381">
        <v>100</v>
      </c>
      <c r="E26" s="380"/>
      <c r="F26" s="382">
        <f>SUMIF(79:79,E26,80:80)-SUMIF(79:79,C26,80:80)+100</f>
        <v>0</v>
      </c>
      <c r="G26" s="380"/>
      <c r="H26" s="381">
        <f>SUMIF(79:79,G26,80:80)-SUMIF(79:79,C26,80:80)+100</f>
        <v>0</v>
      </c>
      <c r="I26" s="380"/>
      <c r="J26" s="381">
        <f>SUMIF(79:79,I26,80:80)-SUMIF(79:79,C26,80:80)+100</f>
        <v>0</v>
      </c>
      <c r="K26" s="532"/>
      <c r="L26" s="2473"/>
      <c r="M26" s="2468"/>
      <c r="N26" s="2468"/>
      <c r="O26" s="2468"/>
      <c r="P26" s="3572" t="s">
        <v>1690</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522" t="s">
        <v>1690</v>
      </c>
      <c r="Z26" s="1256" t="str">
        <f t="shared" ref="Z26:Z36" si="15">Q26</f>
        <v>配套类型</v>
      </c>
      <c r="AA26" s="1256" t="e">
        <f t="shared" si="3"/>
        <v>#DIV/0!</v>
      </c>
      <c r="AB26" s="1256" t="e">
        <f t="shared" si="4"/>
        <v>#DIV/0!</v>
      </c>
      <c r="AC26" s="1256" t="e">
        <f t="shared" si="5"/>
        <v>#DIV/0!</v>
      </c>
    </row>
    <row r="27" spans="1:29" s="402" customFormat="1" ht="15">
      <c r="A27" s="569"/>
      <c r="B27" s="113" t="s">
        <v>1831</v>
      </c>
      <c r="C27" s="570"/>
      <c r="D27" s="113">
        <v>100</v>
      </c>
      <c r="E27" s="570"/>
      <c r="F27" s="394">
        <f>SUMIF(81:81,E27,82:82)-SUMIF(81:81,C27,82:82)+100</f>
        <v>100</v>
      </c>
      <c r="G27" s="570"/>
      <c r="H27" s="368">
        <f>SUMIF(81:81,G27,82:82)-SUMIF(81:81,C27,82:82)+100</f>
        <v>100</v>
      </c>
      <c r="I27" s="570"/>
      <c r="J27" s="368">
        <f>SUMIF(81:81,I27,82:82)-SUMIF(81:81,C27,82:82)+100</f>
        <v>100</v>
      </c>
      <c r="K27" s="533"/>
      <c r="L27" s="2472"/>
      <c r="M27" s="2474"/>
      <c r="N27" s="2474"/>
      <c r="O27" s="2474"/>
      <c r="P27" s="3522"/>
      <c r="Q27" s="525" t="str">
        <f t="shared" si="11"/>
        <v>项目停车位配比</v>
      </c>
      <c r="R27" s="661" t="s">
        <v>14</v>
      </c>
      <c r="S27" s="662">
        <f t="shared" si="12"/>
        <v>100</v>
      </c>
      <c r="T27" s="661" t="s">
        <v>14</v>
      </c>
      <c r="U27" s="662">
        <f t="shared" si="13"/>
        <v>100</v>
      </c>
      <c r="V27" s="661" t="s">
        <v>14</v>
      </c>
      <c r="W27" s="662">
        <f t="shared" si="14"/>
        <v>100</v>
      </c>
      <c r="X27" s="663"/>
      <c r="Y27" s="3522"/>
      <c r="Z27" s="664" t="str">
        <f t="shared" si="15"/>
        <v>项目停车位配比</v>
      </c>
      <c r="AA27" s="1256">
        <f t="shared" si="3"/>
        <v>1</v>
      </c>
      <c r="AB27" s="1256">
        <f t="shared" si="4"/>
        <v>1</v>
      </c>
      <c r="AC27" s="1256">
        <f t="shared" si="5"/>
        <v>1</v>
      </c>
    </row>
    <row r="28" spans="1:29" ht="15">
      <c r="A28" s="571"/>
      <c r="B28" s="113" t="s">
        <v>1832</v>
      </c>
      <c r="C28" s="393"/>
      <c r="D28" s="368">
        <v>100</v>
      </c>
      <c r="E28" s="393"/>
      <c r="F28" s="394">
        <f>SUMIF(83:83,E28,84:84)-SUMIF(83:83,C28,84:84)+100</f>
        <v>100</v>
      </c>
      <c r="G28" s="393"/>
      <c r="H28" s="368">
        <f>SUMIF(83:83,G28,84:84)-SUMIF(83:83,C28,84:84)+100</f>
        <v>100</v>
      </c>
      <c r="I28" s="393"/>
      <c r="J28" s="368">
        <f>SUMIF(83:83,I28,84:84)-SUMIF(83:83,C28,84:84)+100</f>
        <v>100</v>
      </c>
      <c r="K28" s="532"/>
      <c r="L28" s="2473"/>
      <c r="M28" s="2468"/>
      <c r="N28" s="2468"/>
      <c r="O28" s="2468"/>
      <c r="P28" s="3522"/>
      <c r="Q28" s="1255" t="str">
        <f t="shared" si="11"/>
        <v>公共部分装修</v>
      </c>
      <c r="R28" s="659" t="s">
        <v>14</v>
      </c>
      <c r="S28" s="660">
        <f t="shared" si="12"/>
        <v>100</v>
      </c>
      <c r="T28" s="659" t="s">
        <v>14</v>
      </c>
      <c r="U28" s="660">
        <f t="shared" si="13"/>
        <v>100</v>
      </c>
      <c r="V28" s="659" t="s">
        <v>14</v>
      </c>
      <c r="W28" s="660">
        <f t="shared" si="14"/>
        <v>100</v>
      </c>
      <c r="X28" s="1257"/>
      <c r="Y28" s="3522"/>
      <c r="Z28" s="1256" t="str">
        <f t="shared" si="15"/>
        <v>公共部分装修</v>
      </c>
      <c r="AA28" s="1256">
        <f t="shared" si="3"/>
        <v>1</v>
      </c>
      <c r="AB28" s="1256">
        <f t="shared" si="4"/>
        <v>1</v>
      </c>
      <c r="AC28" s="1256">
        <f t="shared" si="5"/>
        <v>1</v>
      </c>
    </row>
    <row r="29" spans="1:29" ht="15">
      <c r="A29" s="571"/>
      <c r="B29" s="113" t="s">
        <v>1833</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73"/>
      <c r="M29" s="2468"/>
      <c r="N29" s="2468"/>
      <c r="O29" s="2468"/>
      <c r="P29" s="3522"/>
      <c r="Q29" s="1255" t="str">
        <f t="shared" si="11"/>
        <v>成新率</v>
      </c>
      <c r="R29" s="659" t="s">
        <v>14</v>
      </c>
      <c r="S29" s="660" t="e">
        <f t="shared" si="12"/>
        <v>#N/A</v>
      </c>
      <c r="T29" s="659" t="s">
        <v>14</v>
      </c>
      <c r="U29" s="660" t="e">
        <f t="shared" si="13"/>
        <v>#N/A</v>
      </c>
      <c r="V29" s="659" t="s">
        <v>14</v>
      </c>
      <c r="W29" s="660" t="e">
        <f t="shared" si="14"/>
        <v>#N/A</v>
      </c>
      <c r="X29" s="1257"/>
      <c r="Y29" s="3522"/>
      <c r="Z29" s="1256" t="str">
        <f t="shared" si="15"/>
        <v>成新率</v>
      </c>
      <c r="AA29" s="1256" t="e">
        <f t="shared" si="3"/>
        <v>#N/A</v>
      </c>
      <c r="AB29" s="1256" t="e">
        <f t="shared" si="4"/>
        <v>#N/A</v>
      </c>
      <c r="AC29" s="1256" t="e">
        <f t="shared" si="5"/>
        <v>#N/A</v>
      </c>
    </row>
    <row r="30" spans="1:29" ht="15">
      <c r="A30" s="571"/>
      <c r="B30" s="113" t="s">
        <v>1834</v>
      </c>
      <c r="C30" s="572"/>
      <c r="D30" s="368">
        <v>100</v>
      </c>
      <c r="E30" s="572"/>
      <c r="F30" s="394">
        <f>SUMIF(88:88,E30,89:89)-SUMIF(88:88,C30,89:89)+100</f>
        <v>100</v>
      </c>
      <c r="G30" s="572"/>
      <c r="H30" s="368">
        <f>SUMIF(88:88,E30,89:89)-SUMIF(88:88,C30,89:89)+100</f>
        <v>100</v>
      </c>
      <c r="I30" s="572"/>
      <c r="J30" s="368">
        <f>SUMIF(88:88,E30,89:89)-SUMIF(88:88,C30,89:89)+100</f>
        <v>100</v>
      </c>
      <c r="K30" s="532"/>
      <c r="L30" s="2473"/>
      <c r="M30" s="2468"/>
      <c r="N30" s="2468"/>
      <c r="O30" s="2468"/>
      <c r="P30" s="3522"/>
      <c r="Q30" s="1255" t="str">
        <f t="shared" si="11"/>
        <v>物业等级</v>
      </c>
      <c r="R30" s="659" t="s">
        <v>14</v>
      </c>
      <c r="S30" s="660">
        <f t="shared" si="12"/>
        <v>100</v>
      </c>
      <c r="T30" s="659" t="s">
        <v>14</v>
      </c>
      <c r="U30" s="660">
        <f t="shared" si="13"/>
        <v>100</v>
      </c>
      <c r="V30" s="659" t="s">
        <v>14</v>
      </c>
      <c r="W30" s="660">
        <f t="shared" si="14"/>
        <v>100</v>
      </c>
      <c r="X30" s="1257"/>
      <c r="Y30" s="3522"/>
      <c r="Z30" s="1256" t="str">
        <f t="shared" si="15"/>
        <v>物业等级</v>
      </c>
      <c r="AA30" s="1256">
        <f t="shared" si="3"/>
        <v>1</v>
      </c>
      <c r="AB30" s="1256">
        <f t="shared" si="4"/>
        <v>1</v>
      </c>
      <c r="AC30" s="1256">
        <f t="shared" si="5"/>
        <v>1</v>
      </c>
    </row>
    <row r="31" spans="1:29" s="101" customFormat="1" ht="15">
      <c r="A31" s="573"/>
      <c r="B31" s="113" t="s">
        <v>1835</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69"/>
      <c r="M31" s="2423"/>
      <c r="N31" s="2423"/>
      <c r="O31" s="2423"/>
      <c r="P31" s="3522"/>
      <c r="Q31" s="524" t="str">
        <f t="shared" si="11"/>
        <v>停车位面积</v>
      </c>
      <c r="R31" s="656" t="s">
        <v>14</v>
      </c>
      <c r="S31" s="657" t="e">
        <f t="shared" si="12"/>
        <v>#N/A</v>
      </c>
      <c r="T31" s="656" t="s">
        <v>14</v>
      </c>
      <c r="U31" s="657" t="e">
        <f t="shared" si="13"/>
        <v>#N/A</v>
      </c>
      <c r="V31" s="656" t="s">
        <v>14</v>
      </c>
      <c r="W31" s="657" t="e">
        <f t="shared" si="14"/>
        <v>#N/A</v>
      </c>
      <c r="X31" s="658"/>
      <c r="Y31" s="3522"/>
      <c r="Z31" s="50" t="str">
        <f t="shared" si="15"/>
        <v>停车位面积</v>
      </c>
      <c r="AA31" s="50" t="e">
        <f t="shared" si="3"/>
        <v>#N/A</v>
      </c>
      <c r="AB31" s="50" t="e">
        <f t="shared" si="4"/>
        <v>#N/A</v>
      </c>
      <c r="AC31" s="50" t="e">
        <f t="shared" si="5"/>
        <v>#N/A</v>
      </c>
    </row>
    <row r="32" spans="1:29" ht="15">
      <c r="A32" s="571"/>
      <c r="B32" s="113" t="s">
        <v>1836</v>
      </c>
      <c r="C32" s="393"/>
      <c r="D32" s="368">
        <v>100</v>
      </c>
      <c r="E32" s="393"/>
      <c r="F32" s="394">
        <f>SUMIF(93:93,E32,94:94)-SUMIF(93:93,C32,94:94)+100</f>
        <v>100</v>
      </c>
      <c r="G32" s="393"/>
      <c r="H32" s="368">
        <f>SUMIF(93:93,G32,94:94)-SUMIF(93:93,C32,94:94)+100</f>
        <v>100</v>
      </c>
      <c r="I32" s="393"/>
      <c r="J32" s="368">
        <f>SUMIF(93:93,I32,94:94)-SUMIF(93:93,C32,94:94)+100</f>
        <v>100</v>
      </c>
      <c r="K32" s="532"/>
      <c r="L32" s="2473"/>
      <c r="M32" s="2468"/>
      <c r="N32" s="2468"/>
      <c r="O32" s="2468"/>
      <c r="P32" s="3522" t="s">
        <v>1690</v>
      </c>
      <c r="Q32" s="1255" t="str">
        <f t="shared" si="11"/>
        <v>车位类型</v>
      </c>
      <c r="R32" s="659" t="s">
        <v>14</v>
      </c>
      <c r="S32" s="660">
        <f t="shared" si="12"/>
        <v>100</v>
      </c>
      <c r="T32" s="659" t="s">
        <v>14</v>
      </c>
      <c r="U32" s="660">
        <f t="shared" si="13"/>
        <v>100</v>
      </c>
      <c r="V32" s="659" t="s">
        <v>14</v>
      </c>
      <c r="W32" s="660">
        <f t="shared" si="14"/>
        <v>100</v>
      </c>
      <c r="X32" s="1257"/>
      <c r="Y32" s="3522" t="s">
        <v>1690</v>
      </c>
      <c r="Z32" s="1256" t="str">
        <f t="shared" si="15"/>
        <v>车位类型</v>
      </c>
      <c r="AA32" s="1256">
        <f t="shared" si="3"/>
        <v>1</v>
      </c>
      <c r="AB32" s="1256">
        <f t="shared" si="4"/>
        <v>1</v>
      </c>
      <c r="AC32" s="1256">
        <f t="shared" si="5"/>
        <v>1</v>
      </c>
    </row>
    <row r="33" spans="1:29" ht="15">
      <c r="A33" s="571"/>
      <c r="B33" s="113" t="s">
        <v>1837</v>
      </c>
      <c r="C33" s="393"/>
      <c r="D33" s="368">
        <v>100</v>
      </c>
      <c r="E33" s="393"/>
      <c r="F33" s="394">
        <f>SUMIF(95:95,E33,96:96)-SUMIF(95:95,C33,96:96)+100</f>
        <v>100</v>
      </c>
      <c r="G33" s="393"/>
      <c r="H33" s="368">
        <f>SUMIF(95:95,G33,96:96)-SUMIF(95:95,C33,96:96)+100</f>
        <v>100</v>
      </c>
      <c r="I33" s="393"/>
      <c r="J33" s="368">
        <f>SUMIF(95:95,I33,96:96)-SUMIF(95:95,C33,96:96)+100</f>
        <v>100</v>
      </c>
      <c r="K33" s="532"/>
      <c r="L33" s="2473"/>
      <c r="M33" s="2468"/>
      <c r="N33" s="2468"/>
      <c r="O33" s="2468"/>
      <c r="P33" s="3522"/>
      <c r="Q33" s="1255" t="str">
        <f t="shared" si="11"/>
        <v>是否直接入户</v>
      </c>
      <c r="R33" s="659" t="s">
        <v>14</v>
      </c>
      <c r="S33" s="660">
        <f t="shared" si="12"/>
        <v>100</v>
      </c>
      <c r="T33" s="659" t="s">
        <v>14</v>
      </c>
      <c r="U33" s="660">
        <f t="shared" si="13"/>
        <v>100</v>
      </c>
      <c r="V33" s="659" t="s">
        <v>14</v>
      </c>
      <c r="W33" s="660">
        <f t="shared" si="14"/>
        <v>100</v>
      </c>
      <c r="X33" s="1257"/>
      <c r="Y33" s="3522"/>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73"/>
      <c r="M34" s="2468"/>
      <c r="N34" s="2468"/>
      <c r="O34" s="2468"/>
      <c r="P34" s="3522"/>
      <c r="Q34" s="1255">
        <f t="shared" si="11"/>
        <v>111</v>
      </c>
      <c r="R34" s="659" t="s">
        <v>14</v>
      </c>
      <c r="S34" s="660">
        <f t="shared" si="12"/>
        <v>100</v>
      </c>
      <c r="T34" s="659" t="s">
        <v>14</v>
      </c>
      <c r="U34" s="660">
        <f t="shared" si="13"/>
        <v>100</v>
      </c>
      <c r="V34" s="659" t="s">
        <v>14</v>
      </c>
      <c r="W34" s="660">
        <f t="shared" si="14"/>
        <v>100</v>
      </c>
      <c r="X34" s="1257"/>
      <c r="Y34" s="3522"/>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72"/>
      <c r="M35" s="2474"/>
      <c r="N35" s="2474"/>
      <c r="O35" s="2474"/>
      <c r="P35" s="3522"/>
      <c r="Q35" s="525">
        <f t="shared" si="11"/>
        <v>111</v>
      </c>
      <c r="R35" s="661" t="s">
        <v>14</v>
      </c>
      <c r="S35" s="662">
        <f t="shared" si="12"/>
        <v>100</v>
      </c>
      <c r="T35" s="661" t="s">
        <v>14</v>
      </c>
      <c r="U35" s="662">
        <f t="shared" si="13"/>
        <v>100</v>
      </c>
      <c r="V35" s="661" t="s">
        <v>14</v>
      </c>
      <c r="W35" s="662">
        <f t="shared" si="14"/>
        <v>100</v>
      </c>
      <c r="X35" s="663"/>
      <c r="Y35" s="3522"/>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73"/>
      <c r="M36" s="2468"/>
      <c r="N36" s="2468"/>
      <c r="O36" s="2468"/>
      <c r="P36" s="3522"/>
      <c r="Q36" s="1255">
        <f t="shared" si="11"/>
        <v>111</v>
      </c>
      <c r="R36" s="659" t="s">
        <v>14</v>
      </c>
      <c r="S36" s="660">
        <f t="shared" si="12"/>
        <v>100</v>
      </c>
      <c r="T36" s="659" t="s">
        <v>14</v>
      </c>
      <c r="U36" s="660">
        <f t="shared" si="13"/>
        <v>100</v>
      </c>
      <c r="V36" s="659" t="s">
        <v>14</v>
      </c>
      <c r="W36" s="660">
        <f t="shared" si="14"/>
        <v>100</v>
      </c>
      <c r="X36" s="1257"/>
      <c r="Y36" s="3522"/>
      <c r="Z36" s="1256">
        <f t="shared" si="15"/>
        <v>111</v>
      </c>
      <c r="AA36" s="1256">
        <f t="shared" si="3"/>
        <v>1</v>
      </c>
      <c r="AB36" s="1256">
        <f t="shared" si="4"/>
        <v>1</v>
      </c>
      <c r="AC36" s="1256">
        <f t="shared" si="5"/>
        <v>1</v>
      </c>
    </row>
    <row r="37" spans="1:29" ht="15">
      <c r="A37" s="410" t="s">
        <v>1838</v>
      </c>
      <c r="B37" s="1813" t="s">
        <v>3351</v>
      </c>
      <c r="C37" s="1074" t="s">
        <v>0</v>
      </c>
      <c r="D37" s="412"/>
      <c r="E37" s="413"/>
      <c r="F37" s="414"/>
      <c r="G37" s="415"/>
      <c r="H37" s="416"/>
      <c r="I37" s="413"/>
      <c r="J37" s="416"/>
      <c r="K37" s="539"/>
      <c r="L37" s="2475"/>
      <c r="M37" s="2468"/>
      <c r="N37" s="2468"/>
      <c r="O37" s="2468"/>
      <c r="P37" s="3515" t="str">
        <f>A37</f>
        <v>成交单价</v>
      </c>
      <c r="Q37" s="3515"/>
      <c r="R37" s="3516">
        <f>E37</f>
        <v>0</v>
      </c>
      <c r="S37" s="3516"/>
      <c r="T37" s="3516">
        <f>G37</f>
        <v>0</v>
      </c>
      <c r="U37" s="3516"/>
      <c r="V37" s="3516">
        <f>I37</f>
        <v>0</v>
      </c>
      <c r="W37" s="3516"/>
      <c r="X37" s="379"/>
      <c r="Y37" s="665"/>
      <c r="Z37" s="379"/>
      <c r="AA37" s="379"/>
      <c r="AB37" s="379"/>
      <c r="AC37" s="379"/>
    </row>
    <row r="38" spans="1:29" ht="15.75" thickBot="1">
      <c r="A38" s="417" t="s">
        <v>1839</v>
      </c>
      <c r="B38" s="418" t="str">
        <f>B37</f>
        <v>元/平方米</v>
      </c>
      <c r="C38" s="1075" t="e">
        <f>R39</f>
        <v>#DIV/0!</v>
      </c>
      <c r="D38" s="2133" t="s">
        <v>2132</v>
      </c>
      <c r="E38" s="1076" t="e">
        <f>R38</f>
        <v>#DIV/0!</v>
      </c>
      <c r="F38" s="2134"/>
      <c r="G38" s="1075" t="e">
        <f>T38</f>
        <v>#DIV/0!</v>
      </c>
      <c r="H38" s="2134"/>
      <c r="I38" s="1076" t="e">
        <f>V38</f>
        <v>#DIV/0!</v>
      </c>
      <c r="J38" s="2134"/>
      <c r="K38" s="2136">
        <f>F38+H38+J38</f>
        <v>0</v>
      </c>
      <c r="L38" s="2475"/>
      <c r="M38" s="2468"/>
      <c r="N38" s="2468"/>
      <c r="O38" s="2468"/>
      <c r="P38" s="3515" t="str">
        <f>A38</f>
        <v>比较价值（元/平方米）</v>
      </c>
      <c r="Q38" s="3515"/>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379"/>
      <c r="Y38" s="379"/>
      <c r="Z38" s="379"/>
      <c r="AA38" s="379"/>
      <c r="AB38" s="379"/>
      <c r="AC38" s="379"/>
    </row>
    <row r="39" spans="1:29" ht="15.75" thickBot="1">
      <c r="A39" s="421" t="s">
        <v>1840</v>
      </c>
      <c r="B39" s="422"/>
      <c r="C39" s="345" t="e">
        <f>R39</f>
        <v>#DIV/0!</v>
      </c>
      <c r="D39" s="345"/>
      <c r="E39" s="345"/>
      <c r="F39" s="345"/>
      <c r="G39" s="345"/>
      <c r="H39" s="345"/>
      <c r="I39" s="345"/>
      <c r="J39" s="345"/>
      <c r="K39" s="540"/>
      <c r="L39" s="2475"/>
      <c r="M39" s="2468"/>
      <c r="N39" s="2468"/>
      <c r="O39" s="2468"/>
      <c r="P39" s="3512" t="str">
        <f>A39</f>
        <v>估价对象XX用房的比较价值（楼面单价，元/平方米）</v>
      </c>
      <c r="Q39" s="3513"/>
      <c r="R39" s="3573" t="e">
        <f>IF(F1="售价",ROUND(IF(D38="简单平均",AVERAGE(R38:W38),R38*F38+T38*H38+V38*J38),0),ROUND(IF(D38="简单平均",AVERAGE(R38:V38),R38*F38+T38*H38+V38*J38),1))</f>
        <v>#DIV/0!</v>
      </c>
      <c r="S39" s="3573"/>
      <c r="T39" s="3573"/>
      <c r="U39" s="3573"/>
      <c r="V39" s="3573"/>
      <c r="W39" s="3573"/>
      <c r="X39" s="379"/>
      <c r="Y39" s="379"/>
      <c r="Z39" s="379"/>
      <c r="AA39" s="379"/>
      <c r="AB39" s="379"/>
      <c r="AC39" s="379"/>
    </row>
    <row r="40" spans="1:29">
      <c r="A40" s="2468"/>
      <c r="B40" s="2468"/>
      <c r="C40" s="2468"/>
      <c r="D40" s="2468"/>
      <c r="E40" s="2468"/>
      <c r="F40" s="2468"/>
      <c r="G40" s="2479"/>
      <c r="H40" s="2468"/>
      <c r="I40" s="2468"/>
      <c r="J40" s="2468"/>
      <c r="K40" s="2480"/>
      <c r="L40" s="2476"/>
      <c r="M40" s="2468"/>
      <c r="N40" s="2468"/>
      <c r="O40" s="2468"/>
      <c r="P40" s="2505"/>
      <c r="Q40" s="2468"/>
      <c r="R40" s="2468"/>
      <c r="S40" s="2468"/>
      <c r="T40" s="2468"/>
      <c r="U40" s="2468"/>
      <c r="V40" s="2468"/>
      <c r="W40" s="2468"/>
      <c r="X40" s="2468"/>
      <c r="Y40" s="2468"/>
      <c r="Z40" s="2468"/>
      <c r="AA40" s="2468"/>
      <c r="AB40" s="2468"/>
      <c r="AC40" s="2468"/>
    </row>
    <row r="41" spans="1:29">
      <c r="A41" s="2468"/>
      <c r="B41" s="2468"/>
      <c r="C41" s="2468"/>
      <c r="D41" s="2468"/>
      <c r="E41" s="2468"/>
      <c r="F41" s="2468"/>
      <c r="G41" s="2468"/>
      <c r="H41" s="2468"/>
      <c r="I41" s="2468"/>
      <c r="J41" s="2468"/>
      <c r="K41" s="2480"/>
      <c r="L41" s="2476"/>
      <c r="M41" s="2468"/>
      <c r="N41" s="2468"/>
      <c r="O41" s="2468"/>
      <c r="P41" s="2505"/>
      <c r="Q41" s="2468"/>
      <c r="R41" s="2468"/>
      <c r="S41" s="2468"/>
      <c r="T41" s="2468"/>
      <c r="U41" s="2468"/>
      <c r="V41" s="2468"/>
      <c r="W41" s="2468"/>
      <c r="X41" s="2468"/>
      <c r="Y41" s="2468"/>
      <c r="Z41" s="2468"/>
      <c r="AA41" s="2468"/>
      <c r="AB41" s="2468"/>
      <c r="AC41" s="2468"/>
    </row>
    <row r="42" spans="1:29" ht="13.5" customHeight="1">
      <c r="A42" s="2468"/>
      <c r="B42" s="2468"/>
      <c r="C42" s="426" t="s">
        <v>1841</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0"/>
      <c r="L42" s="2476"/>
      <c r="M42" s="2468"/>
      <c r="N42" s="2468"/>
      <c r="O42" s="2468"/>
      <c r="P42" s="2505"/>
      <c r="Q42" s="2468"/>
      <c r="R42" s="2468"/>
      <c r="S42" s="2468"/>
      <c r="T42" s="2468"/>
      <c r="U42" s="2468"/>
      <c r="V42" s="2468"/>
      <c r="W42" s="2468"/>
      <c r="X42" s="2468"/>
      <c r="Y42" s="2468"/>
      <c r="Z42" s="2468"/>
      <c r="AA42" s="2468"/>
      <c r="AB42" s="2468"/>
      <c r="AC42" s="2468"/>
    </row>
    <row r="43" spans="1:29" ht="13.5" customHeight="1">
      <c r="A43" s="2468"/>
      <c r="B43" s="2468"/>
      <c r="C43" s="426" t="s">
        <v>1842</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0"/>
      <c r="L43" s="2476"/>
      <c r="M43" s="2468"/>
      <c r="N43" s="2468"/>
      <c r="O43" s="2468"/>
      <c r="P43" s="2505"/>
      <c r="Q43" s="2468"/>
      <c r="R43" s="2468"/>
      <c r="S43" s="2468"/>
      <c r="T43" s="2468"/>
      <c r="U43" s="2468"/>
      <c r="V43" s="2468"/>
      <c r="W43" s="2468"/>
      <c r="X43" s="2468"/>
      <c r="Y43" s="2468"/>
      <c r="Z43" s="2468"/>
      <c r="AA43" s="2468"/>
      <c r="AB43" s="2468"/>
      <c r="AC43" s="2468"/>
    </row>
    <row r="44" spans="1:29" s="431" customFormat="1" ht="13.5" customHeight="1">
      <c r="A44" s="2478"/>
      <c r="B44" s="2478"/>
      <c r="C44" s="426" t="s">
        <v>1843</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83"/>
      <c r="L44" s="2477"/>
      <c r="M44" s="2478"/>
      <c r="N44" s="2478"/>
      <c r="O44" s="2478"/>
      <c r="P44" s="2506"/>
      <c r="Q44" s="2478"/>
      <c r="R44" s="2478"/>
      <c r="S44" s="2478"/>
      <c r="T44" s="2478"/>
      <c r="U44" s="2478"/>
      <c r="V44" s="2478"/>
      <c r="W44" s="2478"/>
      <c r="X44" s="2478"/>
      <c r="Y44" s="2478"/>
      <c r="Z44" s="2478"/>
      <c r="AA44" s="2478"/>
      <c r="AB44" s="2478"/>
      <c r="AC44" s="2478"/>
    </row>
    <row r="45" spans="1:29" s="431" customFormat="1">
      <c r="A45" s="2478"/>
      <c r="B45" s="2481"/>
      <c r="C45" s="2482"/>
      <c r="D45" s="2478"/>
      <c r="E45" s="2478"/>
      <c r="F45" s="2478"/>
      <c r="G45" s="2478"/>
      <c r="H45" s="2478"/>
      <c r="I45" s="2478"/>
      <c r="J45" s="2478"/>
      <c r="K45" s="2483"/>
      <c r="L45" s="2477"/>
      <c r="M45" s="2478"/>
      <c r="N45" s="2478"/>
      <c r="O45" s="2478"/>
      <c r="P45" s="2506"/>
      <c r="Q45" s="2478"/>
      <c r="R45" s="2478"/>
      <c r="S45" s="2478"/>
      <c r="T45" s="2478"/>
      <c r="U45" s="2478"/>
      <c r="V45" s="2478"/>
      <c r="W45" s="2478"/>
      <c r="X45" s="2478"/>
      <c r="Y45" s="2478"/>
      <c r="Z45" s="2478"/>
      <c r="AA45" s="2478"/>
      <c r="AB45" s="2478"/>
      <c r="AC45" s="2478"/>
    </row>
    <row r="46" spans="1:29">
      <c r="A46" s="2468"/>
      <c r="B46" s="2481"/>
      <c r="C46" s="2482"/>
      <c r="D46" s="2468"/>
      <c r="E46" s="2468"/>
      <c r="F46" s="2468"/>
      <c r="G46" s="2468"/>
      <c r="H46" s="2468"/>
      <c r="I46" s="2468"/>
      <c r="J46" s="2468"/>
      <c r="K46" s="2480"/>
      <c r="L46" s="2476"/>
      <c r="M46" s="2468"/>
      <c r="N46" s="2468"/>
      <c r="O46" s="2468"/>
      <c r="P46" s="2505"/>
      <c r="Q46" s="2468"/>
      <c r="R46" s="2468"/>
      <c r="S46" s="2468"/>
      <c r="T46" s="2468"/>
      <c r="U46" s="2468"/>
      <c r="V46" s="2468"/>
      <c r="W46" s="2468"/>
      <c r="X46" s="2468"/>
      <c r="Y46" s="2468"/>
      <c r="Z46" s="2468"/>
      <c r="AA46" s="2468"/>
      <c r="AB46" s="2468"/>
      <c r="AC46" s="2468"/>
    </row>
    <row r="47" spans="1:29" ht="21.75" thickBot="1">
      <c r="A47" s="1080" t="s">
        <v>1844</v>
      </c>
      <c r="B47" s="854"/>
      <c r="C47" s="879"/>
      <c r="D47" s="879"/>
      <c r="E47" s="879"/>
      <c r="F47" s="1081"/>
      <c r="G47" s="1081"/>
      <c r="H47" s="879"/>
      <c r="I47" s="879"/>
      <c r="J47" s="879"/>
      <c r="K47" s="880"/>
      <c r="L47" s="881"/>
      <c r="M47" s="879"/>
      <c r="N47" s="2518"/>
      <c r="O47" s="2518"/>
      <c r="P47" s="2507"/>
      <c r="Q47" s="2489"/>
      <c r="R47" s="2468"/>
      <c r="S47" s="2468"/>
      <c r="T47" s="2468"/>
      <c r="U47" s="2468"/>
      <c r="V47" s="2468"/>
      <c r="W47" s="2468"/>
      <c r="X47" s="2468"/>
      <c r="Y47" s="2468"/>
      <c r="Z47" s="2468"/>
      <c r="AA47" s="2468"/>
      <c r="AB47" s="2468"/>
      <c r="AC47" s="2468"/>
    </row>
    <row r="48" spans="1:29" s="436" customFormat="1" ht="15">
      <c r="A48" s="434" t="s">
        <v>1845</v>
      </c>
      <c r="B48" s="435"/>
      <c r="C48" s="1096" t="str">
        <f>YEAR(C7)&amp;"-"&amp;MONTH(C7)</f>
        <v>2024-5</v>
      </c>
      <c r="D48" s="1097">
        <f>EDATE(C48,-1)</f>
        <v>45383</v>
      </c>
      <c r="E48" s="1097">
        <f t="shared" ref="E48:O48" si="16">EDATE(D48,-1)</f>
        <v>45352</v>
      </c>
      <c r="F48" s="1097">
        <f t="shared" si="16"/>
        <v>45323</v>
      </c>
      <c r="G48" s="1097">
        <f t="shared" si="16"/>
        <v>45292</v>
      </c>
      <c r="H48" s="1097">
        <f t="shared" si="16"/>
        <v>45261</v>
      </c>
      <c r="I48" s="1097">
        <f t="shared" si="16"/>
        <v>45231</v>
      </c>
      <c r="J48" s="1097">
        <f t="shared" si="16"/>
        <v>45200</v>
      </c>
      <c r="K48" s="1097">
        <f t="shared" si="16"/>
        <v>45170</v>
      </c>
      <c r="L48" s="1097">
        <f t="shared" si="16"/>
        <v>45139</v>
      </c>
      <c r="M48" s="1097">
        <f t="shared" si="16"/>
        <v>45108</v>
      </c>
      <c r="N48" s="1097">
        <f t="shared" si="16"/>
        <v>45078</v>
      </c>
      <c r="O48" s="1097">
        <f t="shared" si="16"/>
        <v>45047</v>
      </c>
      <c r="P48" s="2508"/>
      <c r="Q48" s="2491"/>
      <c r="R48" s="2491"/>
      <c r="S48" s="2491"/>
      <c r="T48" s="2491"/>
      <c r="U48" s="2491"/>
      <c r="V48" s="2491"/>
      <c r="W48" s="2491"/>
      <c r="X48" s="2491"/>
      <c r="Y48" s="2491"/>
      <c r="Z48" s="2491"/>
      <c r="AA48" s="2491"/>
      <c r="AB48" s="2491"/>
      <c r="AC48" s="2491"/>
    </row>
    <row r="49" spans="1:29" s="101" customFormat="1" ht="15">
      <c r="A49" s="437"/>
      <c r="B49" s="438"/>
      <c r="C49" s="1090">
        <v>100</v>
      </c>
      <c r="D49" s="440"/>
      <c r="E49" s="440"/>
      <c r="F49" s="440"/>
      <c r="G49" s="440"/>
      <c r="H49" s="440"/>
      <c r="I49" s="440"/>
      <c r="J49" s="440"/>
      <c r="K49" s="440"/>
      <c r="L49" s="440"/>
      <c r="M49" s="441"/>
      <c r="N49" s="440"/>
      <c r="O49" s="441"/>
      <c r="P49" s="2509"/>
      <c r="Q49" s="2423"/>
      <c r="R49" s="2423"/>
      <c r="S49" s="2423"/>
      <c r="T49" s="2423"/>
      <c r="U49" s="2423"/>
      <c r="V49" s="2423"/>
      <c r="W49" s="2423"/>
      <c r="X49" s="2423"/>
      <c r="Y49" s="2423"/>
      <c r="Z49" s="2423"/>
      <c r="AA49" s="2423"/>
      <c r="AB49" s="2423"/>
      <c r="AC49" s="2423"/>
    </row>
    <row r="50" spans="1:29" s="101" customFormat="1" ht="15.75" thickBot="1">
      <c r="A50" s="443" t="s">
        <v>1710</v>
      </c>
      <c r="B50" s="444"/>
      <c r="C50" s="445"/>
      <c r="D50" s="446"/>
      <c r="E50" s="446"/>
      <c r="F50" s="446"/>
      <c r="G50" s="446"/>
      <c r="H50" s="446"/>
      <c r="I50" s="446"/>
      <c r="J50" s="446"/>
      <c r="K50" s="446"/>
      <c r="L50" s="446"/>
      <c r="M50" s="447"/>
      <c r="N50" s="446"/>
      <c r="O50" s="447"/>
      <c r="P50" s="2509"/>
      <c r="Q50" s="2489"/>
      <c r="R50" s="2423"/>
      <c r="S50" s="2423"/>
      <c r="T50" s="2423"/>
      <c r="U50" s="2423"/>
      <c r="V50" s="2423"/>
      <c r="W50" s="2423"/>
      <c r="X50" s="2423"/>
      <c r="Y50" s="2423"/>
      <c r="Z50" s="2423"/>
      <c r="AA50" s="2423"/>
      <c r="AB50" s="2423"/>
      <c r="AC50" s="2423"/>
    </row>
    <row r="51" spans="1:29" s="101" customFormat="1" ht="15">
      <c r="A51" s="449" t="s">
        <v>1675</v>
      </c>
      <c r="B51" s="438"/>
      <c r="C51" s="450" t="s">
        <v>1770</v>
      </c>
      <c r="D51" s="31"/>
      <c r="E51" s="31"/>
      <c r="F51" s="31"/>
      <c r="G51" s="31"/>
      <c r="H51" s="31"/>
      <c r="I51" s="31"/>
      <c r="J51" s="31"/>
      <c r="K51" s="31"/>
      <c r="L51" s="451"/>
      <c r="M51" s="452"/>
      <c r="N51" s="2501"/>
      <c r="O51" s="2501"/>
      <c r="P51" s="2510"/>
      <c r="Q51" s="2489"/>
      <c r="R51" s="2423"/>
      <c r="S51" s="2423"/>
      <c r="T51" s="2423"/>
      <c r="U51" s="2423"/>
      <c r="V51" s="2423"/>
      <c r="W51" s="2423"/>
      <c r="X51" s="2423"/>
      <c r="Y51" s="2423"/>
      <c r="Z51" s="2423"/>
      <c r="AA51" s="2423"/>
      <c r="AB51" s="2423"/>
      <c r="AC51" s="2423"/>
    </row>
    <row r="52" spans="1:29" s="101" customFormat="1" ht="15.75" thickBot="1">
      <c r="A52" s="449"/>
      <c r="B52" s="438"/>
      <c r="C52" s="557">
        <v>100</v>
      </c>
      <c r="D52" s="440"/>
      <c r="E52" s="440"/>
      <c r="F52" s="440"/>
      <c r="G52" s="440"/>
      <c r="H52" s="440"/>
      <c r="I52" s="440"/>
      <c r="J52" s="440"/>
      <c r="K52" s="440"/>
      <c r="L52" s="440"/>
      <c r="M52" s="442"/>
      <c r="N52" s="2501"/>
      <c r="O52" s="2501"/>
      <c r="P52" s="2509"/>
      <c r="Q52" s="2489"/>
      <c r="R52" s="2423"/>
      <c r="S52" s="2423"/>
      <c r="T52" s="2423"/>
      <c r="U52" s="2423"/>
      <c r="V52" s="2423"/>
      <c r="W52" s="2423"/>
      <c r="X52" s="2423"/>
      <c r="Y52" s="2423"/>
      <c r="Z52" s="2423"/>
      <c r="AA52" s="2423"/>
      <c r="AB52" s="2423"/>
      <c r="AC52" s="2423"/>
    </row>
    <row r="53" spans="1:29">
      <c r="A53" s="373" t="s">
        <v>1713</v>
      </c>
      <c r="B53" s="454" t="s">
        <v>1679</v>
      </c>
      <c r="C53" s="455">
        <f>C9</f>
        <v>0</v>
      </c>
      <c r="D53" s="456"/>
      <c r="E53" s="456"/>
      <c r="F53" s="456"/>
      <c r="G53" s="456"/>
      <c r="H53" s="456"/>
      <c r="I53" s="456"/>
      <c r="J53" s="456"/>
      <c r="K53" s="457"/>
      <c r="L53" s="458"/>
      <c r="M53" s="459"/>
      <c r="N53" s="2502"/>
      <c r="O53" s="2502"/>
      <c r="P53" s="2511"/>
      <c r="Q53" s="2489"/>
      <c r="R53" s="2468"/>
      <c r="S53" s="2468"/>
      <c r="T53" s="2468"/>
      <c r="U53" s="2468"/>
      <c r="V53" s="2468"/>
      <c r="W53" s="2468"/>
      <c r="X53" s="2468"/>
      <c r="Y53" s="2468"/>
      <c r="Z53" s="2468"/>
      <c r="AA53" s="2468"/>
      <c r="AB53" s="2468"/>
      <c r="AC53" s="2468"/>
    </row>
    <row r="54" spans="1:29" ht="15.75" thickBot="1">
      <c r="A54" s="361"/>
      <c r="B54" s="460"/>
      <c r="C54" s="461">
        <v>100</v>
      </c>
      <c r="D54" s="461"/>
      <c r="E54" s="461"/>
      <c r="F54" s="461"/>
      <c r="G54" s="461"/>
      <c r="H54" s="461"/>
      <c r="I54" s="461"/>
      <c r="J54" s="461"/>
      <c r="K54" s="461"/>
      <c r="L54" s="461"/>
      <c r="M54" s="462"/>
      <c r="N54" s="2503"/>
      <c r="O54" s="2503"/>
      <c r="P54" s="2511"/>
      <c r="Q54" s="2489"/>
      <c r="R54" s="2468"/>
      <c r="S54" s="2468"/>
      <c r="T54" s="2468"/>
      <c r="U54" s="2468"/>
      <c r="V54" s="2468"/>
      <c r="W54" s="2468"/>
      <c r="X54" s="2468"/>
      <c r="Y54" s="2468"/>
      <c r="Z54" s="2468"/>
      <c r="AA54" s="2468"/>
      <c r="AB54" s="2468"/>
      <c r="AC54" s="2468"/>
    </row>
    <row r="55" spans="1:29" ht="27.75" thickTop="1">
      <c r="A55" s="361"/>
      <c r="B55" s="463" t="s">
        <v>1682</v>
      </c>
      <c r="C55" s="507"/>
      <c r="D55" s="507"/>
      <c r="E55" s="507"/>
      <c r="F55" s="507"/>
      <c r="G55" s="507"/>
      <c r="H55" s="507"/>
      <c r="I55" s="507"/>
      <c r="J55" s="507"/>
      <c r="K55" s="508"/>
      <c r="L55" s="509"/>
      <c r="M55" s="510"/>
      <c r="N55" s="2502"/>
      <c r="O55" s="2502"/>
      <c r="P55" s="2511"/>
      <c r="Q55" s="2489"/>
      <c r="R55" s="2468"/>
      <c r="S55" s="2468"/>
      <c r="T55" s="2468"/>
      <c r="U55" s="2468"/>
      <c r="V55" s="2468"/>
      <c r="W55" s="2468"/>
      <c r="X55" s="2468"/>
      <c r="Y55" s="2468"/>
      <c r="Z55" s="2468"/>
      <c r="AA55" s="2468"/>
      <c r="AB55" s="2468"/>
      <c r="AC55" s="2468"/>
    </row>
    <row r="56" spans="1:29" ht="15.75" thickBot="1">
      <c r="A56" s="361"/>
      <c r="B56" s="468"/>
      <c r="C56" s="461"/>
      <c r="D56" s="461"/>
      <c r="E56" s="461"/>
      <c r="F56" s="461"/>
      <c r="G56" s="461"/>
      <c r="H56" s="461"/>
      <c r="I56" s="461"/>
      <c r="J56" s="461"/>
      <c r="K56" s="461"/>
      <c r="L56" s="461"/>
      <c r="M56" s="462"/>
      <c r="N56" s="2503"/>
      <c r="O56" s="2503"/>
      <c r="P56" s="2511"/>
      <c r="Q56" s="2489"/>
      <c r="R56" s="2468"/>
      <c r="S56" s="2468"/>
      <c r="T56" s="2468"/>
      <c r="U56" s="2468"/>
      <c r="V56" s="2468"/>
      <c r="W56" s="2468"/>
      <c r="X56" s="2468"/>
      <c r="Y56" s="2468"/>
      <c r="Z56" s="2468"/>
      <c r="AA56" s="2468"/>
      <c r="AB56" s="2468"/>
      <c r="AC56" s="2468"/>
    </row>
    <row r="57" spans="1:29" ht="15.75" thickTop="1">
      <c r="A57" s="361"/>
      <c r="B57" s="575">
        <f>B11</f>
        <v>111</v>
      </c>
      <c r="C57" s="474"/>
      <c r="D57" s="474"/>
      <c r="E57" s="474"/>
      <c r="F57" s="474"/>
      <c r="G57" s="474"/>
      <c r="H57" s="474"/>
      <c r="I57" s="474"/>
      <c r="J57" s="474"/>
      <c r="K57" s="475"/>
      <c r="L57" s="476"/>
      <c r="M57" s="477"/>
      <c r="N57" s="2502"/>
      <c r="O57" s="2502"/>
      <c r="P57" s="2511"/>
      <c r="Q57" s="2489"/>
      <c r="R57" s="2468"/>
      <c r="S57" s="2468"/>
      <c r="T57" s="2468"/>
      <c r="U57" s="2468"/>
      <c r="V57" s="2468"/>
      <c r="W57" s="2468"/>
      <c r="X57" s="2468"/>
      <c r="Y57" s="2468"/>
      <c r="Z57" s="2468"/>
      <c r="AA57" s="2468"/>
      <c r="AB57" s="2468"/>
      <c r="AC57" s="2468"/>
    </row>
    <row r="58" spans="1:29" ht="15.75" thickBot="1">
      <c r="A58" s="361"/>
      <c r="B58" s="460"/>
      <c r="C58" s="485"/>
      <c r="D58" s="461"/>
      <c r="E58" s="461"/>
      <c r="F58" s="461"/>
      <c r="G58" s="461"/>
      <c r="H58" s="461"/>
      <c r="I58" s="461"/>
      <c r="J58" s="461"/>
      <c r="K58" s="461"/>
      <c r="L58" s="461"/>
      <c r="M58" s="462"/>
      <c r="N58" s="2503"/>
      <c r="O58" s="2503"/>
      <c r="P58" s="2511"/>
      <c r="Q58" s="2489"/>
      <c r="R58" s="2468"/>
      <c r="S58" s="2468"/>
      <c r="T58" s="2468"/>
      <c r="U58" s="2468"/>
      <c r="V58" s="2468"/>
      <c r="W58" s="2468"/>
      <c r="X58" s="2468"/>
      <c r="Y58" s="2468"/>
      <c r="Z58" s="2468"/>
      <c r="AA58" s="2468"/>
      <c r="AB58" s="2468"/>
      <c r="AC58" s="2468"/>
    </row>
    <row r="59" spans="1:29" s="402" customFormat="1" ht="15.75" thickTop="1">
      <c r="A59" s="478"/>
      <c r="B59" s="463">
        <f>B12</f>
        <v>111</v>
      </c>
      <c r="C59" s="474"/>
      <c r="D59" s="474"/>
      <c r="E59" s="474"/>
      <c r="F59" s="474"/>
      <c r="G59" s="479"/>
      <c r="H59" s="480"/>
      <c r="I59" s="480"/>
      <c r="J59" s="480"/>
      <c r="K59" s="480"/>
      <c r="L59" s="481"/>
      <c r="M59" s="482"/>
      <c r="N59" s="2504"/>
      <c r="O59" s="2504"/>
      <c r="P59" s="2512"/>
      <c r="Q59" s="2496"/>
      <c r="R59" s="2474"/>
      <c r="S59" s="2474"/>
      <c r="T59" s="2474"/>
      <c r="U59" s="2474"/>
      <c r="V59" s="2474"/>
      <c r="W59" s="2474"/>
      <c r="X59" s="2474"/>
      <c r="Y59" s="2474"/>
      <c r="Z59" s="2474"/>
      <c r="AA59" s="2474"/>
      <c r="AB59" s="2474"/>
      <c r="AC59" s="2474"/>
    </row>
    <row r="60" spans="1:29" s="402" customFormat="1" ht="15.75" thickBot="1">
      <c r="A60" s="478"/>
      <c r="B60" s="468"/>
      <c r="C60" s="485"/>
      <c r="D60" s="461"/>
      <c r="E60" s="461"/>
      <c r="F60" s="461"/>
      <c r="G60" s="461"/>
      <c r="H60" s="461"/>
      <c r="I60" s="461"/>
      <c r="J60" s="461"/>
      <c r="K60" s="461"/>
      <c r="L60" s="461"/>
      <c r="M60" s="462"/>
      <c r="N60" s="2503"/>
      <c r="O60" s="2503"/>
      <c r="P60" s="2512"/>
      <c r="Q60" s="2496"/>
      <c r="R60" s="2474"/>
      <c r="S60" s="2474"/>
      <c r="T60" s="2474"/>
      <c r="U60" s="2474"/>
      <c r="V60" s="2474"/>
      <c r="W60" s="2474"/>
      <c r="X60" s="2474"/>
      <c r="Y60" s="2474"/>
      <c r="Z60" s="2474"/>
      <c r="AA60" s="2474"/>
      <c r="AB60" s="2474"/>
      <c r="AC60" s="2474"/>
    </row>
    <row r="61" spans="1:29" s="402" customFormat="1" ht="15.75" thickTop="1">
      <c r="A61" s="478"/>
      <c r="B61" s="463">
        <f>B13</f>
        <v>111</v>
      </c>
      <c r="C61" s="479"/>
      <c r="D61" s="479"/>
      <c r="E61" s="479"/>
      <c r="F61" s="479"/>
      <c r="G61" s="479"/>
      <c r="H61" s="480"/>
      <c r="I61" s="480"/>
      <c r="J61" s="480"/>
      <c r="K61" s="480"/>
      <c r="L61" s="481"/>
      <c r="M61" s="482"/>
      <c r="N61" s="2504"/>
      <c r="O61" s="2504"/>
      <c r="P61" s="2513"/>
      <c r="Q61" s="2498"/>
      <c r="R61" s="2474"/>
      <c r="S61" s="2474"/>
      <c r="T61" s="2474"/>
      <c r="U61" s="2474"/>
      <c r="V61" s="2474"/>
      <c r="W61" s="2474"/>
      <c r="X61" s="2474"/>
      <c r="Y61" s="2474"/>
      <c r="Z61" s="2474"/>
      <c r="AA61" s="2474"/>
      <c r="AB61" s="2474"/>
      <c r="AC61" s="2474"/>
    </row>
    <row r="62" spans="1:29" s="402" customFormat="1" ht="15.75" thickBot="1">
      <c r="A62" s="478"/>
      <c r="B62" s="468"/>
      <c r="C62" s="485"/>
      <c r="D62" s="485"/>
      <c r="E62" s="485"/>
      <c r="F62" s="485"/>
      <c r="G62" s="485"/>
      <c r="H62" s="487"/>
      <c r="I62" s="487"/>
      <c r="J62" s="487"/>
      <c r="K62" s="487"/>
      <c r="L62" s="487"/>
      <c r="M62" s="488"/>
      <c r="N62" s="2504"/>
      <c r="O62" s="2504"/>
      <c r="P62" s="2512"/>
      <c r="Q62" s="2496"/>
      <c r="R62" s="2474"/>
      <c r="S62" s="2474"/>
      <c r="T62" s="2474"/>
      <c r="U62" s="2474"/>
      <c r="V62" s="2474"/>
      <c r="W62" s="2474"/>
      <c r="X62" s="2474"/>
      <c r="Y62" s="2474"/>
      <c r="Z62" s="2474"/>
      <c r="AA62" s="2474"/>
      <c r="AB62" s="2474"/>
      <c r="AC62" s="2474"/>
    </row>
    <row r="63" spans="1:29" ht="15" thickTop="1">
      <c r="A63" s="373" t="s">
        <v>1684</v>
      </c>
      <c r="B63" s="454" t="s">
        <v>1720</v>
      </c>
      <c r="C63" s="498" t="s">
        <v>1715</v>
      </c>
      <c r="D63" s="498" t="s">
        <v>1716</v>
      </c>
      <c r="E63" s="498" t="s">
        <v>1717</v>
      </c>
      <c r="F63" s="498" t="s">
        <v>1718</v>
      </c>
      <c r="G63" s="498" t="s">
        <v>1719</v>
      </c>
      <c r="H63" s="455"/>
      <c r="I63" s="455"/>
      <c r="J63" s="455"/>
      <c r="K63" s="499"/>
      <c r="L63" s="500"/>
      <c r="M63" s="501"/>
      <c r="N63" s="2502"/>
      <c r="O63" s="2502"/>
      <c r="P63" s="2515"/>
      <c r="Q63" s="2489"/>
      <c r="R63" s="2468"/>
      <c r="S63" s="2468"/>
      <c r="T63" s="2468"/>
      <c r="U63" s="2468"/>
      <c r="V63" s="2468"/>
      <c r="W63" s="2468"/>
      <c r="X63" s="2468"/>
      <c r="Y63" s="2468"/>
      <c r="Z63" s="2468"/>
      <c r="AA63" s="2468"/>
      <c r="AB63" s="2468"/>
      <c r="AC63" s="2468"/>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03"/>
      <c r="O64" s="2503"/>
      <c r="P64" s="2511"/>
      <c r="Q64" s="2489"/>
      <c r="R64" s="2468"/>
      <c r="S64" s="2468"/>
      <c r="T64" s="2468"/>
      <c r="U64" s="2468"/>
      <c r="V64" s="2468"/>
      <c r="W64" s="2468"/>
      <c r="X64" s="2468"/>
      <c r="Y64" s="2468"/>
      <c r="Z64" s="2468"/>
      <c r="AA64" s="2468"/>
      <c r="AB64" s="2468"/>
      <c r="AC64" s="2468"/>
    </row>
    <row r="65" spans="1:29" ht="15.75" thickTop="1">
      <c r="A65" s="361"/>
      <c r="B65" s="463" t="s">
        <v>1721</v>
      </c>
      <c r="C65" s="503" t="s">
        <v>1715</v>
      </c>
      <c r="D65" s="503" t="s">
        <v>1716</v>
      </c>
      <c r="E65" s="503" t="s">
        <v>1717</v>
      </c>
      <c r="F65" s="503" t="s">
        <v>1718</v>
      </c>
      <c r="G65" s="503" t="s">
        <v>1719</v>
      </c>
      <c r="H65" s="464"/>
      <c r="I65" s="464"/>
      <c r="J65" s="464"/>
      <c r="K65" s="465"/>
      <c r="L65" s="466"/>
      <c r="M65" s="467"/>
      <c r="N65" s="2502"/>
      <c r="O65" s="2502"/>
      <c r="P65" s="2511"/>
      <c r="Q65" s="2489"/>
      <c r="R65" s="2468"/>
      <c r="S65" s="2468"/>
      <c r="T65" s="2468"/>
      <c r="U65" s="2468"/>
      <c r="V65" s="2468"/>
      <c r="W65" s="2468"/>
      <c r="X65" s="2468"/>
      <c r="Y65" s="2468"/>
      <c r="Z65" s="2468"/>
      <c r="AA65" s="2468"/>
      <c r="AB65" s="2468"/>
      <c r="AC65" s="2468"/>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03"/>
      <c r="O66" s="2503"/>
      <c r="P66" s="2511"/>
      <c r="Q66" s="2489"/>
      <c r="R66" s="2468"/>
      <c r="S66" s="2468"/>
      <c r="T66" s="2468"/>
      <c r="U66" s="2468"/>
      <c r="V66" s="2468"/>
      <c r="W66" s="2468"/>
      <c r="X66" s="2468"/>
      <c r="Y66" s="2468"/>
      <c r="Z66" s="2468"/>
      <c r="AA66" s="2468"/>
      <c r="AB66" s="2468"/>
      <c r="AC66" s="2468"/>
    </row>
    <row r="67" spans="1:29" ht="15.75" thickTop="1">
      <c r="A67" s="361"/>
      <c r="B67" s="471" t="s">
        <v>1807</v>
      </c>
      <c r="C67" s="575" t="s">
        <v>1793</v>
      </c>
      <c r="D67" s="575" t="s">
        <v>1794</v>
      </c>
      <c r="E67" s="575" t="s">
        <v>1795</v>
      </c>
      <c r="F67" s="575" t="s">
        <v>1796</v>
      </c>
      <c r="G67" s="575" t="s">
        <v>1797</v>
      </c>
      <c r="H67" s="464"/>
      <c r="I67" s="464"/>
      <c r="J67" s="464"/>
      <c r="K67" s="464"/>
      <c r="L67" s="464"/>
      <c r="M67" s="1056"/>
      <c r="N67" s="2503"/>
      <c r="O67" s="2503"/>
      <c r="P67" s="2511"/>
      <c r="Q67" s="2489"/>
      <c r="R67" s="2468"/>
      <c r="S67" s="2468"/>
      <c r="T67" s="2468"/>
      <c r="U67" s="2468"/>
      <c r="V67" s="2468"/>
      <c r="W67" s="2468"/>
      <c r="X67" s="2468"/>
      <c r="Y67" s="2468"/>
      <c r="Z67" s="2468"/>
      <c r="AA67" s="2468"/>
      <c r="AB67" s="2468"/>
      <c r="AC67" s="2468"/>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03"/>
      <c r="O68" s="2503"/>
      <c r="P68" s="2511"/>
      <c r="Q68" s="2489"/>
      <c r="R68" s="2468"/>
      <c r="S68" s="2468"/>
      <c r="T68" s="2468"/>
      <c r="U68" s="2468"/>
      <c r="V68" s="2468"/>
      <c r="W68" s="2468"/>
      <c r="X68" s="2468"/>
      <c r="Y68" s="2468"/>
      <c r="Z68" s="2468"/>
      <c r="AA68" s="2468"/>
      <c r="AB68" s="2468"/>
      <c r="AC68" s="2468"/>
    </row>
    <row r="69" spans="1:29" ht="15.75" thickTop="1">
      <c r="A69" s="361"/>
      <c r="B69" s="463" t="s">
        <v>1727</v>
      </c>
      <c r="C69" s="503" t="s">
        <v>1715</v>
      </c>
      <c r="D69" s="503" t="s">
        <v>1716</v>
      </c>
      <c r="E69" s="503" t="s">
        <v>1717</v>
      </c>
      <c r="F69" s="503" t="s">
        <v>1718</v>
      </c>
      <c r="G69" s="503" t="s">
        <v>1719</v>
      </c>
      <c r="H69" s="464"/>
      <c r="I69" s="464"/>
      <c r="J69" s="464"/>
      <c r="K69" s="465"/>
      <c r="L69" s="466"/>
      <c r="M69" s="467"/>
      <c r="N69" s="2502"/>
      <c r="O69" s="2502"/>
      <c r="P69" s="2511"/>
      <c r="Q69" s="2489"/>
      <c r="R69" s="2468"/>
      <c r="S69" s="2468"/>
      <c r="T69" s="2468"/>
      <c r="U69" s="2468"/>
      <c r="V69" s="2468"/>
      <c r="W69" s="2468"/>
      <c r="X69" s="2468"/>
      <c r="Y69" s="2468"/>
      <c r="Z69" s="2468"/>
      <c r="AA69" s="2468"/>
      <c r="AB69" s="2468"/>
      <c r="AC69" s="2468"/>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03"/>
      <c r="O70" s="2503"/>
      <c r="P70" s="2511"/>
      <c r="Q70" s="2489"/>
      <c r="R70" s="2468"/>
      <c r="S70" s="2468"/>
      <c r="T70" s="2468"/>
      <c r="U70" s="2468"/>
      <c r="V70" s="2468"/>
      <c r="W70" s="2468"/>
      <c r="X70" s="2468"/>
      <c r="Y70" s="2468"/>
      <c r="Z70" s="2468"/>
      <c r="AA70" s="2468"/>
      <c r="AB70" s="2468"/>
      <c r="AC70" s="2468"/>
    </row>
    <row r="71" spans="1:29" ht="15.75" thickTop="1">
      <c r="A71" s="361"/>
      <c r="B71" s="463" t="s">
        <v>1846</v>
      </c>
      <c r="C71" s="479"/>
      <c r="D71" s="479"/>
      <c r="E71" s="479"/>
      <c r="F71" s="479"/>
      <c r="G71" s="479"/>
      <c r="H71" s="507"/>
      <c r="I71" s="507"/>
      <c r="J71" s="507"/>
      <c r="K71" s="508"/>
      <c r="L71" s="509"/>
      <c r="M71" s="510"/>
      <c r="N71" s="2502"/>
      <c r="O71" s="2502"/>
      <c r="P71" s="2511"/>
      <c r="Q71" s="2489"/>
      <c r="R71" s="2468"/>
      <c r="S71" s="2468"/>
      <c r="T71" s="2468"/>
      <c r="U71" s="2468"/>
      <c r="V71" s="2468"/>
      <c r="W71" s="2468"/>
      <c r="X71" s="2468"/>
      <c r="Y71" s="2468"/>
      <c r="Z71" s="2468"/>
      <c r="AA71" s="2468"/>
      <c r="AB71" s="2468"/>
      <c r="AC71" s="2468"/>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03"/>
      <c r="O72" s="2503"/>
      <c r="P72" s="2511"/>
      <c r="Q72" s="2489"/>
      <c r="R72" s="2468"/>
      <c r="S72" s="2468"/>
      <c r="T72" s="2468"/>
      <c r="U72" s="2468"/>
      <c r="V72" s="2468"/>
      <c r="W72" s="2468"/>
      <c r="X72" s="2468"/>
      <c r="Y72" s="2468"/>
      <c r="Z72" s="2468"/>
      <c r="AA72" s="2468"/>
      <c r="AB72" s="2468"/>
      <c r="AC72" s="2468"/>
    </row>
    <row r="73" spans="1:29" s="101" customFormat="1" ht="15.75" thickTop="1">
      <c r="A73" s="364"/>
      <c r="B73" s="463">
        <f>B23</f>
        <v>111</v>
      </c>
      <c r="C73" s="474"/>
      <c r="D73" s="474"/>
      <c r="E73" s="474"/>
      <c r="F73" s="474"/>
      <c r="G73" s="479"/>
      <c r="H73" s="479"/>
      <c r="I73" s="479"/>
      <c r="J73" s="479"/>
      <c r="K73" s="479"/>
      <c r="L73" s="504"/>
      <c r="M73" s="505"/>
      <c r="N73" s="2501"/>
      <c r="O73" s="2501"/>
      <c r="P73" s="2511"/>
      <c r="Q73" s="2489"/>
      <c r="R73" s="2423"/>
      <c r="S73" s="2423"/>
      <c r="T73" s="2423"/>
      <c r="U73" s="2423"/>
      <c r="V73" s="2423"/>
      <c r="W73" s="2423"/>
      <c r="X73" s="2423"/>
      <c r="Y73" s="2423"/>
      <c r="Z73" s="2423"/>
      <c r="AA73" s="2423"/>
      <c r="AB73" s="2423"/>
      <c r="AC73" s="2423"/>
    </row>
    <row r="74" spans="1:29" s="101" customFormat="1" ht="15.75" thickBot="1">
      <c r="A74" s="364"/>
      <c r="B74" s="468"/>
      <c r="C74" s="485"/>
      <c r="D74" s="461"/>
      <c r="E74" s="461"/>
      <c r="F74" s="461"/>
      <c r="G74" s="461"/>
      <c r="H74" s="461"/>
      <c r="I74" s="461"/>
      <c r="J74" s="461"/>
      <c r="K74" s="461"/>
      <c r="L74" s="461"/>
      <c r="M74" s="462"/>
      <c r="N74" s="2503"/>
      <c r="O74" s="2503"/>
      <c r="P74" s="2511"/>
      <c r="Q74" s="2489"/>
      <c r="R74" s="2423"/>
      <c r="S74" s="2423"/>
      <c r="T74" s="2423"/>
      <c r="U74" s="2423"/>
      <c r="V74" s="2423"/>
      <c r="W74" s="2423"/>
      <c r="X74" s="2423"/>
      <c r="Y74" s="2423"/>
      <c r="Z74" s="2423"/>
      <c r="AA74" s="2423"/>
      <c r="AB74" s="2423"/>
      <c r="AC74" s="2423"/>
    </row>
    <row r="75" spans="1:29" s="101" customFormat="1" ht="15.75" thickTop="1">
      <c r="A75" s="364"/>
      <c r="B75" s="463">
        <f>B24</f>
        <v>111</v>
      </c>
      <c r="C75" s="474"/>
      <c r="D75" s="474"/>
      <c r="E75" s="474"/>
      <c r="F75" s="474"/>
      <c r="G75" s="479"/>
      <c r="H75" s="479"/>
      <c r="I75" s="479"/>
      <c r="J75" s="479"/>
      <c r="K75" s="479"/>
      <c r="L75" s="479"/>
      <c r="M75" s="505"/>
      <c r="N75" s="2501"/>
      <c r="O75" s="2501"/>
      <c r="P75" s="2511"/>
      <c r="Q75" s="2489"/>
      <c r="R75" s="2423"/>
      <c r="S75" s="2423"/>
      <c r="T75" s="2423"/>
      <c r="U75" s="2423"/>
      <c r="V75" s="2423"/>
      <c r="W75" s="2423"/>
      <c r="X75" s="2423"/>
      <c r="Y75" s="2423"/>
      <c r="Z75" s="2423"/>
      <c r="AA75" s="2423"/>
      <c r="AB75" s="2423"/>
      <c r="AC75" s="2423"/>
    </row>
    <row r="76" spans="1:29" s="101" customFormat="1" ht="15.75" thickBot="1">
      <c r="A76" s="364"/>
      <c r="B76" s="468"/>
      <c r="C76" s="485"/>
      <c r="D76" s="461"/>
      <c r="E76" s="461"/>
      <c r="F76" s="461"/>
      <c r="G76" s="461"/>
      <c r="H76" s="461"/>
      <c r="I76" s="461"/>
      <c r="J76" s="461"/>
      <c r="K76" s="461"/>
      <c r="L76" s="461"/>
      <c r="M76" s="462"/>
      <c r="N76" s="2503"/>
      <c r="O76" s="2503"/>
      <c r="P76" s="2511"/>
      <c r="Q76" s="2489"/>
      <c r="R76" s="2423"/>
      <c r="S76" s="2423"/>
      <c r="T76" s="2423"/>
      <c r="U76" s="2423"/>
      <c r="V76" s="2423"/>
      <c r="W76" s="2423"/>
      <c r="X76" s="2423"/>
      <c r="Y76" s="2423"/>
      <c r="Z76" s="2423"/>
      <c r="AA76" s="2423"/>
      <c r="AB76" s="2423"/>
      <c r="AC76" s="2423"/>
    </row>
    <row r="77" spans="1:29" s="402" customFormat="1" ht="15.75" thickTop="1">
      <c r="A77" s="478"/>
      <c r="B77" s="463">
        <f>B25</f>
        <v>111</v>
      </c>
      <c r="C77" s="479"/>
      <c r="D77" s="479"/>
      <c r="E77" s="479"/>
      <c r="F77" s="479"/>
      <c r="G77" s="479"/>
      <c r="H77" s="480"/>
      <c r="I77" s="480"/>
      <c r="J77" s="480"/>
      <c r="K77" s="480"/>
      <c r="L77" s="481"/>
      <c r="M77" s="482"/>
      <c r="N77" s="2504"/>
      <c r="O77" s="2504"/>
      <c r="P77" s="2512"/>
      <c r="Q77" s="2496"/>
      <c r="R77" s="2474"/>
      <c r="S77" s="2474"/>
      <c r="T77" s="2474"/>
      <c r="U77" s="2474"/>
      <c r="V77" s="2474"/>
      <c r="W77" s="2474"/>
      <c r="X77" s="2474"/>
      <c r="Y77" s="2474"/>
      <c r="Z77" s="2474"/>
      <c r="AA77" s="2474"/>
      <c r="AB77" s="2474"/>
      <c r="AC77" s="2474"/>
    </row>
    <row r="78" spans="1:29" s="402" customFormat="1" ht="15.75" thickBot="1">
      <c r="A78" s="478"/>
      <c r="B78" s="468"/>
      <c r="C78" s="485"/>
      <c r="D78" s="485"/>
      <c r="E78" s="485"/>
      <c r="F78" s="485"/>
      <c r="G78" s="461"/>
      <c r="H78" s="461"/>
      <c r="I78" s="461"/>
      <c r="J78" s="461"/>
      <c r="K78" s="461"/>
      <c r="L78" s="461"/>
      <c r="M78" s="462"/>
      <c r="N78" s="2504"/>
      <c r="O78" s="2504"/>
      <c r="P78" s="2512"/>
      <c r="Q78" s="2496"/>
      <c r="R78" s="2474"/>
      <c r="S78" s="2474"/>
      <c r="T78" s="2474"/>
      <c r="U78" s="2474"/>
      <c r="V78" s="2474"/>
      <c r="W78" s="2474"/>
      <c r="X78" s="2474"/>
      <c r="Y78" s="2474"/>
      <c r="Z78" s="2474"/>
      <c r="AA78" s="2474"/>
      <c r="AB78" s="2474"/>
      <c r="AC78" s="2474"/>
    </row>
    <row r="79" spans="1:29" ht="27.75" thickTop="1">
      <c r="A79" s="373" t="s">
        <v>1688</v>
      </c>
      <c r="B79" s="454" t="s">
        <v>1847</v>
      </c>
      <c r="C79" s="455" t="str">
        <f>C26</f>
        <v>车库</v>
      </c>
      <c r="D79" s="456"/>
      <c r="E79" s="456"/>
      <c r="F79" s="456"/>
      <c r="G79" s="456"/>
      <c r="H79" s="456"/>
      <c r="I79" s="456"/>
      <c r="J79" s="456"/>
      <c r="K79" s="457"/>
      <c r="L79" s="458"/>
      <c r="M79" s="459"/>
      <c r="N79" s="2502"/>
      <c r="O79" s="2502"/>
      <c r="P79" s="2511"/>
      <c r="Q79" s="2489"/>
      <c r="R79" s="2468"/>
      <c r="S79" s="2468"/>
      <c r="T79" s="2468"/>
      <c r="U79" s="2468"/>
      <c r="V79" s="2468"/>
      <c r="W79" s="2468"/>
      <c r="X79" s="2468"/>
      <c r="Y79" s="2468"/>
      <c r="Z79" s="2468"/>
      <c r="AA79" s="2468"/>
      <c r="AB79" s="2468"/>
      <c r="AC79" s="2468"/>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03"/>
      <c r="O80" s="2503"/>
      <c r="P80" s="2511"/>
      <c r="Q80" s="2489"/>
      <c r="R80" s="2468"/>
      <c r="S80" s="2468"/>
      <c r="T80" s="2468"/>
      <c r="U80" s="2468"/>
      <c r="V80" s="2468"/>
      <c r="W80" s="2468"/>
      <c r="X80" s="2468"/>
      <c r="Y80" s="2468"/>
      <c r="Z80" s="2468"/>
      <c r="AA80" s="2468"/>
      <c r="AB80" s="2468"/>
      <c r="AC80" s="2468"/>
    </row>
    <row r="81" spans="1:29" ht="15.75" thickTop="1">
      <c r="A81" s="361"/>
      <c r="B81" s="463" t="s">
        <v>1848</v>
      </c>
      <c r="C81" s="576"/>
      <c r="D81" s="576"/>
      <c r="E81" s="576"/>
      <c r="F81" s="576"/>
      <c r="G81" s="576"/>
      <c r="H81" s="576"/>
      <c r="I81" s="576"/>
      <c r="J81" s="576"/>
      <c r="K81" s="577"/>
      <c r="L81" s="578"/>
      <c r="M81" s="579"/>
      <c r="N81" s="2501"/>
      <c r="O81" s="2501"/>
      <c r="P81" s="2511"/>
      <c r="Q81" s="2489"/>
      <c r="R81" s="2468"/>
      <c r="S81" s="2468"/>
      <c r="T81" s="2468"/>
      <c r="U81" s="2468"/>
      <c r="V81" s="2468"/>
      <c r="W81" s="2468"/>
      <c r="X81" s="2468"/>
      <c r="Y81" s="2468"/>
      <c r="Z81" s="2468"/>
      <c r="AA81" s="2468"/>
      <c r="AB81" s="2468"/>
      <c r="AC81" s="2468"/>
    </row>
    <row r="82" spans="1:29" s="402" customFormat="1" ht="15.75" thickBot="1">
      <c r="A82" s="478"/>
      <c r="B82" s="468"/>
      <c r="C82" s="485"/>
      <c r="D82" s="461"/>
      <c r="E82" s="461"/>
      <c r="F82" s="461"/>
      <c r="G82" s="461"/>
      <c r="H82" s="461"/>
      <c r="I82" s="461"/>
      <c r="J82" s="461"/>
      <c r="K82" s="461"/>
      <c r="L82" s="461"/>
      <c r="M82" s="462"/>
      <c r="N82" s="2503"/>
      <c r="O82" s="2503"/>
      <c r="P82" s="2512"/>
      <c r="Q82" s="2496"/>
      <c r="R82" s="2474"/>
      <c r="S82" s="2474"/>
      <c r="T82" s="2474"/>
      <c r="U82" s="2474"/>
      <c r="V82" s="2474"/>
      <c r="W82" s="2474"/>
      <c r="X82" s="2474"/>
      <c r="Y82" s="2474"/>
      <c r="Z82" s="2474"/>
      <c r="AA82" s="2474"/>
      <c r="AB82" s="2474"/>
      <c r="AC82" s="2474"/>
    </row>
    <row r="83" spans="1:29" ht="15" thickTop="1">
      <c r="A83" s="403"/>
      <c r="B83" s="463" t="s">
        <v>1734</v>
      </c>
      <c r="C83" s="479"/>
      <c r="D83" s="479"/>
      <c r="E83" s="507"/>
      <c r="F83" s="507"/>
      <c r="G83" s="507"/>
      <c r="H83" s="507"/>
      <c r="I83" s="507"/>
      <c r="J83" s="507"/>
      <c r="K83" s="508"/>
      <c r="L83" s="509"/>
      <c r="M83" s="510"/>
      <c r="N83" s="2502"/>
      <c r="O83" s="2502"/>
      <c r="P83" s="2511"/>
      <c r="Q83" s="2489"/>
      <c r="R83" s="2468"/>
      <c r="S83" s="2468"/>
      <c r="T83" s="2468"/>
      <c r="U83" s="2468"/>
      <c r="V83" s="2468"/>
      <c r="W83" s="2468"/>
      <c r="X83" s="2468"/>
      <c r="Y83" s="2468"/>
      <c r="Z83" s="2468"/>
      <c r="AA83" s="2468"/>
      <c r="AB83" s="2468"/>
      <c r="AC83" s="2468"/>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03"/>
      <c r="O84" s="2503"/>
      <c r="P84" s="2511"/>
      <c r="Q84" s="2489"/>
      <c r="R84" s="2468"/>
      <c r="S84" s="2468"/>
      <c r="T84" s="2468"/>
      <c r="U84" s="2468"/>
      <c r="V84" s="2468"/>
      <c r="W84" s="2468"/>
      <c r="X84" s="2468"/>
      <c r="Y84" s="2468"/>
      <c r="Z84" s="2468"/>
      <c r="AA84" s="2468"/>
      <c r="AB84" s="2468"/>
      <c r="AC84" s="2468"/>
    </row>
    <row r="85" spans="1:29" ht="15" thickTop="1">
      <c r="A85" s="403"/>
      <c r="B85" s="463" t="s">
        <v>1849</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02"/>
      <c r="O85" s="2502"/>
      <c r="P85" s="2511"/>
      <c r="Q85" s="2489"/>
      <c r="R85" s="2468"/>
      <c r="S85" s="2468"/>
      <c r="T85" s="2468"/>
      <c r="U85" s="2468"/>
      <c r="V85" s="2468"/>
      <c r="W85" s="2468"/>
      <c r="X85" s="2468"/>
      <c r="Y85" s="2468"/>
      <c r="Z85" s="2468"/>
      <c r="AA85" s="2468"/>
      <c r="AB85" s="2468"/>
      <c r="AC85" s="2468"/>
    </row>
    <row r="86" spans="1:29">
      <c r="A86" s="403"/>
      <c r="B86" s="471"/>
      <c r="C86" s="524">
        <v>0.5</v>
      </c>
      <c r="D86" s="524">
        <v>0.6</v>
      </c>
      <c r="E86" s="524">
        <v>0.7</v>
      </c>
      <c r="F86" s="524">
        <v>0.8</v>
      </c>
      <c r="G86" s="524">
        <v>0.9</v>
      </c>
      <c r="H86" s="524">
        <v>1.0001</v>
      </c>
      <c r="I86" s="542"/>
      <c r="J86" s="542"/>
      <c r="K86" s="543"/>
      <c r="L86" s="544"/>
      <c r="M86" s="545"/>
      <c r="N86" s="2502"/>
      <c r="O86" s="2502"/>
      <c r="P86" s="2511"/>
      <c r="Q86" s="2489"/>
      <c r="R86" s="2468"/>
      <c r="S86" s="2468"/>
      <c r="T86" s="2468"/>
      <c r="U86" s="2468"/>
      <c r="V86" s="2468"/>
      <c r="W86" s="2468"/>
      <c r="X86" s="2468"/>
      <c r="Y86" s="2468"/>
      <c r="Z86" s="2468"/>
      <c r="AA86" s="2468"/>
      <c r="AB86" s="2468"/>
      <c r="AC86" s="2468"/>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03"/>
      <c r="O87" s="2503"/>
      <c r="P87" s="2511"/>
      <c r="Q87" s="2489"/>
      <c r="R87" s="2468"/>
      <c r="S87" s="2468"/>
      <c r="T87" s="2468"/>
      <c r="U87" s="2468"/>
      <c r="V87" s="2468"/>
      <c r="W87" s="2468"/>
      <c r="X87" s="2468"/>
      <c r="Y87" s="2468"/>
      <c r="Z87" s="2468"/>
      <c r="AA87" s="2468"/>
      <c r="AB87" s="2468"/>
      <c r="AC87" s="2468"/>
    </row>
    <row r="88" spans="1:29" ht="15" thickTop="1">
      <c r="A88" s="403"/>
      <c r="B88" s="471" t="s">
        <v>1850</v>
      </c>
      <c r="C88" s="456"/>
      <c r="D88" s="456"/>
      <c r="E88" s="456"/>
      <c r="F88" s="456"/>
      <c r="G88" s="456"/>
      <c r="H88" s="456"/>
      <c r="I88" s="456"/>
      <c r="J88" s="456"/>
      <c r="K88" s="457"/>
      <c r="L88" s="458"/>
      <c r="M88" s="459"/>
      <c r="N88" s="2502"/>
      <c r="O88" s="2502"/>
      <c r="P88" s="2511"/>
      <c r="Q88" s="2489"/>
      <c r="R88" s="2468"/>
      <c r="S88" s="2468"/>
      <c r="T88" s="2468"/>
      <c r="U88" s="2468"/>
      <c r="V88" s="2468"/>
      <c r="W88" s="2468"/>
      <c r="X88" s="2468"/>
      <c r="Y88" s="2468"/>
      <c r="Z88" s="2468"/>
      <c r="AA88" s="2468"/>
      <c r="AB88" s="2468"/>
      <c r="AC88" s="2468"/>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03"/>
      <c r="O89" s="2503"/>
      <c r="P89" s="2511"/>
      <c r="Q89" s="2489"/>
      <c r="R89" s="2468"/>
      <c r="S89" s="2468"/>
      <c r="T89" s="2468"/>
      <c r="U89" s="2468"/>
      <c r="V89" s="2468"/>
      <c r="W89" s="2468"/>
      <c r="X89" s="2468"/>
      <c r="Y89" s="2468"/>
      <c r="Z89" s="2468"/>
      <c r="AA89" s="2468"/>
      <c r="AB89" s="2468"/>
      <c r="AC89" s="2468"/>
    </row>
    <row r="90" spans="1:29" s="402" customFormat="1" ht="15" thickTop="1">
      <c r="A90" s="400"/>
      <c r="B90" s="463" t="s">
        <v>1851</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04"/>
      <c r="O90" s="2504"/>
      <c r="P90" s="2512"/>
      <c r="Q90" s="2496"/>
      <c r="R90" s="2474"/>
      <c r="S90" s="2474"/>
      <c r="T90" s="2474"/>
      <c r="U90" s="2474"/>
      <c r="V90" s="2474"/>
      <c r="W90" s="2474"/>
      <c r="X90" s="2474"/>
      <c r="Y90" s="2474"/>
      <c r="Z90" s="2474"/>
      <c r="AA90" s="2474"/>
      <c r="AB90" s="2474"/>
      <c r="AC90" s="2474"/>
    </row>
    <row r="91" spans="1:29" s="402" customFormat="1">
      <c r="A91" s="400"/>
      <c r="B91" s="471"/>
      <c r="C91" s="6"/>
      <c r="D91" s="6"/>
      <c r="E91" s="6"/>
      <c r="F91" s="6"/>
      <c r="G91" s="6"/>
      <c r="H91" s="6"/>
      <c r="I91" s="6"/>
      <c r="J91" s="518"/>
      <c r="K91" s="518"/>
      <c r="L91" s="519"/>
      <c r="M91" s="520"/>
      <c r="N91" s="2504"/>
      <c r="O91" s="2504"/>
      <c r="P91" s="2512"/>
      <c r="Q91" s="2496"/>
      <c r="R91" s="2474"/>
      <c r="S91" s="2474"/>
      <c r="T91" s="2474"/>
      <c r="U91" s="2474"/>
      <c r="V91" s="2474"/>
      <c r="W91" s="2474"/>
      <c r="X91" s="2474"/>
      <c r="Y91" s="2474"/>
      <c r="Z91" s="2474"/>
      <c r="AA91" s="2474"/>
      <c r="AB91" s="2474"/>
      <c r="AC91" s="2474"/>
    </row>
    <row r="92" spans="1:29" s="402" customFormat="1" ht="15.75" thickBot="1">
      <c r="A92" s="478"/>
      <c r="B92" s="468"/>
      <c r="C92" s="485"/>
      <c r="D92" s="461"/>
      <c r="E92" s="461"/>
      <c r="F92" s="461"/>
      <c r="G92" s="461"/>
      <c r="H92" s="461"/>
      <c r="I92" s="461"/>
      <c r="J92" s="461"/>
      <c r="K92" s="461"/>
      <c r="L92" s="461"/>
      <c r="M92" s="462"/>
      <c r="N92" s="2504"/>
      <c r="O92" s="2504"/>
      <c r="P92" s="2512"/>
      <c r="Q92" s="2496"/>
      <c r="R92" s="2474"/>
      <c r="S92" s="2474"/>
      <c r="T92" s="2474"/>
      <c r="U92" s="2474"/>
      <c r="V92" s="2474"/>
      <c r="W92" s="2474"/>
      <c r="X92" s="2474"/>
      <c r="Y92" s="2474"/>
      <c r="Z92" s="2474"/>
      <c r="AA92" s="2474"/>
      <c r="AB92" s="2474"/>
      <c r="AC92" s="2474"/>
    </row>
    <row r="93" spans="1:29" ht="15" thickTop="1">
      <c r="A93" s="403"/>
      <c r="B93" s="463" t="s">
        <v>1852</v>
      </c>
      <c r="C93" s="479"/>
      <c r="D93" s="479"/>
      <c r="E93" s="507"/>
      <c r="F93" s="507"/>
      <c r="G93" s="507"/>
      <c r="H93" s="507"/>
      <c r="I93" s="507"/>
      <c r="J93" s="507"/>
      <c r="K93" s="508"/>
      <c r="L93" s="509"/>
      <c r="M93" s="510"/>
      <c r="N93" s="2502"/>
      <c r="O93" s="2502"/>
      <c r="P93" s="2511"/>
      <c r="Q93" s="2489"/>
      <c r="R93" s="2468"/>
      <c r="S93" s="2468"/>
      <c r="T93" s="2468"/>
      <c r="U93" s="2468"/>
      <c r="V93" s="2468"/>
      <c r="W93" s="2468"/>
      <c r="X93" s="2468"/>
      <c r="Y93" s="2468"/>
      <c r="Z93" s="2468"/>
      <c r="AA93" s="2468"/>
      <c r="AB93" s="2468"/>
      <c r="AC93" s="2468"/>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03"/>
      <c r="O94" s="2503"/>
      <c r="P94" s="2511"/>
      <c r="Q94" s="2489"/>
      <c r="R94" s="2468"/>
      <c r="S94" s="2468"/>
      <c r="T94" s="2468"/>
      <c r="U94" s="2468"/>
      <c r="V94" s="2468"/>
      <c r="W94" s="2468"/>
      <c r="X94" s="2468"/>
      <c r="Y94" s="2468"/>
      <c r="Z94" s="2468"/>
      <c r="AA94" s="2468"/>
      <c r="AB94" s="2468"/>
      <c r="AC94" s="2468"/>
    </row>
    <row r="95" spans="1:29" ht="15" thickTop="1">
      <c r="A95" s="403"/>
      <c r="B95" s="463" t="s">
        <v>1853</v>
      </c>
      <c r="C95" s="456"/>
      <c r="D95" s="456"/>
      <c r="E95" s="456"/>
      <c r="F95" s="456"/>
      <c r="G95" s="456"/>
      <c r="H95" s="456"/>
      <c r="I95" s="456"/>
      <c r="J95" s="456"/>
      <c r="K95" s="457"/>
      <c r="L95" s="458"/>
      <c r="M95" s="459"/>
      <c r="N95" s="2502"/>
      <c r="O95" s="2502"/>
      <c r="P95" s="2511"/>
      <c r="Q95" s="2489"/>
      <c r="R95" s="2468"/>
      <c r="S95" s="2468"/>
      <c r="T95" s="2468"/>
      <c r="U95" s="2468"/>
      <c r="V95" s="2468"/>
      <c r="W95" s="2468"/>
      <c r="X95" s="2468"/>
      <c r="Y95" s="2468"/>
      <c r="Z95" s="2468"/>
      <c r="AA95" s="2468"/>
      <c r="AB95" s="2468"/>
      <c r="AC95" s="2468"/>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03"/>
      <c r="O96" s="2503"/>
      <c r="P96" s="2511"/>
      <c r="Q96" s="2489"/>
      <c r="R96" s="2468"/>
      <c r="S96" s="2468"/>
      <c r="T96" s="2468"/>
      <c r="U96" s="2468"/>
      <c r="V96" s="2468"/>
      <c r="W96" s="2468"/>
      <c r="X96" s="2468"/>
      <c r="Y96" s="2468"/>
      <c r="Z96" s="2468"/>
      <c r="AA96" s="2468"/>
      <c r="AB96" s="2468"/>
      <c r="AC96" s="2468"/>
    </row>
    <row r="97" spans="1:29" ht="15" thickTop="1">
      <c r="A97" s="403"/>
      <c r="B97" s="554">
        <f>B34</f>
        <v>111</v>
      </c>
      <c r="C97" s="474"/>
      <c r="D97" s="474"/>
      <c r="E97" s="474"/>
      <c r="F97" s="474"/>
      <c r="G97" s="479"/>
      <c r="H97" s="480"/>
      <c r="I97" s="480"/>
      <c r="J97" s="480"/>
      <c r="K97" s="480"/>
      <c r="L97" s="481"/>
      <c r="M97" s="482"/>
      <c r="N97" s="2503"/>
      <c r="O97" s="2503"/>
      <c r="P97" s="2516"/>
      <c r="Q97" s="2517"/>
      <c r="R97" s="2468"/>
      <c r="S97" s="2468"/>
      <c r="T97" s="2468"/>
      <c r="U97" s="2468"/>
      <c r="V97" s="2468"/>
      <c r="W97" s="2468"/>
      <c r="X97" s="2468"/>
      <c r="Y97" s="2468"/>
      <c r="Z97" s="2468"/>
      <c r="AA97" s="2468"/>
      <c r="AB97" s="2468"/>
      <c r="AC97" s="2468"/>
    </row>
    <row r="98" spans="1:29" ht="15.75" thickBot="1">
      <c r="A98" s="361"/>
      <c r="B98" s="468"/>
      <c r="C98" s="485"/>
      <c r="D98" s="461"/>
      <c r="E98" s="461"/>
      <c r="F98" s="461"/>
      <c r="G98" s="485"/>
      <c r="H98" s="487"/>
      <c r="I98" s="487"/>
      <c r="J98" s="487"/>
      <c r="K98" s="487"/>
      <c r="L98" s="487"/>
      <c r="M98" s="488"/>
      <c r="N98" s="2503"/>
      <c r="O98" s="2503"/>
      <c r="P98" s="2511"/>
      <c r="Q98" s="2489"/>
      <c r="R98" s="2468"/>
      <c r="S98" s="2468"/>
      <c r="T98" s="2468"/>
      <c r="U98" s="2468"/>
      <c r="V98" s="2468"/>
      <c r="W98" s="2468"/>
      <c r="X98" s="2468"/>
      <c r="Y98" s="2468"/>
      <c r="Z98" s="2468"/>
      <c r="AA98" s="2468"/>
      <c r="AB98" s="2468"/>
      <c r="AC98" s="2468"/>
    </row>
    <row r="99" spans="1:29" s="402" customFormat="1" ht="15" thickTop="1">
      <c r="A99" s="400"/>
      <c r="B99" s="463">
        <f>B35</f>
        <v>111</v>
      </c>
      <c r="C99" s="474"/>
      <c r="D99" s="474"/>
      <c r="E99" s="474"/>
      <c r="F99" s="474"/>
      <c r="G99" s="479"/>
      <c r="H99" s="480"/>
      <c r="I99" s="480"/>
      <c r="J99" s="480"/>
      <c r="K99" s="480"/>
      <c r="L99" s="481"/>
      <c r="M99" s="482"/>
      <c r="N99" s="2504"/>
      <c r="O99" s="2504"/>
      <c r="P99" s="2512"/>
      <c r="Q99" s="2496"/>
      <c r="R99" s="2474"/>
      <c r="S99" s="2474"/>
      <c r="T99" s="2474"/>
      <c r="U99" s="2474"/>
      <c r="V99" s="2474"/>
      <c r="W99" s="2474"/>
      <c r="X99" s="2474"/>
      <c r="Y99" s="2474"/>
      <c r="Z99" s="2474"/>
      <c r="AA99" s="2474"/>
      <c r="AB99" s="2474"/>
      <c r="AC99" s="2474"/>
    </row>
    <row r="100" spans="1:29" s="402" customFormat="1" ht="15.75" thickBot="1">
      <c r="A100" s="478"/>
      <c r="B100" s="460"/>
      <c r="C100" s="485"/>
      <c r="D100" s="461"/>
      <c r="E100" s="461"/>
      <c r="F100" s="461"/>
      <c r="G100" s="485"/>
      <c r="H100" s="487"/>
      <c r="I100" s="487"/>
      <c r="J100" s="487"/>
      <c r="K100" s="487"/>
      <c r="L100" s="487"/>
      <c r="M100" s="488"/>
      <c r="N100" s="2504"/>
      <c r="O100" s="2504"/>
      <c r="P100" s="2512"/>
      <c r="Q100" s="2496"/>
      <c r="R100" s="2474"/>
      <c r="S100" s="2474"/>
      <c r="T100" s="2474"/>
      <c r="U100" s="2474"/>
      <c r="V100" s="2474"/>
      <c r="W100" s="2474"/>
      <c r="X100" s="2474"/>
      <c r="Y100" s="2474"/>
      <c r="Z100" s="2474"/>
      <c r="AA100" s="2474"/>
      <c r="AB100" s="2474"/>
      <c r="AC100" s="2474"/>
    </row>
    <row r="101" spans="1:29" ht="15" thickTop="1">
      <c r="A101" s="403"/>
      <c r="B101" s="463">
        <f>B36</f>
        <v>111</v>
      </c>
      <c r="C101" s="479"/>
      <c r="D101" s="479"/>
      <c r="E101" s="479"/>
      <c r="F101" s="479"/>
      <c r="G101" s="479"/>
      <c r="H101" s="480"/>
      <c r="I101" s="480"/>
      <c r="J101" s="480"/>
      <c r="K101" s="480"/>
      <c r="L101" s="481"/>
      <c r="M101" s="482"/>
      <c r="N101" s="2502"/>
      <c r="O101" s="2502"/>
      <c r="P101" s="2511"/>
      <c r="Q101" s="2489"/>
      <c r="R101" s="2468"/>
      <c r="S101" s="2468"/>
      <c r="T101" s="2468"/>
      <c r="U101" s="2468"/>
      <c r="V101" s="2468"/>
      <c r="W101" s="2468"/>
      <c r="X101" s="2468"/>
      <c r="Y101" s="2468"/>
      <c r="Z101" s="2468"/>
      <c r="AA101" s="2468"/>
      <c r="AB101" s="2468"/>
      <c r="AC101" s="2468"/>
    </row>
    <row r="102" spans="1:29" ht="15.75" thickBot="1">
      <c r="A102" s="361"/>
      <c r="B102" s="468"/>
      <c r="C102" s="485"/>
      <c r="D102" s="485"/>
      <c r="E102" s="485"/>
      <c r="F102" s="485"/>
      <c r="G102" s="485"/>
      <c r="H102" s="487"/>
      <c r="I102" s="487"/>
      <c r="J102" s="487"/>
      <c r="K102" s="487"/>
      <c r="L102" s="487"/>
      <c r="M102" s="488"/>
      <c r="N102" s="2503"/>
      <c r="O102" s="2503"/>
      <c r="P102" s="2511"/>
      <c r="Q102" s="2489"/>
      <c r="R102" s="2468"/>
      <c r="S102" s="2468"/>
      <c r="T102" s="2468"/>
      <c r="U102" s="2468"/>
      <c r="V102" s="2468"/>
      <c r="W102" s="2468"/>
      <c r="X102" s="2468"/>
      <c r="Y102" s="2468"/>
      <c r="Z102" s="2468"/>
      <c r="AA102" s="2468"/>
      <c r="AB102" s="2468"/>
      <c r="AC102" s="2468"/>
    </row>
    <row r="103" spans="1:29" ht="15" thickTop="1">
      <c r="N103" s="2468"/>
      <c r="O103" s="2468"/>
      <c r="P103" s="2505"/>
      <c r="Q103" s="2468"/>
      <c r="R103" s="2468"/>
      <c r="S103" s="2468"/>
      <c r="T103" s="2468"/>
      <c r="U103" s="2468"/>
      <c r="V103" s="2468"/>
      <c r="W103" s="2468"/>
      <c r="X103" s="2468"/>
      <c r="Y103" s="2468"/>
      <c r="Z103" s="2468"/>
      <c r="AA103" s="2468"/>
      <c r="AB103" s="2468"/>
      <c r="AC103" s="246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3" customFormat="1" ht="28.5" customHeight="1" thickBot="1">
      <c r="A1" s="1132" t="s">
        <v>1825</v>
      </c>
      <c r="B1" s="1133" t="s">
        <v>3332</v>
      </c>
      <c r="C1" s="1134" t="s">
        <v>1656</v>
      </c>
      <c r="D1" s="1135"/>
      <c r="E1" s="3112"/>
      <c r="F1" s="1727"/>
      <c r="G1" s="1145" t="s">
        <v>1761</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6" customFormat="1" ht="28.5" customHeight="1" thickTop="1">
      <c r="A2" s="1131" t="s">
        <v>1456</v>
      </c>
      <c r="B2" s="1078" t="b">
        <f>IF(E1="项目模式",IF(C2="——",ROUND(C37*D3/10000,0),ROUND(C37*D3/10000,0)-D2),IF(E1="单套模式",IF(C2="——",ROUND(C37*D3/10000,4),ROUND(C37*D3/10000,4)-D2)))</f>
        <v>0</v>
      </c>
      <c r="C2" s="1729"/>
      <c r="D2" s="847" t="e">
        <f ca="1">IF(E1="项目模式",SUMIF(INDIRECT("'"&amp;F2&amp;"'"&amp;"!A:A"),"承租人权益价值",INDIRECT("'"&amp;F2&amp;"'"&amp;"!c:c")),SUMIF(INDIRECT("'"&amp;F2&amp;"'"&amp;"!A:A"),"承租人权益价值（单套）",INDIRECT("'"&amp;F2&amp;"'"&amp;"!c:c")))</f>
        <v>#REF!</v>
      </c>
      <c r="E2" s="1730" t="s">
        <v>1457</v>
      </c>
      <c r="F2" s="1731"/>
      <c r="G2" s="848"/>
      <c r="H2" s="848"/>
      <c r="I2" s="848"/>
      <c r="J2" s="848"/>
      <c r="K2" s="850"/>
      <c r="L2" s="2484"/>
      <c r="M2" s="2485"/>
      <c r="N2" s="2485"/>
      <c r="O2" s="2485"/>
      <c r="P2" s="335"/>
      <c r="Q2" s="335"/>
      <c r="R2" s="335"/>
      <c r="S2" s="335"/>
      <c r="T2" s="335"/>
      <c r="U2" s="335"/>
      <c r="V2" s="335"/>
      <c r="W2" s="335"/>
      <c r="X2" s="335"/>
      <c r="Y2" s="335"/>
      <c r="Z2" s="335"/>
      <c r="AA2" s="335"/>
      <c r="AB2" s="335"/>
      <c r="AC2" s="655"/>
    </row>
    <row r="3" spans="1:29" s="336" customFormat="1" ht="28.5" customHeight="1" thickBot="1">
      <c r="A3" s="189" t="s">
        <v>1458</v>
      </c>
      <c r="B3" s="530" t="e">
        <f>IF(C2="——",C37,ROUND(B2*10000/D3,0))</f>
        <v>#DIV/0!</v>
      </c>
      <c r="C3" s="338" t="s">
        <v>1762</v>
      </c>
      <c r="D3" s="337">
        <f>SUMIF('数据-汇总表'!$C19:$C33,D1,'数据-汇总表'!$E19:$E33)</f>
        <v>0</v>
      </c>
      <c r="E3" s="848"/>
      <c r="F3" s="849"/>
      <c r="G3" s="848"/>
      <c r="H3" s="848"/>
      <c r="I3" s="848"/>
      <c r="J3" s="848"/>
      <c r="K3" s="850"/>
      <c r="L3" s="2484"/>
      <c r="M3" s="2485"/>
      <c r="N3" s="2485"/>
      <c r="O3" s="2485"/>
      <c r="P3" s="335"/>
      <c r="Q3" s="335"/>
      <c r="R3" s="335"/>
      <c r="S3" s="335"/>
      <c r="T3" s="335"/>
      <c r="U3" s="335"/>
      <c r="V3" s="335"/>
      <c r="W3" s="335"/>
      <c r="X3" s="335"/>
      <c r="Y3" s="335"/>
      <c r="Z3" s="335"/>
      <c r="AA3" s="335"/>
      <c r="AB3" s="668"/>
      <c r="AC3" s="655"/>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34" t="s">
        <v>1769</v>
      </c>
      <c r="Q4" s="3535"/>
      <c r="R4" s="3540" t="s">
        <v>1765</v>
      </c>
      <c r="S4" s="3541"/>
      <c r="T4" s="3540" t="s">
        <v>1766</v>
      </c>
      <c r="U4" s="3541"/>
      <c r="V4" s="3516" t="s">
        <v>1767</v>
      </c>
      <c r="W4" s="3516"/>
      <c r="X4" s="1257"/>
      <c r="Y4" s="3540" t="s">
        <v>1769</v>
      </c>
      <c r="Z4" s="3541"/>
      <c r="AA4" s="3527" t="s">
        <v>1765</v>
      </c>
      <c r="AB4" s="3528" t="s">
        <v>1766</v>
      </c>
      <c r="AC4" s="3527" t="s">
        <v>1767</v>
      </c>
    </row>
    <row r="5" spans="1:29" ht="15">
      <c r="A5" s="342"/>
      <c r="B5" s="343"/>
      <c r="C5" s="3548" t="s">
        <v>1667</v>
      </c>
      <c r="D5" s="3549"/>
      <c r="E5" s="3555" t="s">
        <v>1668</v>
      </c>
      <c r="F5" s="3556"/>
      <c r="G5" s="3548" t="s">
        <v>1669</v>
      </c>
      <c r="H5" s="3549"/>
      <c r="I5" s="3548" t="s">
        <v>1670</v>
      </c>
      <c r="J5" s="3549"/>
      <c r="K5" s="531"/>
      <c r="L5" s="2467"/>
      <c r="M5" s="2468"/>
      <c r="N5" s="2468"/>
      <c r="O5" s="2468"/>
      <c r="P5" s="3536"/>
      <c r="Q5" s="3537"/>
      <c r="R5" s="3542"/>
      <c r="S5" s="3543"/>
      <c r="T5" s="3542"/>
      <c r="U5" s="3543"/>
      <c r="V5" s="3516"/>
      <c r="W5" s="3516"/>
      <c r="X5" s="1257"/>
      <c r="Y5" s="3542"/>
      <c r="Z5" s="3543"/>
      <c r="AA5" s="3528"/>
      <c r="AB5" s="3528"/>
      <c r="AC5" s="3528"/>
    </row>
    <row r="6" spans="1:29" ht="15.75" thickBot="1">
      <c r="A6" s="344"/>
      <c r="B6" s="345"/>
      <c r="C6" s="3546" t="s">
        <v>1671</v>
      </c>
      <c r="D6" s="3547"/>
      <c r="E6" s="3553" t="s">
        <v>1671</v>
      </c>
      <c r="F6" s="3554"/>
      <c r="G6" s="3546" t="s">
        <v>1671</v>
      </c>
      <c r="H6" s="3547"/>
      <c r="I6" s="3546" t="s">
        <v>1671</v>
      </c>
      <c r="J6" s="3547"/>
      <c r="K6" s="531" t="s">
        <v>1672</v>
      </c>
      <c r="L6" s="2467"/>
      <c r="M6" s="2468"/>
      <c r="N6" s="2468"/>
      <c r="O6" s="2468"/>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SUMIF(46:46,YEAR(E7)&amp;"-"&amp;MONTH(E7),47:47)</f>
        <v>0</v>
      </c>
      <c r="G7" s="1814"/>
      <c r="H7" s="349">
        <f>SUMIF(46:46,YEAR(G7)&amp;"-"&amp;MONTH(G7),47:47)</f>
        <v>0</v>
      </c>
      <c r="I7" s="350"/>
      <c r="J7" s="349">
        <f>SUMIF(46:46,YEAR(I7)&amp;"-"&amp;MONTH(I7),47:47)</f>
        <v>0</v>
      </c>
      <c r="K7" s="38"/>
      <c r="L7" s="2469"/>
      <c r="M7" s="2423"/>
      <c r="N7" s="2423"/>
      <c r="O7" s="2423"/>
      <c r="P7" s="3550" t="s">
        <v>1674</v>
      </c>
      <c r="Q7" s="3552"/>
      <c r="R7" s="656" t="s">
        <v>14</v>
      </c>
      <c r="S7" s="657">
        <f t="shared" ref="S7:S14" si="0">F7</f>
        <v>0</v>
      </c>
      <c r="T7" s="656" t="s">
        <v>14</v>
      </c>
      <c r="U7" s="657">
        <f t="shared" ref="U7:U14" si="1">H7</f>
        <v>0</v>
      </c>
      <c r="V7" s="656" t="s">
        <v>14</v>
      </c>
      <c r="W7" s="657">
        <f t="shared" ref="W7:W14" si="2">J7</f>
        <v>0</v>
      </c>
      <c r="X7" s="658"/>
      <c r="Y7" s="3550" t="s">
        <v>1674</v>
      </c>
      <c r="Z7" s="3551"/>
      <c r="AA7" s="50" t="e">
        <f>D7/F7</f>
        <v>#DIV/0!</v>
      </c>
      <c r="AB7" s="50" t="e">
        <f>D7/H7</f>
        <v>#DIV/0!</v>
      </c>
      <c r="AC7" s="50" t="e">
        <f>D7/J7</f>
        <v>#DIV/0!</v>
      </c>
    </row>
    <row r="8" spans="1:29" s="101" customFormat="1" ht="15.75" thickBot="1">
      <c r="A8" s="346" t="s">
        <v>1675</v>
      </c>
      <c r="B8" s="347"/>
      <c r="C8" s="352"/>
      <c r="D8" s="349">
        <v>100</v>
      </c>
      <c r="E8" s="352"/>
      <c r="F8" s="351">
        <f>SUMIF(49:49,E8,50:50)-SUMIF(49:49,C8,50:50)+100</f>
        <v>100</v>
      </c>
      <c r="G8" s="352"/>
      <c r="H8" s="349">
        <f>SUMIF(49:49,G8,50:50)-SUMIF(49:49,C8,50:50)+100</f>
        <v>100</v>
      </c>
      <c r="I8" s="352"/>
      <c r="J8" s="349">
        <f>SUMIF(49:49,I8,50:50)-SUMIF(49:49,C8,50:50)+100</f>
        <v>100</v>
      </c>
      <c r="K8" s="38"/>
      <c r="L8" s="2469"/>
      <c r="M8" s="2423"/>
      <c r="N8" s="2423"/>
      <c r="O8" s="2423"/>
      <c r="P8" s="3550" t="s">
        <v>1677</v>
      </c>
      <c r="Q8" s="3551"/>
      <c r="R8" s="656" t="s">
        <v>14</v>
      </c>
      <c r="S8" s="657">
        <f t="shared" si="0"/>
        <v>100</v>
      </c>
      <c r="T8" s="656" t="s">
        <v>14</v>
      </c>
      <c r="U8" s="657">
        <f t="shared" si="1"/>
        <v>100</v>
      </c>
      <c r="V8" s="656" t="s">
        <v>14</v>
      </c>
      <c r="W8" s="657">
        <f t="shared" si="2"/>
        <v>100</v>
      </c>
      <c r="X8" s="658"/>
      <c r="Y8" s="3550" t="s">
        <v>1677</v>
      </c>
      <c r="Z8" s="3551"/>
      <c r="AA8" s="50">
        <f t="shared" ref="AA8:AA34" si="3">D8/F8</f>
        <v>1</v>
      </c>
      <c r="AB8" s="50">
        <f t="shared" ref="AB8:AB34" si="4">D8/H8</f>
        <v>1</v>
      </c>
      <c r="AC8" s="50">
        <f t="shared" ref="AC8:AC34" si="5">D8/J8</f>
        <v>1</v>
      </c>
    </row>
    <row r="9" spans="1:29" s="101" customFormat="1">
      <c r="A9" s="353" t="s">
        <v>1678</v>
      </c>
      <c r="B9" s="60" t="s">
        <v>1679</v>
      </c>
      <c r="C9" s="354"/>
      <c r="D9" s="59">
        <v>100</v>
      </c>
      <c r="E9" s="356"/>
      <c r="F9" s="60">
        <f>SUMIF(51:51,E9,52:52)-SUMIF(51:51,C9,52:52)+100</f>
        <v>100</v>
      </c>
      <c r="G9" s="356"/>
      <c r="H9" s="59">
        <f>SUMIF(51:51,G9,52:52)-SUMIF(51:51,C9,52:52)+100</f>
        <v>100</v>
      </c>
      <c r="I9" s="356"/>
      <c r="J9" s="59">
        <f>SUMIF(51:51,I9,52:52)-SUMIF(51:51,C9,52:52)+100</f>
        <v>100</v>
      </c>
      <c r="K9" s="38"/>
      <c r="L9" s="2469"/>
      <c r="M9" s="2423"/>
      <c r="N9" s="2423"/>
      <c r="O9" s="2521"/>
      <c r="P9" s="3515" t="s">
        <v>1680</v>
      </c>
      <c r="Q9" s="524" t="str">
        <f t="shared" ref="Q9:Q14" si="6">B9</f>
        <v>用途</v>
      </c>
      <c r="R9" s="656" t="s">
        <v>14</v>
      </c>
      <c r="S9" s="657">
        <f t="shared" si="0"/>
        <v>100</v>
      </c>
      <c r="T9" s="656" t="s">
        <v>14</v>
      </c>
      <c r="U9" s="657">
        <f t="shared" si="1"/>
        <v>100</v>
      </c>
      <c r="V9" s="656" t="s">
        <v>14</v>
      </c>
      <c r="W9" s="657">
        <f t="shared" si="2"/>
        <v>100</v>
      </c>
      <c r="X9" s="658"/>
      <c r="Y9" s="3367" t="s">
        <v>1681</v>
      </c>
      <c r="Z9" s="50" t="str">
        <f t="shared" ref="Z9:Z14" si="7">Q9</f>
        <v>用途</v>
      </c>
      <c r="AA9" s="50">
        <f t="shared" si="3"/>
        <v>1</v>
      </c>
      <c r="AB9" s="50">
        <f t="shared" si="4"/>
        <v>1</v>
      </c>
      <c r="AC9" s="50">
        <f t="shared" si="5"/>
        <v>1</v>
      </c>
    </row>
    <row r="10" spans="1:29" s="360" customFormat="1" ht="27">
      <c r="A10" s="357"/>
      <c r="B10" s="358" t="s">
        <v>1682</v>
      </c>
      <c r="C10" s="3113"/>
      <c r="D10" s="113">
        <v>100</v>
      </c>
      <c r="E10" s="3113"/>
      <c r="F10" s="358">
        <f>SUMIF(53:53,E10,54:54)-SUMIF(53:53,C10,54:54)+100</f>
        <v>100</v>
      </c>
      <c r="G10" s="3113"/>
      <c r="H10" s="113">
        <f>SUMIF(53:53,G10,54:54)-SUMIF(53:53,C10,54:54)+100</f>
        <v>100</v>
      </c>
      <c r="I10" s="3113"/>
      <c r="J10" s="113">
        <f>SUMIF(53:53,I10,54:54)-SUMIF(53:53,C10,54:54)+100</f>
        <v>100</v>
      </c>
      <c r="K10" s="38"/>
      <c r="L10" s="2470"/>
      <c r="M10" s="2471"/>
      <c r="N10" s="2471"/>
      <c r="O10" s="2522"/>
      <c r="P10" s="3515"/>
      <c r="Q10" s="524" t="str">
        <f t="shared" si="6"/>
        <v>土地使用年限（年）</v>
      </c>
      <c r="R10" s="656" t="s">
        <v>14</v>
      </c>
      <c r="S10" s="657">
        <f t="shared" si="0"/>
        <v>100</v>
      </c>
      <c r="T10" s="656" t="s">
        <v>14</v>
      </c>
      <c r="U10" s="657">
        <f t="shared" si="1"/>
        <v>100</v>
      </c>
      <c r="V10" s="656" t="s">
        <v>14</v>
      </c>
      <c r="W10" s="657">
        <f t="shared" si="2"/>
        <v>100</v>
      </c>
      <c r="X10" s="658"/>
      <c r="Y10" s="3367"/>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72"/>
      <c r="M11" s="2468"/>
      <c r="N11" s="2468"/>
      <c r="O11" s="2523"/>
      <c r="P11" s="3515"/>
      <c r="Q11" s="524">
        <f t="shared" si="6"/>
        <v>111</v>
      </c>
      <c r="R11" s="656" t="s">
        <v>14</v>
      </c>
      <c r="S11" s="657">
        <f t="shared" si="0"/>
        <v>100</v>
      </c>
      <c r="T11" s="656" t="s">
        <v>14</v>
      </c>
      <c r="U11" s="657">
        <f t="shared" si="1"/>
        <v>100</v>
      </c>
      <c r="V11" s="656" t="s">
        <v>14</v>
      </c>
      <c r="W11" s="657">
        <f t="shared" si="2"/>
        <v>100</v>
      </c>
      <c r="X11" s="658"/>
      <c r="Y11" s="3367"/>
      <c r="Z11" s="50">
        <f t="shared" si="7"/>
        <v>111</v>
      </c>
      <c r="AA11" s="50">
        <f t="shared" si="3"/>
        <v>1</v>
      </c>
      <c r="AB11" s="50">
        <f t="shared" si="4"/>
        <v>1</v>
      </c>
      <c r="AC11" s="50">
        <f t="shared" si="5"/>
        <v>1</v>
      </c>
    </row>
    <row r="12" spans="1:29" s="101"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69"/>
      <c r="M12" s="2423"/>
      <c r="N12" s="2423"/>
      <c r="O12" s="2521"/>
      <c r="P12" s="3515"/>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5"/>
      <c r="H13" s="371">
        <f>SUMIF(59:59,G13,60:60)-SUMIF(59:59,C13,60:60)+100</f>
        <v>100</v>
      </c>
      <c r="I13" s="401"/>
      <c r="J13" s="368">
        <f>SUMIF(59:59,I13,60:60)-SUMIF(59:59,C13,60:60)+100</f>
        <v>100</v>
      </c>
      <c r="K13" s="533"/>
      <c r="L13" s="2473"/>
      <c r="M13" s="2468"/>
      <c r="N13" s="2468"/>
      <c r="O13" s="2523"/>
      <c r="P13" s="3515"/>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50">
        <f t="shared" si="5"/>
        <v>1</v>
      </c>
    </row>
    <row r="14" spans="1:29" ht="85.5">
      <c r="A14" s="373" t="s">
        <v>1684</v>
      </c>
      <c r="B14" s="58" t="s">
        <v>1827</v>
      </c>
      <c r="C14" s="1811" t="str">
        <f>IF(B1="工业",估价对象房地状况!G4,估价对象房地状况!C6)</f>
        <v>估价对象周边道路状况、公共交通通达情况、停车便捷程度，综合评价交通便捷度较好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73"/>
      <c r="M14" s="2468"/>
      <c r="N14" s="2468"/>
      <c r="O14" s="2523"/>
      <c r="P14" s="3517" t="s">
        <v>1685</v>
      </c>
      <c r="Q14" s="1255" t="str">
        <f t="shared" si="6"/>
        <v>交通便捷度</v>
      </c>
      <c r="R14" s="659" t="s">
        <v>14</v>
      </c>
      <c r="S14" s="660">
        <f t="shared" si="0"/>
        <v>100</v>
      </c>
      <c r="T14" s="659" t="s">
        <v>14</v>
      </c>
      <c r="U14" s="660">
        <f t="shared" si="1"/>
        <v>100</v>
      </c>
      <c r="V14" s="659" t="s">
        <v>14</v>
      </c>
      <c r="W14" s="660">
        <f t="shared" si="2"/>
        <v>100</v>
      </c>
      <c r="X14" s="1257"/>
      <c r="Y14" s="3517" t="s">
        <v>1685</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73"/>
      <c r="M15" s="2468"/>
      <c r="N15" s="2468"/>
      <c r="O15" s="2523"/>
      <c r="P15" s="3518"/>
      <c r="Q15" s="1255"/>
      <c r="R15" s="659"/>
      <c r="S15" s="660"/>
      <c r="T15" s="659"/>
      <c r="U15" s="660"/>
      <c r="V15" s="659"/>
      <c r="W15" s="660"/>
      <c r="X15" s="1257"/>
      <c r="Y15" s="3518"/>
      <c r="Z15" s="1256"/>
      <c r="AA15" s="1256">
        <v>1</v>
      </c>
      <c r="AB15" s="1256">
        <v>1</v>
      </c>
      <c r="AC15" s="1256">
        <v>1</v>
      </c>
    </row>
    <row r="16" spans="1:29" ht="42.75">
      <c r="A16" s="361"/>
      <c r="B16" s="384" t="s">
        <v>1806</v>
      </c>
      <c r="C16" s="1746" t="str">
        <f>IF(B1="工业",估价对象房地状况!G5,估价对象房地状况!C7)</f>
        <v>估价对象所在区域公共配套设施齐备情况</v>
      </c>
      <c r="D16" s="388">
        <v>100</v>
      </c>
      <c r="E16" s="390"/>
      <c r="F16" s="391">
        <f>SUMIF(63:63,E17,64:64)-SUMIF(63:63,C17,64:64)+100</f>
        <v>100</v>
      </c>
      <c r="G16" s="392"/>
      <c r="H16" s="388">
        <f>SUMIF(63:63,G17,64:64)-SUMIF(63:63,C17,64:64)+100</f>
        <v>100</v>
      </c>
      <c r="I16" s="390"/>
      <c r="J16" s="388">
        <f>SUMIF(63:63,I17,64:64)-SUMIF(63:63,C17,64:64)+100</f>
        <v>100</v>
      </c>
      <c r="K16" s="534"/>
      <c r="L16" s="2473"/>
      <c r="M16" s="2468"/>
      <c r="N16" s="2468"/>
      <c r="O16" s="2523"/>
      <c r="P16" s="3518"/>
      <c r="Q16" s="1255" t="str">
        <f>B16</f>
        <v>公共配套设施</v>
      </c>
      <c r="R16" s="659" t="s">
        <v>14</v>
      </c>
      <c r="S16" s="660">
        <f>F16</f>
        <v>100</v>
      </c>
      <c r="T16" s="659" t="s">
        <v>14</v>
      </c>
      <c r="U16" s="660">
        <f>H16</f>
        <v>100</v>
      </c>
      <c r="V16" s="659" t="s">
        <v>14</v>
      </c>
      <c r="W16" s="660">
        <f>J16</f>
        <v>100</v>
      </c>
      <c r="X16" s="1257"/>
      <c r="Y16" s="3518"/>
      <c r="Z16" s="1256" t="str">
        <f>Q16</f>
        <v>公共配套设施</v>
      </c>
      <c r="AA16" s="1256">
        <f t="shared" si="3"/>
        <v>1</v>
      </c>
      <c r="AB16" s="1256">
        <f t="shared" si="4"/>
        <v>1</v>
      </c>
      <c r="AC16" s="1256">
        <f t="shared" si="5"/>
        <v>1</v>
      </c>
    </row>
    <row r="17" spans="1:29" ht="15">
      <c r="A17" s="361"/>
      <c r="B17" s="389"/>
      <c r="C17" s="1747"/>
      <c r="D17" s="381"/>
      <c r="E17" s="380"/>
      <c r="F17" s="382"/>
      <c r="G17" s="380"/>
      <c r="H17" s="381"/>
      <c r="I17" s="380"/>
      <c r="J17" s="381"/>
      <c r="K17" s="535"/>
      <c r="L17" s="2473"/>
      <c r="M17" s="2468"/>
      <c r="N17" s="2468"/>
      <c r="O17" s="2523"/>
      <c r="P17" s="3518"/>
      <c r="Q17" s="1255"/>
      <c r="R17" s="659"/>
      <c r="S17" s="660"/>
      <c r="T17" s="659"/>
      <c r="U17" s="660"/>
      <c r="V17" s="659"/>
      <c r="W17" s="660"/>
      <c r="X17" s="1257"/>
      <c r="Y17" s="3518"/>
      <c r="Z17" s="1256"/>
      <c r="AA17" s="1256">
        <v>1</v>
      </c>
      <c r="AB17" s="1256">
        <v>1</v>
      </c>
      <c r="AC17" s="1256">
        <v>1</v>
      </c>
    </row>
    <row r="18" spans="1:29" ht="28.5">
      <c r="A18" s="361"/>
      <c r="B18" s="580" t="s">
        <v>1807</v>
      </c>
      <c r="C18" s="1746" t="str">
        <f>IF(B1="工业",估价对象房地状况!G6,估价对象房地状况!C8)</f>
        <v>估价对象所在区域基础设施水平</v>
      </c>
      <c r="D18" s="388">
        <v>100</v>
      </c>
      <c r="E18" s="385"/>
      <c r="F18" s="391">
        <f>SUMIF(65:65,E19,66:66)-SUMIF(65:65,C19,66:66)+100</f>
        <v>100</v>
      </c>
      <c r="G18" s="387"/>
      <c r="H18" s="388">
        <f>SUMIF(65:65,G19,66:66)-SUMIF(65:65,C19,66:66)+100</f>
        <v>100</v>
      </c>
      <c r="I18" s="390"/>
      <c r="J18" s="388">
        <f>SUMIF(65:65,I19,66:66)-SUMIF(65:65,C19,66:66)+100</f>
        <v>100</v>
      </c>
      <c r="K18" s="534"/>
      <c r="L18" s="2473"/>
      <c r="M18" s="2468"/>
      <c r="N18" s="2468"/>
      <c r="O18" s="2523"/>
      <c r="P18" s="3518"/>
      <c r="Q18" s="1255" t="str">
        <f>B18</f>
        <v>基础设施水平</v>
      </c>
      <c r="R18" s="659" t="s">
        <v>14</v>
      </c>
      <c r="S18" s="660">
        <f>F18</f>
        <v>100</v>
      </c>
      <c r="T18" s="659" t="s">
        <v>14</v>
      </c>
      <c r="U18" s="660">
        <f>H18</f>
        <v>100</v>
      </c>
      <c r="V18" s="659" t="s">
        <v>14</v>
      </c>
      <c r="W18" s="660">
        <f>J18</f>
        <v>100</v>
      </c>
      <c r="X18" s="1257"/>
      <c r="Y18" s="3518"/>
      <c r="Z18" s="1256" t="str">
        <f>Q18</f>
        <v>基础设施水平</v>
      </c>
      <c r="AA18" s="1256">
        <f t="shared" ref="AA18" si="8">D18/F18</f>
        <v>1</v>
      </c>
      <c r="AB18" s="1256">
        <f t="shared" ref="AB18" si="9">D18/H18</f>
        <v>1</v>
      </c>
      <c r="AC18" s="1256">
        <f t="shared" ref="AC18" si="10">D18/J18</f>
        <v>1</v>
      </c>
    </row>
    <row r="19" spans="1:29" ht="15">
      <c r="A19" s="361"/>
      <c r="B19" s="580"/>
      <c r="C19" s="1747"/>
      <c r="D19" s="383"/>
      <c r="E19" s="1747"/>
      <c r="F19" s="386"/>
      <c r="G19" s="1747"/>
      <c r="H19" s="381"/>
      <c r="I19" s="380"/>
      <c r="J19" s="381"/>
      <c r="K19" s="1057"/>
      <c r="L19" s="2473"/>
      <c r="M19" s="2468"/>
      <c r="N19" s="2468"/>
      <c r="O19" s="2523"/>
      <c r="P19" s="3518"/>
      <c r="Q19" s="1255"/>
      <c r="R19" s="659"/>
      <c r="S19" s="660"/>
      <c r="T19" s="659"/>
      <c r="U19" s="660"/>
      <c r="V19" s="659"/>
      <c r="W19" s="660"/>
      <c r="X19" s="1257"/>
      <c r="Y19" s="3518"/>
      <c r="Z19" s="1256"/>
      <c r="AA19" s="1256">
        <v>1</v>
      </c>
      <c r="AB19" s="1256">
        <v>1</v>
      </c>
      <c r="AC19" s="1256">
        <v>1</v>
      </c>
    </row>
    <row r="20" spans="1:29" ht="57">
      <c r="A20" s="361"/>
      <c r="B20" s="384" t="s">
        <v>1828</v>
      </c>
      <c r="C20" s="1746" t="str">
        <f>IF(B1="工业",估价对象房地状况!G7,估价对象房地状况!C9)</f>
        <v>区域自然环境：；人文环境；综合评价环境状况一般</v>
      </c>
      <c r="D20" s="388">
        <v>100</v>
      </c>
      <c r="E20" s="390"/>
      <c r="F20" s="391">
        <f>SUMIF(67:67,E21,68:68)-SUMIF(67:67,C21,68:68)+100</f>
        <v>100</v>
      </c>
      <c r="G20" s="392"/>
      <c r="H20" s="383">
        <f>SUMIF(67:67,G21,68:68)-SUMIF(67:67,C21,68:68)+100</f>
        <v>100</v>
      </c>
      <c r="I20" s="385"/>
      <c r="J20" s="383">
        <f>SUMIF(67:67,I21,68:68)-SUMIF(67:67,C21,68:68)+100</f>
        <v>100</v>
      </c>
      <c r="K20" s="534"/>
      <c r="L20" s="2473"/>
      <c r="M20" s="2468"/>
      <c r="N20" s="2468"/>
      <c r="O20" s="2523"/>
      <c r="P20" s="3518"/>
      <c r="Q20" s="1255" t="str">
        <f>B20</f>
        <v>自然及人文环境</v>
      </c>
      <c r="R20" s="659" t="s">
        <v>14</v>
      </c>
      <c r="S20" s="660">
        <f>F20</f>
        <v>100</v>
      </c>
      <c r="T20" s="659" t="s">
        <v>14</v>
      </c>
      <c r="U20" s="660">
        <f>H20</f>
        <v>100</v>
      </c>
      <c r="V20" s="659" t="s">
        <v>14</v>
      </c>
      <c r="W20" s="660">
        <f>J20</f>
        <v>100</v>
      </c>
      <c r="X20" s="1257"/>
      <c r="Y20" s="3518"/>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73"/>
      <c r="M21" s="2468"/>
      <c r="N21" s="2468"/>
      <c r="O21" s="2523"/>
      <c r="P21" s="3518"/>
      <c r="Q21" s="1255"/>
      <c r="R21" s="659"/>
      <c r="S21" s="660"/>
      <c r="T21" s="659"/>
      <c r="U21" s="660"/>
      <c r="V21" s="659"/>
      <c r="W21" s="660"/>
      <c r="X21" s="1257"/>
      <c r="Y21" s="3518"/>
      <c r="Z21" s="1256"/>
      <c r="AA21" s="1256">
        <v>1</v>
      </c>
      <c r="AB21" s="1256">
        <v>1</v>
      </c>
      <c r="AC21" s="1256">
        <v>1</v>
      </c>
    </row>
    <row r="22" spans="1:29" ht="15">
      <c r="A22" s="361"/>
      <c r="B22" s="384" t="s">
        <v>1829</v>
      </c>
      <c r="C22" s="536"/>
      <c r="D22" s="383">
        <v>100</v>
      </c>
      <c r="E22" s="536"/>
      <c r="F22" s="394">
        <f>SUMIF(69:69,E22,70:70)-SUMIF(69:69,C22,70:70)+100</f>
        <v>100</v>
      </c>
      <c r="G22" s="536"/>
      <c r="H22" s="368">
        <f>SUMIF(69:69,G22,70:70)-SUMIF(69:69,C22,70:70)+100</f>
        <v>100</v>
      </c>
      <c r="I22" s="536"/>
      <c r="J22" s="368">
        <f>SUMIF(69:69,I22,70:70)-SUMIF(69:69,C22,70:70)+100</f>
        <v>100</v>
      </c>
      <c r="K22" s="532"/>
      <c r="L22" s="2473"/>
      <c r="M22" s="2468"/>
      <c r="N22" s="2468"/>
      <c r="O22" s="2523"/>
      <c r="P22" s="3518"/>
      <c r="Q22" s="1255" t="str">
        <f>B22</f>
        <v>楼层</v>
      </c>
      <c r="R22" s="659" t="s">
        <v>14</v>
      </c>
      <c r="S22" s="660">
        <f>F22</f>
        <v>100</v>
      </c>
      <c r="T22" s="659" t="s">
        <v>14</v>
      </c>
      <c r="U22" s="660">
        <f>H22</f>
        <v>100</v>
      </c>
      <c r="V22" s="659" t="s">
        <v>14</v>
      </c>
      <c r="W22" s="660">
        <f>J22</f>
        <v>100</v>
      </c>
      <c r="X22" s="1257"/>
      <c r="Y22" s="3518"/>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73"/>
      <c r="M23" s="2468"/>
      <c r="N23" s="2468"/>
      <c r="O23" s="2523"/>
      <c r="P23" s="3518"/>
      <c r="Q23" s="1255">
        <f>B23</f>
        <v>111</v>
      </c>
      <c r="R23" s="659" t="s">
        <v>14</v>
      </c>
      <c r="S23" s="660">
        <f>F23</f>
        <v>100</v>
      </c>
      <c r="T23" s="659" t="s">
        <v>14</v>
      </c>
      <c r="U23" s="660">
        <f>H23</f>
        <v>100</v>
      </c>
      <c r="V23" s="659" t="s">
        <v>14</v>
      </c>
      <c r="W23" s="660">
        <f>J23</f>
        <v>100</v>
      </c>
      <c r="X23" s="1257"/>
      <c r="Y23" s="3518"/>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73"/>
      <c r="M24" s="2468"/>
      <c r="N24" s="2468"/>
      <c r="O24" s="2523"/>
      <c r="P24" s="3518"/>
      <c r="Q24" s="1255">
        <f t="shared" ref="Q24:Q34" si="11">B24</f>
        <v>111</v>
      </c>
      <c r="R24" s="659" t="s">
        <v>14</v>
      </c>
      <c r="S24" s="660">
        <f>F24</f>
        <v>100</v>
      </c>
      <c r="T24" s="659" t="s">
        <v>14</v>
      </c>
      <c r="U24" s="660">
        <f>H24</f>
        <v>100</v>
      </c>
      <c r="V24" s="659" t="s">
        <v>14</v>
      </c>
      <c r="W24" s="660">
        <f>J24</f>
        <v>100</v>
      </c>
      <c r="X24" s="1257"/>
      <c r="Y24" s="3518"/>
      <c r="Z24" s="1256">
        <f>Q24</f>
        <v>111</v>
      </c>
      <c r="AA24" s="1256">
        <f t="shared" si="3"/>
        <v>1</v>
      </c>
      <c r="AB24" s="1256">
        <f t="shared" si="4"/>
        <v>1</v>
      </c>
      <c r="AC24" s="1256">
        <f t="shared" si="5"/>
        <v>1</v>
      </c>
    </row>
    <row r="25" spans="1:29" s="101" customFormat="1" ht="15.75" thickBot="1">
      <c r="A25" s="364"/>
      <c r="B25" s="441">
        <v>111</v>
      </c>
      <c r="C25" s="1816"/>
      <c r="D25" s="551">
        <v>100</v>
      </c>
      <c r="E25" s="1816"/>
      <c r="F25" s="580">
        <f>SUMIF(75:75,E25,76:76)-SUMIF(75:75,C25,76:76)+100</f>
        <v>100</v>
      </c>
      <c r="G25" s="1816"/>
      <c r="H25" s="551">
        <f>SUMIF(75:75,G25,76:76)-SUMIF(75:75,C25,76:76)+100</f>
        <v>100</v>
      </c>
      <c r="I25" s="1816"/>
      <c r="J25" s="551">
        <f>SUMIF(75:75,I25,76:76)-SUMIF(75:75,C25,76:76)+100</f>
        <v>100</v>
      </c>
      <c r="K25" s="533"/>
      <c r="L25" s="2469"/>
      <c r="M25" s="2423"/>
      <c r="N25" s="2423"/>
      <c r="O25" s="2521"/>
      <c r="P25" s="3518"/>
      <c r="Q25" s="524">
        <f t="shared" si="11"/>
        <v>111</v>
      </c>
      <c r="R25" s="656" t="s">
        <v>14</v>
      </c>
      <c r="S25" s="657">
        <f>F25</f>
        <v>100</v>
      </c>
      <c r="T25" s="656" t="s">
        <v>14</v>
      </c>
      <c r="U25" s="657">
        <f>H25</f>
        <v>100</v>
      </c>
      <c r="V25" s="656" t="s">
        <v>14</v>
      </c>
      <c r="W25" s="657">
        <f>J25</f>
        <v>100</v>
      </c>
      <c r="X25" s="658"/>
      <c r="Y25" s="3518"/>
      <c r="Z25" s="50">
        <f>Q25</f>
        <v>111</v>
      </c>
      <c r="AA25" s="1256">
        <f>D25/F25</f>
        <v>1</v>
      </c>
      <c r="AB25" s="1256">
        <f>D25/H25</f>
        <v>1</v>
      </c>
      <c r="AC25" s="1256">
        <f>D25/J25</f>
        <v>1</v>
      </c>
    </row>
    <row r="26" spans="1:29" ht="28.5">
      <c r="A26" s="398" t="s">
        <v>1688</v>
      </c>
      <c r="B26" s="60" t="s">
        <v>1832</v>
      </c>
      <c r="C26" s="1756"/>
      <c r="D26" s="399">
        <v>100</v>
      </c>
      <c r="E26" s="1756"/>
      <c r="F26" s="581">
        <f>SUMIF(77:77,E26,78:78)-SUMIF(77:77,C26,78:78)+100</f>
        <v>100</v>
      </c>
      <c r="G26" s="1756"/>
      <c r="H26" s="399">
        <f>SUMIF(77:77,G26,78:78)-SUMIF(77:77,C26,78:78)+100</f>
        <v>100</v>
      </c>
      <c r="I26" s="1756"/>
      <c r="J26" s="399">
        <f>SUMIF(77:77,I26,78:78)-SUMIF(77:77,C26,78:78)+100</f>
        <v>100</v>
      </c>
      <c r="K26" s="532"/>
      <c r="L26" s="2473"/>
      <c r="M26" s="2468"/>
      <c r="N26" s="2468"/>
      <c r="O26" s="2523"/>
      <c r="P26" s="3572" t="s">
        <v>1690</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522" t="s">
        <v>1690</v>
      </c>
      <c r="Z26" s="1256" t="str">
        <f t="shared" ref="Z26:Z34" si="15">Q26</f>
        <v>公共部分装修</v>
      </c>
      <c r="AA26" s="1256">
        <f t="shared" si="3"/>
        <v>1</v>
      </c>
      <c r="AB26" s="1256">
        <f t="shared" si="4"/>
        <v>1</v>
      </c>
      <c r="AC26" s="1256">
        <f t="shared" si="5"/>
        <v>1</v>
      </c>
    </row>
    <row r="27" spans="1:29" s="402" customFormat="1" ht="15">
      <c r="A27" s="400"/>
      <c r="B27" s="358" t="s">
        <v>1833</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72"/>
      <c r="M27" s="2474"/>
      <c r="N27" s="2474"/>
      <c r="O27" s="2524"/>
      <c r="P27" s="3522"/>
      <c r="Q27" s="525" t="str">
        <f t="shared" si="11"/>
        <v>成新率</v>
      </c>
      <c r="R27" s="661" t="s">
        <v>14</v>
      </c>
      <c r="S27" s="662" t="e">
        <f t="shared" si="12"/>
        <v>#N/A</v>
      </c>
      <c r="T27" s="661" t="s">
        <v>14</v>
      </c>
      <c r="U27" s="662" t="e">
        <f t="shared" si="13"/>
        <v>#N/A</v>
      </c>
      <c r="V27" s="661" t="s">
        <v>14</v>
      </c>
      <c r="W27" s="662" t="e">
        <f t="shared" si="14"/>
        <v>#N/A</v>
      </c>
      <c r="X27" s="663"/>
      <c r="Y27" s="3522"/>
      <c r="Z27" s="664" t="str">
        <f t="shared" si="15"/>
        <v>成新率</v>
      </c>
      <c r="AA27" s="1256" t="e">
        <f t="shared" si="3"/>
        <v>#N/A</v>
      </c>
      <c r="AB27" s="1256" t="e">
        <f t="shared" si="4"/>
        <v>#N/A</v>
      </c>
      <c r="AC27" s="1256" t="e">
        <f t="shared" si="5"/>
        <v>#N/A</v>
      </c>
    </row>
    <row r="28" spans="1:29" ht="15">
      <c r="A28" s="403"/>
      <c r="B28" s="358" t="s">
        <v>1834</v>
      </c>
      <c r="C28" s="393"/>
      <c r="D28" s="368">
        <v>100</v>
      </c>
      <c r="E28" s="393"/>
      <c r="F28" s="394">
        <f>SUMIF(82:82,E28,83:83)-SUMIF(82:82,C28,83:83)+100</f>
        <v>100</v>
      </c>
      <c r="G28" s="393"/>
      <c r="H28" s="368">
        <f>SUMIF(82:82,G28,83:83)-SUMIF(82:82,C28,83:83)+100</f>
        <v>100</v>
      </c>
      <c r="I28" s="393"/>
      <c r="J28" s="368">
        <f>SUMIF(82:82,I28,83:83)-SUMIF(82:82,C28,83:83)+100</f>
        <v>100</v>
      </c>
      <c r="K28" s="532"/>
      <c r="L28" s="2473"/>
      <c r="M28" s="2468"/>
      <c r="N28" s="2468"/>
      <c r="O28" s="2523"/>
      <c r="P28" s="3522"/>
      <c r="Q28" s="1255" t="str">
        <f t="shared" si="11"/>
        <v>物业等级</v>
      </c>
      <c r="R28" s="659" t="s">
        <v>14</v>
      </c>
      <c r="S28" s="660">
        <f t="shared" si="12"/>
        <v>100</v>
      </c>
      <c r="T28" s="659" t="s">
        <v>14</v>
      </c>
      <c r="U28" s="660">
        <f t="shared" si="13"/>
        <v>100</v>
      </c>
      <c r="V28" s="659" t="s">
        <v>14</v>
      </c>
      <c r="W28" s="660">
        <f t="shared" si="14"/>
        <v>100</v>
      </c>
      <c r="X28" s="1257"/>
      <c r="Y28" s="3522"/>
      <c r="Z28" s="1256" t="str">
        <f t="shared" si="15"/>
        <v>物业等级</v>
      </c>
      <c r="AA28" s="1256">
        <f t="shared" si="3"/>
        <v>1</v>
      </c>
      <c r="AB28" s="1256">
        <f t="shared" si="4"/>
        <v>1</v>
      </c>
      <c r="AC28" s="1256">
        <f t="shared" si="5"/>
        <v>1</v>
      </c>
    </row>
    <row r="29" spans="1:29" ht="15">
      <c r="A29" s="403"/>
      <c r="B29" s="358" t="s">
        <v>1854</v>
      </c>
      <c r="C29" s="572"/>
      <c r="D29" s="368">
        <v>100</v>
      </c>
      <c r="E29" s="572"/>
      <c r="F29" s="394">
        <f>SUMIF(84:84,E29,85:85)-SUMIF(84:84,C29,85:85)+100</f>
        <v>100</v>
      </c>
      <c r="G29" s="572"/>
      <c r="H29" s="368">
        <f>SUMIF(84:84,G29,85:85)-SUMIF(84:84,C29,85:85)+100</f>
        <v>100</v>
      </c>
      <c r="I29" s="572"/>
      <c r="J29" s="368">
        <f>SUMIF(84:84,I29,85:85)-SUMIF(84:84,C29,85:85)+100</f>
        <v>100</v>
      </c>
      <c r="K29" s="532"/>
      <c r="L29" s="2473"/>
      <c r="M29" s="2468"/>
      <c r="N29" s="2468"/>
      <c r="O29" s="2523"/>
      <c r="P29" s="3522"/>
      <c r="Q29" s="1255" t="str">
        <f t="shared" si="11"/>
        <v>有无电梯</v>
      </c>
      <c r="R29" s="659" t="s">
        <v>14</v>
      </c>
      <c r="S29" s="660">
        <f t="shared" si="12"/>
        <v>100</v>
      </c>
      <c r="T29" s="659" t="s">
        <v>14</v>
      </c>
      <c r="U29" s="660">
        <f t="shared" si="13"/>
        <v>100</v>
      </c>
      <c r="V29" s="659" t="s">
        <v>14</v>
      </c>
      <c r="W29" s="660">
        <f t="shared" si="14"/>
        <v>100</v>
      </c>
      <c r="X29" s="1257"/>
      <c r="Y29" s="3522"/>
      <c r="Z29" s="1256" t="str">
        <f t="shared" si="15"/>
        <v>有无电梯</v>
      </c>
      <c r="AA29" s="1256">
        <f t="shared" si="3"/>
        <v>1</v>
      </c>
      <c r="AB29" s="1256">
        <f t="shared" si="4"/>
        <v>1</v>
      </c>
      <c r="AC29" s="1256">
        <f t="shared" si="5"/>
        <v>1</v>
      </c>
    </row>
    <row r="30" spans="1:29" ht="15">
      <c r="A30" s="403"/>
      <c r="B30" s="358" t="s">
        <v>1855</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73"/>
      <c r="M30" s="2468"/>
      <c r="N30" s="2468"/>
      <c r="O30" s="2523"/>
      <c r="P30" s="3522"/>
      <c r="Q30" s="1255" t="str">
        <f t="shared" si="11"/>
        <v>建筑面积</v>
      </c>
      <c r="R30" s="659" t="s">
        <v>14</v>
      </c>
      <c r="S30" s="660" t="e">
        <f t="shared" si="12"/>
        <v>#N/A</v>
      </c>
      <c r="T30" s="659" t="s">
        <v>14</v>
      </c>
      <c r="U30" s="660" t="e">
        <f t="shared" si="13"/>
        <v>#N/A</v>
      </c>
      <c r="V30" s="659" t="s">
        <v>14</v>
      </c>
      <c r="W30" s="660" t="e">
        <f t="shared" si="14"/>
        <v>#N/A</v>
      </c>
      <c r="X30" s="1257"/>
      <c r="Y30" s="3522"/>
      <c r="Z30" s="1256" t="str">
        <f t="shared" si="15"/>
        <v>建筑面积</v>
      </c>
      <c r="AA30" s="1256" t="e">
        <f t="shared" si="3"/>
        <v>#N/A</v>
      </c>
      <c r="AB30" s="1256" t="e">
        <f t="shared" si="4"/>
        <v>#N/A</v>
      </c>
      <c r="AC30" s="1256" t="e">
        <f t="shared" si="5"/>
        <v>#N/A</v>
      </c>
    </row>
    <row r="31" spans="1:29" s="101" customFormat="1" ht="15">
      <c r="A31" s="404"/>
      <c r="B31" s="358" t="s">
        <v>1856</v>
      </c>
      <c r="C31" s="572"/>
      <c r="D31" s="113">
        <v>100</v>
      </c>
      <c r="E31" s="572"/>
      <c r="F31" s="394">
        <f>SUMIF(89:89,E31,90:90)-SUMIF(89:89,C31,90:90)+100</f>
        <v>100</v>
      </c>
      <c r="G31" s="572"/>
      <c r="H31" s="368">
        <f>SUMIF(89:89,G31,90:90)-SUMIF(89:89,C31,90:90)+100</f>
        <v>100</v>
      </c>
      <c r="I31" s="572"/>
      <c r="J31" s="368">
        <f>SUMIF(89:89,I31,90:90)-SUMIF(89:89,C31,90:90)+100</f>
        <v>100</v>
      </c>
      <c r="K31" s="532"/>
      <c r="L31" s="2469"/>
      <c r="M31" s="2423"/>
      <c r="N31" s="2423"/>
      <c r="O31" s="2521"/>
      <c r="P31" s="3522"/>
      <c r="Q31" s="524" t="str">
        <f t="shared" si="11"/>
        <v>是否封闭</v>
      </c>
      <c r="R31" s="656" t="s">
        <v>14</v>
      </c>
      <c r="S31" s="657">
        <f t="shared" si="12"/>
        <v>100</v>
      </c>
      <c r="T31" s="656" t="s">
        <v>14</v>
      </c>
      <c r="U31" s="657">
        <f t="shared" si="13"/>
        <v>100</v>
      </c>
      <c r="V31" s="656" t="s">
        <v>14</v>
      </c>
      <c r="W31" s="657">
        <f t="shared" si="14"/>
        <v>100</v>
      </c>
      <c r="X31" s="658"/>
      <c r="Y31" s="3522"/>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73"/>
      <c r="M32" s="2468"/>
      <c r="N32" s="2468"/>
      <c r="O32" s="2523"/>
      <c r="P32" s="3522" t="s">
        <v>1690</v>
      </c>
      <c r="Q32" s="1255">
        <f t="shared" si="11"/>
        <v>111</v>
      </c>
      <c r="R32" s="659" t="s">
        <v>14</v>
      </c>
      <c r="S32" s="660">
        <f t="shared" si="12"/>
        <v>100</v>
      </c>
      <c r="T32" s="659" t="s">
        <v>14</v>
      </c>
      <c r="U32" s="660">
        <f t="shared" si="13"/>
        <v>100</v>
      </c>
      <c r="V32" s="659" t="s">
        <v>14</v>
      </c>
      <c r="W32" s="660">
        <f t="shared" si="14"/>
        <v>100</v>
      </c>
      <c r="X32" s="1257"/>
      <c r="Y32" s="3522" t="s">
        <v>1690</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73"/>
      <c r="M33" s="2468"/>
      <c r="N33" s="2468"/>
      <c r="O33" s="2523"/>
      <c r="P33" s="3522"/>
      <c r="Q33" s="1255">
        <f t="shared" si="11"/>
        <v>111</v>
      </c>
      <c r="R33" s="659" t="s">
        <v>14</v>
      </c>
      <c r="S33" s="660">
        <f t="shared" si="12"/>
        <v>100</v>
      </c>
      <c r="T33" s="659" t="s">
        <v>14</v>
      </c>
      <c r="U33" s="660">
        <f t="shared" si="13"/>
        <v>100</v>
      </c>
      <c r="V33" s="659" t="s">
        <v>14</v>
      </c>
      <c r="W33" s="660">
        <f t="shared" si="14"/>
        <v>100</v>
      </c>
      <c r="X33" s="1257"/>
      <c r="Y33" s="3522"/>
      <c r="Z33" s="1256">
        <f t="shared" si="15"/>
        <v>111</v>
      </c>
      <c r="AA33" s="1256">
        <f t="shared" si="3"/>
        <v>1</v>
      </c>
      <c r="AB33" s="1256">
        <f t="shared" si="4"/>
        <v>1</v>
      </c>
      <c r="AC33" s="1256">
        <f t="shared" si="5"/>
        <v>1</v>
      </c>
    </row>
    <row r="34" spans="1:30" ht="15.75" thickBot="1">
      <c r="A34" s="409"/>
      <c r="B34" s="1741">
        <v>111</v>
      </c>
      <c r="C34" s="370"/>
      <c r="D34" s="371">
        <v>100</v>
      </c>
      <c r="E34" s="1815"/>
      <c r="F34" s="372">
        <f>SUMIF(95:95,E34,96:96)-SUMIF(95:95,C34,96:96)+100</f>
        <v>100</v>
      </c>
      <c r="G34" s="1815"/>
      <c r="H34" s="371">
        <f>SUMIF(95:95,G34,96:96)-SUMIF(95:95,C34,96:96)+100</f>
        <v>100</v>
      </c>
      <c r="I34" s="1815"/>
      <c r="J34" s="371">
        <f>SUMIF(95:95,I34,96:96)-SUMIF(95:95,C34,96:96)+100</f>
        <v>100</v>
      </c>
      <c r="K34" s="533"/>
      <c r="L34" s="2473"/>
      <c r="M34" s="2468"/>
      <c r="N34" s="2468"/>
      <c r="O34" s="2523"/>
      <c r="P34" s="3522"/>
      <c r="Q34" s="1255">
        <f t="shared" si="11"/>
        <v>111</v>
      </c>
      <c r="R34" s="659" t="s">
        <v>14</v>
      </c>
      <c r="S34" s="660">
        <f t="shared" si="12"/>
        <v>100</v>
      </c>
      <c r="T34" s="659" t="s">
        <v>14</v>
      </c>
      <c r="U34" s="660">
        <f t="shared" si="13"/>
        <v>100</v>
      </c>
      <c r="V34" s="659" t="s">
        <v>14</v>
      </c>
      <c r="W34" s="660">
        <f t="shared" si="14"/>
        <v>100</v>
      </c>
      <c r="X34" s="1257"/>
      <c r="Y34" s="3522"/>
      <c r="Z34" s="1256">
        <f t="shared" si="15"/>
        <v>111</v>
      </c>
      <c r="AA34" s="1256">
        <f t="shared" si="3"/>
        <v>1</v>
      </c>
      <c r="AB34" s="1256">
        <f t="shared" si="4"/>
        <v>1</v>
      </c>
      <c r="AC34" s="1256">
        <f t="shared" si="5"/>
        <v>1</v>
      </c>
    </row>
    <row r="35" spans="1:30" ht="15">
      <c r="A35" s="410" t="s">
        <v>1702</v>
      </c>
      <c r="B35" s="411"/>
      <c r="C35" s="1074" t="s">
        <v>0</v>
      </c>
      <c r="D35" s="412"/>
      <c r="E35" s="413"/>
      <c r="F35" s="414"/>
      <c r="G35" s="415"/>
      <c r="H35" s="416"/>
      <c r="I35" s="413"/>
      <c r="J35" s="416"/>
      <c r="K35" s="666"/>
      <c r="L35" s="2475"/>
      <c r="M35" s="2468"/>
      <c r="N35" s="2468"/>
      <c r="O35" s="2468"/>
      <c r="P35" s="3515" t="str">
        <f>A35</f>
        <v>成交单价（元/平方米）</v>
      </c>
      <c r="Q35" s="3515"/>
      <c r="R35" s="3516">
        <f>E35</f>
        <v>0</v>
      </c>
      <c r="S35" s="3516"/>
      <c r="T35" s="3516">
        <f>G35</f>
        <v>0</v>
      </c>
      <c r="U35" s="3516"/>
      <c r="V35" s="3516">
        <f>I35</f>
        <v>0</v>
      </c>
      <c r="W35" s="3516"/>
      <c r="X35" s="379"/>
      <c r="Y35" s="665"/>
      <c r="Z35" s="379"/>
      <c r="AA35" s="379"/>
      <c r="AB35" s="379"/>
      <c r="AC35" s="379"/>
    </row>
    <row r="36" spans="1:30" ht="15.75" thickBot="1">
      <c r="A36" s="417" t="s">
        <v>1787</v>
      </c>
      <c r="B36" s="418"/>
      <c r="C36" s="1075" t="e">
        <f>R37</f>
        <v>#DIV/0!</v>
      </c>
      <c r="D36" s="2133" t="s">
        <v>2132</v>
      </c>
      <c r="E36" s="1076" t="e">
        <f>R36</f>
        <v>#DIV/0!</v>
      </c>
      <c r="F36" s="2134"/>
      <c r="G36" s="1075" t="e">
        <f>T36</f>
        <v>#DIV/0!</v>
      </c>
      <c r="H36" s="2134"/>
      <c r="I36" s="1076" t="e">
        <f>V36</f>
        <v>#DIV/0!</v>
      </c>
      <c r="J36" s="2134"/>
      <c r="K36" s="2136">
        <f>F36+H36+J36</f>
        <v>0</v>
      </c>
      <c r="L36" s="2475"/>
      <c r="M36" s="2468"/>
      <c r="N36" s="2468"/>
      <c r="O36" s="2468"/>
      <c r="P36" s="3515" t="str">
        <f>A36</f>
        <v>比较价值（元/平方米）</v>
      </c>
      <c r="Q36" s="3515"/>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379"/>
      <c r="Y36" s="379"/>
      <c r="Z36" s="379"/>
      <c r="AA36" s="379"/>
      <c r="AB36" s="379"/>
      <c r="AC36" s="379"/>
    </row>
    <row r="37" spans="1:30" ht="15.75" thickBot="1">
      <c r="A37" s="421" t="s">
        <v>1788</v>
      </c>
      <c r="B37" s="422"/>
      <c r="C37" s="345" t="e">
        <f>R37</f>
        <v>#DIV/0!</v>
      </c>
      <c r="D37" s="345"/>
      <c r="E37" s="345"/>
      <c r="F37" s="345"/>
      <c r="G37" s="345"/>
      <c r="H37" s="345"/>
      <c r="I37" s="345"/>
      <c r="J37" s="345"/>
      <c r="K37" s="667"/>
      <c r="L37" s="2475"/>
      <c r="M37" s="2468"/>
      <c r="N37" s="2468"/>
      <c r="O37" s="2468"/>
      <c r="P37" s="3512" t="str">
        <f>A37</f>
        <v>估价对象XX用房的比较价值（楼面单价，元/平方米）</v>
      </c>
      <c r="Q37" s="3513"/>
      <c r="R37" s="3573" t="e">
        <f>IF(F1="售价",ROUND(IF(D36="简单平均",AVERAGE(R36:W36),R36*F36+T36*H36+V36*J36),0),ROUND(IF(D36="简单平均",AVERAGE(R36:V36),R36*F36+T36*H36+V36*J36),1))</f>
        <v>#DIV/0!</v>
      </c>
      <c r="S37" s="3573"/>
      <c r="T37" s="3573"/>
      <c r="U37" s="3573"/>
      <c r="V37" s="3573"/>
      <c r="W37" s="3573"/>
      <c r="X37" s="379"/>
      <c r="Y37" s="379"/>
      <c r="Z37" s="379"/>
      <c r="AA37" s="379"/>
      <c r="AB37" s="379"/>
      <c r="AC37" s="379"/>
    </row>
    <row r="38" spans="1:30">
      <c r="A38" s="2468"/>
      <c r="B38" s="2468"/>
      <c r="C38" s="2468"/>
      <c r="D38" s="2468"/>
      <c r="E38" s="2468"/>
      <c r="F38" s="2468"/>
      <c r="G38" s="2479"/>
      <c r="H38" s="2468"/>
      <c r="I38" s="2468"/>
      <c r="J38" s="2468"/>
      <c r="K38" s="2480"/>
      <c r="L38" s="2476"/>
      <c r="M38" s="2468"/>
      <c r="N38" s="2468"/>
      <c r="O38" s="2468"/>
      <c r="P38" s="2468"/>
      <c r="Q38" s="2468"/>
      <c r="R38" s="2468"/>
      <c r="S38" s="2468"/>
      <c r="T38" s="2468"/>
      <c r="U38" s="2468"/>
      <c r="V38" s="2468"/>
      <c r="W38" s="2468"/>
      <c r="X38" s="2468"/>
      <c r="Y38" s="2468"/>
      <c r="Z38" s="2468"/>
      <c r="AA38" s="2468"/>
      <c r="AB38" s="2468"/>
      <c r="AC38" s="2468"/>
      <c r="AD38" s="2468"/>
    </row>
    <row r="39" spans="1:30">
      <c r="A39" s="2468"/>
      <c r="B39" s="2468"/>
      <c r="C39" s="2468"/>
      <c r="D39" s="2468"/>
      <c r="E39" s="2468"/>
      <c r="F39" s="2468"/>
      <c r="G39" s="2468"/>
      <c r="H39" s="2468"/>
      <c r="I39" s="2468"/>
      <c r="J39" s="2468"/>
      <c r="K39" s="2480"/>
      <c r="L39" s="2476"/>
      <c r="M39" s="2468"/>
      <c r="N39" s="2468"/>
      <c r="O39" s="2468"/>
      <c r="P39" s="2468"/>
      <c r="Q39" s="2468"/>
      <c r="R39" s="2468"/>
      <c r="S39" s="2468"/>
      <c r="T39" s="2468"/>
      <c r="U39" s="2468"/>
      <c r="V39" s="2468"/>
      <c r="W39" s="2468"/>
      <c r="X39" s="2468"/>
      <c r="Y39" s="2468"/>
      <c r="Z39" s="2468"/>
      <c r="AA39" s="2468"/>
      <c r="AB39" s="2468"/>
      <c r="AC39" s="2468"/>
      <c r="AD39" s="2468"/>
    </row>
    <row r="40" spans="1:30" ht="13.5" customHeight="1">
      <c r="A40" s="2468"/>
      <c r="B40" s="2468"/>
      <c r="C40" s="426" t="s">
        <v>1789</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0"/>
      <c r="L40" s="2476"/>
      <c r="M40" s="2468"/>
      <c r="N40" s="2468"/>
      <c r="O40" s="2468"/>
      <c r="P40" s="2468"/>
      <c r="Q40" s="2468"/>
      <c r="R40" s="2468"/>
      <c r="S40" s="2468"/>
      <c r="T40" s="2468"/>
      <c r="U40" s="2468"/>
      <c r="V40" s="2468"/>
      <c r="W40" s="2468"/>
      <c r="X40" s="2468"/>
      <c r="Y40" s="2468"/>
      <c r="Z40" s="2468"/>
      <c r="AA40" s="2468"/>
      <c r="AB40" s="2468"/>
      <c r="AC40" s="2468"/>
      <c r="AD40" s="2468"/>
    </row>
    <row r="41" spans="1:30" ht="13.5" customHeight="1">
      <c r="A41" s="2468"/>
      <c r="B41" s="2468"/>
      <c r="C41" s="426" t="s">
        <v>1790</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0"/>
      <c r="L41" s="2476"/>
      <c r="M41" s="2468"/>
      <c r="N41" s="2468"/>
      <c r="O41" s="2468"/>
      <c r="P41" s="2468"/>
      <c r="Q41" s="2468"/>
      <c r="R41" s="2468"/>
      <c r="S41" s="2468"/>
      <c r="T41" s="2468"/>
      <c r="U41" s="2468"/>
      <c r="V41" s="2468"/>
      <c r="W41" s="2468"/>
      <c r="X41" s="2468"/>
      <c r="Y41" s="2468"/>
      <c r="Z41" s="2468"/>
      <c r="AA41" s="2468"/>
      <c r="AB41" s="2468"/>
      <c r="AC41" s="2468"/>
      <c r="AD41" s="2468"/>
    </row>
    <row r="42" spans="1:30" s="431" customFormat="1" ht="13.5" customHeight="1">
      <c r="A42" s="2478"/>
      <c r="B42" s="2478"/>
      <c r="C42" s="426" t="s">
        <v>1791</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83"/>
      <c r="L42" s="2477"/>
      <c r="M42" s="2478"/>
      <c r="N42" s="2478"/>
      <c r="O42" s="2478"/>
      <c r="P42" s="2478"/>
      <c r="Q42" s="2478"/>
      <c r="R42" s="2478"/>
      <c r="S42" s="2478"/>
      <c r="T42" s="2478"/>
      <c r="U42" s="2478"/>
      <c r="V42" s="2478"/>
      <c r="W42" s="2478"/>
      <c r="X42" s="2478"/>
      <c r="Y42" s="2478"/>
      <c r="Z42" s="2478"/>
      <c r="AA42" s="2478"/>
      <c r="AB42" s="2478"/>
      <c r="AC42" s="2478"/>
      <c r="AD42" s="2478"/>
    </row>
    <row r="43" spans="1:30" s="431" customFormat="1">
      <c r="A43" s="2478"/>
      <c r="B43" s="2481"/>
      <c r="C43" s="2482"/>
      <c r="D43" s="2478"/>
      <c r="E43" s="2478"/>
      <c r="F43" s="2478"/>
      <c r="G43" s="2478"/>
      <c r="H43" s="2478"/>
      <c r="I43" s="2478"/>
      <c r="J43" s="2478"/>
      <c r="K43" s="2483"/>
      <c r="L43" s="2477"/>
      <c r="M43" s="2478"/>
      <c r="N43" s="2478"/>
      <c r="O43" s="2478"/>
      <c r="P43" s="2478"/>
      <c r="Q43" s="2478"/>
      <c r="R43" s="2478"/>
      <c r="S43" s="2478"/>
      <c r="T43" s="2478"/>
      <c r="U43" s="2478"/>
      <c r="V43" s="2478"/>
      <c r="W43" s="2478"/>
      <c r="X43" s="2478"/>
      <c r="Y43" s="2478"/>
      <c r="Z43" s="2478"/>
      <c r="AA43" s="2478"/>
      <c r="AB43" s="2478"/>
      <c r="AC43" s="2478"/>
      <c r="AD43" s="2478"/>
    </row>
    <row r="44" spans="1:30">
      <c r="A44" s="2468"/>
      <c r="B44" s="2481"/>
      <c r="C44" s="2482"/>
      <c r="D44" s="2468"/>
      <c r="E44" s="2468"/>
      <c r="F44" s="2468"/>
      <c r="G44" s="2468"/>
      <c r="H44" s="2468"/>
      <c r="I44" s="2468"/>
      <c r="J44" s="2468"/>
      <c r="K44" s="2480"/>
      <c r="L44" s="2476"/>
      <c r="M44" s="2468"/>
      <c r="N44" s="2468"/>
      <c r="O44" s="2468"/>
      <c r="P44" s="2468"/>
      <c r="Q44" s="2468"/>
      <c r="R44" s="2468"/>
      <c r="S44" s="2468"/>
      <c r="T44" s="2468"/>
      <c r="U44" s="2468"/>
      <c r="V44" s="2468"/>
      <c r="W44" s="2468"/>
      <c r="X44" s="2468"/>
      <c r="Y44" s="2468"/>
      <c r="Z44" s="2468"/>
      <c r="AA44" s="2468"/>
      <c r="AB44" s="2468"/>
      <c r="AC44" s="2468"/>
      <c r="AD44" s="2468"/>
    </row>
    <row r="45" spans="1:30" ht="21.75" thickBot="1">
      <c r="A45" s="650" t="s">
        <v>1792</v>
      </c>
      <c r="B45" s="379"/>
      <c r="C45" s="651"/>
      <c r="D45" s="651"/>
      <c r="E45" s="651"/>
      <c r="F45" s="652"/>
      <c r="G45" s="652"/>
      <c r="H45" s="651"/>
      <c r="I45" s="651"/>
      <c r="J45" s="651"/>
      <c r="K45" s="653"/>
      <c r="L45" s="654"/>
      <c r="M45" s="651"/>
      <c r="N45" s="2518"/>
      <c r="O45" s="2518"/>
      <c r="P45" s="2518"/>
      <c r="Q45" s="2489"/>
      <c r="R45" s="2468"/>
      <c r="S45" s="2468"/>
      <c r="T45" s="2468"/>
      <c r="U45" s="2468"/>
      <c r="V45" s="2468"/>
      <c r="W45" s="2468"/>
      <c r="X45" s="2468"/>
      <c r="Y45" s="2468"/>
      <c r="Z45" s="2468"/>
      <c r="AA45" s="2468"/>
      <c r="AB45" s="2468"/>
      <c r="AC45" s="2468"/>
      <c r="AD45" s="2468"/>
    </row>
    <row r="46" spans="1:30" s="436" customFormat="1" ht="15">
      <c r="A46" s="434" t="s">
        <v>1673</v>
      </c>
      <c r="B46" s="435"/>
      <c r="C46" s="1096" t="str">
        <f>YEAR(C7)&amp;"-"&amp;MONTH(C7)</f>
        <v>2024-5</v>
      </c>
      <c r="D46" s="1097">
        <f>EDATE(C46,-1)</f>
        <v>45383</v>
      </c>
      <c r="E46" s="1097">
        <f t="shared" ref="E46:O46" si="16">EDATE(D46,-1)</f>
        <v>45352</v>
      </c>
      <c r="F46" s="1097">
        <f t="shared" si="16"/>
        <v>45323</v>
      </c>
      <c r="G46" s="1097">
        <f t="shared" si="16"/>
        <v>45292</v>
      </c>
      <c r="H46" s="1097">
        <f t="shared" si="16"/>
        <v>45261</v>
      </c>
      <c r="I46" s="1097">
        <f t="shared" si="16"/>
        <v>45231</v>
      </c>
      <c r="J46" s="1097">
        <f t="shared" si="16"/>
        <v>45200</v>
      </c>
      <c r="K46" s="1097">
        <f t="shared" si="16"/>
        <v>45170</v>
      </c>
      <c r="L46" s="1097">
        <f t="shared" si="16"/>
        <v>45139</v>
      </c>
      <c r="M46" s="1097">
        <f t="shared" si="16"/>
        <v>45108</v>
      </c>
      <c r="N46" s="1097">
        <f t="shared" si="16"/>
        <v>45078</v>
      </c>
      <c r="O46" s="1097">
        <f t="shared" si="16"/>
        <v>45047</v>
      </c>
      <c r="P46" s="2491"/>
      <c r="Q46" s="2491"/>
      <c r="R46" s="2491"/>
      <c r="S46" s="2491"/>
      <c r="T46" s="2491"/>
      <c r="U46" s="2491"/>
      <c r="V46" s="2491"/>
      <c r="W46" s="2491"/>
      <c r="X46" s="2491"/>
      <c r="Y46" s="2491"/>
      <c r="Z46" s="2491"/>
      <c r="AA46" s="2491"/>
      <c r="AB46" s="2491"/>
      <c r="AC46" s="2491"/>
      <c r="AD46" s="2491"/>
    </row>
    <row r="47" spans="1:30" s="101" customFormat="1" ht="15">
      <c r="A47" s="437"/>
      <c r="B47" s="438"/>
      <c r="C47" s="1095">
        <v>100</v>
      </c>
      <c r="D47" s="440"/>
      <c r="E47" s="440"/>
      <c r="F47" s="440"/>
      <c r="G47" s="440"/>
      <c r="H47" s="440"/>
      <c r="I47" s="440"/>
      <c r="J47" s="440"/>
      <c r="K47" s="440"/>
      <c r="L47" s="440"/>
      <c r="M47" s="441"/>
      <c r="N47" s="440"/>
      <c r="O47" s="442"/>
      <c r="P47" s="2489"/>
      <c r="Q47" s="2423"/>
      <c r="R47" s="2423"/>
      <c r="S47" s="2423"/>
      <c r="T47" s="2423"/>
      <c r="U47" s="2423"/>
      <c r="V47" s="2423"/>
      <c r="W47" s="2423"/>
      <c r="X47" s="2423"/>
      <c r="Y47" s="2423"/>
      <c r="Z47" s="2423"/>
      <c r="AA47" s="2423"/>
      <c r="AB47" s="2423"/>
      <c r="AC47" s="2423"/>
      <c r="AD47" s="2423"/>
    </row>
    <row r="48" spans="1:30" s="101" customFormat="1" ht="15.75" thickBot="1">
      <c r="A48" s="443" t="s">
        <v>1710</v>
      </c>
      <c r="B48" s="444"/>
      <c r="C48" s="445"/>
      <c r="D48" s="446"/>
      <c r="E48" s="446"/>
      <c r="F48" s="446"/>
      <c r="G48" s="446"/>
      <c r="H48" s="446"/>
      <c r="I48" s="446"/>
      <c r="J48" s="446"/>
      <c r="K48" s="446"/>
      <c r="L48" s="446"/>
      <c r="M48" s="447"/>
      <c r="N48" s="446"/>
      <c r="O48" s="448"/>
      <c r="P48" s="2489"/>
      <c r="Q48" s="2489"/>
      <c r="R48" s="2423"/>
      <c r="S48" s="2423"/>
      <c r="T48" s="2423"/>
      <c r="U48" s="2423"/>
      <c r="V48" s="2423"/>
      <c r="W48" s="2423"/>
      <c r="X48" s="2423"/>
      <c r="Y48" s="2423"/>
      <c r="Z48" s="2423"/>
      <c r="AA48" s="2423"/>
      <c r="AB48" s="2423"/>
      <c r="AC48" s="2423"/>
      <c r="AD48" s="2423"/>
    </row>
    <row r="49" spans="1:30" s="101" customFormat="1" ht="15">
      <c r="A49" s="449" t="s">
        <v>1675</v>
      </c>
      <c r="B49" s="438"/>
      <c r="C49" s="450" t="s">
        <v>1770</v>
      </c>
      <c r="D49" s="31"/>
      <c r="E49" s="31"/>
      <c r="F49" s="31"/>
      <c r="G49" s="31"/>
      <c r="H49" s="31"/>
      <c r="I49" s="31"/>
      <c r="J49" s="31"/>
      <c r="K49" s="31"/>
      <c r="L49" s="451"/>
      <c r="M49" s="452"/>
      <c r="N49" s="2501"/>
      <c r="O49" s="2501"/>
      <c r="P49" s="2525"/>
      <c r="Q49" s="2489"/>
      <c r="R49" s="2423"/>
      <c r="S49" s="2423"/>
      <c r="T49" s="2423"/>
      <c r="U49" s="2423"/>
      <c r="V49" s="2423"/>
      <c r="W49" s="2423"/>
      <c r="X49" s="2423"/>
      <c r="Y49" s="2423"/>
      <c r="Z49" s="2423"/>
      <c r="AA49" s="2423"/>
      <c r="AB49" s="2423"/>
      <c r="AC49" s="2423"/>
      <c r="AD49" s="2423"/>
    </row>
    <row r="50" spans="1:30" s="101" customFormat="1" ht="15.75" thickBot="1">
      <c r="A50" s="449"/>
      <c r="B50" s="438"/>
      <c r="C50" s="557">
        <v>100</v>
      </c>
      <c r="D50" s="440"/>
      <c r="E50" s="440"/>
      <c r="F50" s="440"/>
      <c r="G50" s="440"/>
      <c r="H50" s="440"/>
      <c r="I50" s="440"/>
      <c r="J50" s="440"/>
      <c r="K50" s="440"/>
      <c r="L50" s="440"/>
      <c r="M50" s="442"/>
      <c r="N50" s="2501"/>
      <c r="O50" s="2501"/>
      <c r="P50" s="2489"/>
      <c r="Q50" s="2489"/>
      <c r="R50" s="2423"/>
      <c r="S50" s="2423"/>
      <c r="T50" s="2423"/>
      <c r="U50" s="2423"/>
      <c r="V50" s="2423"/>
      <c r="W50" s="2423"/>
      <c r="X50" s="2423"/>
      <c r="Y50" s="2423"/>
      <c r="Z50" s="2423"/>
      <c r="AA50" s="2423"/>
      <c r="AB50" s="2423"/>
      <c r="AC50" s="2423"/>
      <c r="AD50" s="2423"/>
    </row>
    <row r="51" spans="1:30">
      <c r="A51" s="373" t="s">
        <v>1713</v>
      </c>
      <c r="B51" s="454" t="s">
        <v>1679</v>
      </c>
      <c r="C51" s="455">
        <f>C9</f>
        <v>0</v>
      </c>
      <c r="D51" s="456"/>
      <c r="E51" s="456"/>
      <c r="F51" s="456"/>
      <c r="G51" s="456"/>
      <c r="H51" s="456"/>
      <c r="I51" s="456"/>
      <c r="J51" s="456"/>
      <c r="K51" s="457"/>
      <c r="L51" s="458"/>
      <c r="M51" s="459"/>
      <c r="N51" s="2502"/>
      <c r="O51" s="2502"/>
      <c r="P51" s="2501"/>
      <c r="Q51" s="2489"/>
      <c r="R51" s="2468"/>
      <c r="S51" s="2468"/>
      <c r="T51" s="2468"/>
      <c r="U51" s="2468"/>
      <c r="V51" s="2468"/>
      <c r="W51" s="2468"/>
      <c r="X51" s="2468"/>
      <c r="Y51" s="2468"/>
      <c r="Z51" s="2468"/>
      <c r="AA51" s="2468"/>
      <c r="AB51" s="2468"/>
      <c r="AC51" s="2468"/>
      <c r="AD51" s="2468"/>
    </row>
    <row r="52" spans="1:30" ht="15.75" thickBot="1">
      <c r="A52" s="361"/>
      <c r="B52" s="460"/>
      <c r="C52" s="461">
        <v>100</v>
      </c>
      <c r="D52" s="461"/>
      <c r="E52" s="461"/>
      <c r="F52" s="461"/>
      <c r="G52" s="461"/>
      <c r="H52" s="461"/>
      <c r="I52" s="461"/>
      <c r="J52" s="461"/>
      <c r="K52" s="461"/>
      <c r="L52" s="461"/>
      <c r="M52" s="462"/>
      <c r="N52" s="2503"/>
      <c r="O52" s="2503"/>
      <c r="P52" s="2501"/>
      <c r="Q52" s="2489"/>
      <c r="R52" s="2468"/>
      <c r="S52" s="2468"/>
      <c r="T52" s="2468"/>
      <c r="U52" s="2468"/>
      <c r="V52" s="2468"/>
      <c r="W52" s="2468"/>
      <c r="X52" s="2468"/>
      <c r="Y52" s="2468"/>
      <c r="Z52" s="2468"/>
      <c r="AA52" s="2468"/>
      <c r="AB52" s="2468"/>
      <c r="AC52" s="2468"/>
      <c r="AD52" s="2468"/>
    </row>
    <row r="53" spans="1:30" ht="27.75" thickTop="1">
      <c r="A53" s="361"/>
      <c r="B53" s="463" t="s">
        <v>1682</v>
      </c>
      <c r="C53" s="507"/>
      <c r="D53" s="507"/>
      <c r="E53" s="507"/>
      <c r="F53" s="507"/>
      <c r="G53" s="507"/>
      <c r="H53" s="507"/>
      <c r="I53" s="507"/>
      <c r="J53" s="507"/>
      <c r="K53" s="508"/>
      <c r="L53" s="509"/>
      <c r="M53" s="510"/>
      <c r="N53" s="2502"/>
      <c r="O53" s="2502"/>
      <c r="P53" s="2501"/>
      <c r="Q53" s="2489"/>
      <c r="R53" s="2468"/>
      <c r="S53" s="2468"/>
      <c r="T53" s="2468"/>
      <c r="U53" s="2468"/>
      <c r="V53" s="2468"/>
      <c r="W53" s="2468"/>
      <c r="X53" s="2468"/>
      <c r="Y53" s="2468"/>
      <c r="Z53" s="2468"/>
      <c r="AA53" s="2468"/>
      <c r="AB53" s="2468"/>
      <c r="AC53" s="2468"/>
      <c r="AD53" s="2468"/>
    </row>
    <row r="54" spans="1:30" ht="15.75" thickBot="1">
      <c r="A54" s="361"/>
      <c r="B54" s="468"/>
      <c r="C54" s="461"/>
      <c r="D54" s="461"/>
      <c r="E54" s="461"/>
      <c r="F54" s="461"/>
      <c r="G54" s="461"/>
      <c r="H54" s="461"/>
      <c r="I54" s="461"/>
      <c r="J54" s="461"/>
      <c r="K54" s="461"/>
      <c r="L54" s="461"/>
      <c r="M54" s="462"/>
      <c r="N54" s="2503"/>
      <c r="O54" s="2503"/>
      <c r="P54" s="2501"/>
      <c r="Q54" s="2489"/>
      <c r="R54" s="2468"/>
      <c r="S54" s="2468"/>
      <c r="T54" s="2468"/>
      <c r="U54" s="2468"/>
      <c r="V54" s="2468"/>
      <c r="W54" s="2468"/>
      <c r="X54" s="2468"/>
      <c r="Y54" s="2468"/>
      <c r="Z54" s="2468"/>
      <c r="AA54" s="2468"/>
      <c r="AB54" s="2468"/>
      <c r="AC54" s="2468"/>
      <c r="AD54" s="2468"/>
    </row>
    <row r="55" spans="1:30" ht="15.75" thickTop="1">
      <c r="A55" s="361"/>
      <c r="B55" s="575">
        <f>B11</f>
        <v>111</v>
      </c>
      <c r="C55" s="474"/>
      <c r="D55" s="474"/>
      <c r="E55" s="474"/>
      <c r="F55" s="474"/>
      <c r="G55" s="474"/>
      <c r="H55" s="474"/>
      <c r="I55" s="474"/>
      <c r="J55" s="474"/>
      <c r="K55" s="475"/>
      <c r="L55" s="476"/>
      <c r="M55" s="477"/>
      <c r="N55" s="2502"/>
      <c r="O55" s="2502"/>
      <c r="P55" s="2501"/>
      <c r="Q55" s="2489"/>
      <c r="R55" s="2468"/>
      <c r="S55" s="2468"/>
      <c r="T55" s="2468"/>
      <c r="U55" s="2468"/>
      <c r="V55" s="2468"/>
      <c r="W55" s="2468"/>
      <c r="X55" s="2468"/>
      <c r="Y55" s="2468"/>
      <c r="Z55" s="2468"/>
      <c r="AA55" s="2468"/>
      <c r="AB55" s="2468"/>
      <c r="AC55" s="2468"/>
      <c r="AD55" s="2468"/>
    </row>
    <row r="56" spans="1:30" ht="15.75" thickBot="1">
      <c r="A56" s="361"/>
      <c r="B56" s="460"/>
      <c r="C56" s="485"/>
      <c r="D56" s="461"/>
      <c r="E56" s="461"/>
      <c r="F56" s="461"/>
      <c r="G56" s="461"/>
      <c r="H56" s="461"/>
      <c r="I56" s="461"/>
      <c r="J56" s="461"/>
      <c r="K56" s="461"/>
      <c r="L56" s="461"/>
      <c r="M56" s="462"/>
      <c r="N56" s="2503"/>
      <c r="O56" s="2503"/>
      <c r="P56" s="2501"/>
      <c r="Q56" s="2489"/>
      <c r="R56" s="2468"/>
      <c r="S56" s="2468"/>
      <c r="T56" s="2468"/>
      <c r="U56" s="2468"/>
      <c r="V56" s="2468"/>
      <c r="W56" s="2468"/>
      <c r="X56" s="2468"/>
      <c r="Y56" s="2468"/>
      <c r="Z56" s="2468"/>
      <c r="AA56" s="2468"/>
      <c r="AB56" s="2468"/>
      <c r="AC56" s="2468"/>
      <c r="AD56" s="2468"/>
    </row>
    <row r="57" spans="1:30" s="402" customFormat="1" ht="15.75" thickTop="1">
      <c r="A57" s="478"/>
      <c r="B57" s="463">
        <f>B12</f>
        <v>111</v>
      </c>
      <c r="C57" s="474"/>
      <c r="D57" s="474"/>
      <c r="E57" s="474"/>
      <c r="F57" s="474"/>
      <c r="G57" s="479"/>
      <c r="H57" s="480"/>
      <c r="I57" s="480"/>
      <c r="J57" s="480"/>
      <c r="K57" s="480"/>
      <c r="L57" s="481"/>
      <c r="M57" s="482"/>
      <c r="N57" s="2504"/>
      <c r="O57" s="2504"/>
      <c r="P57" s="2504"/>
      <c r="Q57" s="2496"/>
      <c r="R57" s="2474"/>
      <c r="S57" s="2474"/>
      <c r="T57" s="2474"/>
      <c r="U57" s="2474"/>
      <c r="V57" s="2474"/>
      <c r="W57" s="2474"/>
      <c r="X57" s="2474"/>
      <c r="Y57" s="2474"/>
      <c r="Z57" s="2474"/>
      <c r="AA57" s="2474"/>
      <c r="AB57" s="2474"/>
      <c r="AC57" s="2474"/>
      <c r="AD57" s="2474"/>
    </row>
    <row r="58" spans="1:30" s="402" customFormat="1" ht="15.75" thickBot="1">
      <c r="A58" s="478"/>
      <c r="B58" s="468"/>
      <c r="C58" s="485"/>
      <c r="D58" s="461"/>
      <c r="E58" s="461"/>
      <c r="F58" s="461"/>
      <c r="G58" s="461"/>
      <c r="H58" s="461"/>
      <c r="I58" s="461"/>
      <c r="J58" s="461"/>
      <c r="K58" s="461"/>
      <c r="L58" s="461"/>
      <c r="M58" s="462"/>
      <c r="N58" s="2503"/>
      <c r="O58" s="2503"/>
      <c r="P58" s="2504"/>
      <c r="Q58" s="2496"/>
      <c r="R58" s="2474"/>
      <c r="S58" s="2474"/>
      <c r="T58" s="2474"/>
      <c r="U58" s="2474"/>
      <c r="V58" s="2474"/>
      <c r="W58" s="2474"/>
      <c r="X58" s="2474"/>
      <c r="Y58" s="2474"/>
      <c r="Z58" s="2474"/>
      <c r="AA58" s="2474"/>
      <c r="AB58" s="2474"/>
      <c r="AC58" s="2474"/>
      <c r="AD58" s="2474"/>
    </row>
    <row r="59" spans="1:30" s="402" customFormat="1" ht="15.75" thickTop="1">
      <c r="A59" s="478"/>
      <c r="B59" s="463">
        <f>B13</f>
        <v>111</v>
      </c>
      <c r="C59" s="474"/>
      <c r="D59" s="474"/>
      <c r="E59" s="474"/>
      <c r="F59" s="474"/>
      <c r="G59" s="479"/>
      <c r="H59" s="480"/>
      <c r="I59" s="480"/>
      <c r="J59" s="480"/>
      <c r="K59" s="480"/>
      <c r="L59" s="481"/>
      <c r="M59" s="482"/>
      <c r="N59" s="2504"/>
      <c r="O59" s="2504"/>
      <c r="P59" s="2474"/>
      <c r="Q59" s="2498"/>
      <c r="R59" s="2474"/>
      <c r="S59" s="2474"/>
      <c r="T59" s="2474"/>
      <c r="U59" s="2474"/>
      <c r="V59" s="2474"/>
      <c r="W59" s="2474"/>
      <c r="X59" s="2474"/>
      <c r="Y59" s="2474"/>
      <c r="Z59" s="2474"/>
      <c r="AA59" s="2474"/>
      <c r="AB59" s="2474"/>
      <c r="AC59" s="2474"/>
      <c r="AD59" s="2474"/>
    </row>
    <row r="60" spans="1:30" s="402" customFormat="1" ht="15.75" thickBot="1">
      <c r="A60" s="478"/>
      <c r="B60" s="468"/>
      <c r="C60" s="485"/>
      <c r="D60" s="485"/>
      <c r="E60" s="485"/>
      <c r="F60" s="485"/>
      <c r="G60" s="485"/>
      <c r="H60" s="487"/>
      <c r="I60" s="487"/>
      <c r="J60" s="487"/>
      <c r="K60" s="487"/>
      <c r="L60" s="487"/>
      <c r="M60" s="488"/>
      <c r="N60" s="2504"/>
      <c r="O60" s="2504"/>
      <c r="P60" s="2504"/>
      <c r="Q60" s="2496"/>
      <c r="R60" s="2474"/>
      <c r="S60" s="2474"/>
      <c r="T60" s="2474"/>
      <c r="U60" s="2474"/>
      <c r="V60" s="2474"/>
      <c r="W60" s="2474"/>
      <c r="X60" s="2474"/>
      <c r="Y60" s="2474"/>
      <c r="Z60" s="2474"/>
      <c r="AA60" s="2474"/>
      <c r="AB60" s="2474"/>
      <c r="AC60" s="2474"/>
      <c r="AD60" s="2474"/>
    </row>
    <row r="61" spans="1:30" ht="15" thickTop="1">
      <c r="A61" s="373" t="s">
        <v>1684</v>
      </c>
      <c r="B61" s="454" t="s">
        <v>1720</v>
      </c>
      <c r="C61" s="498" t="s">
        <v>1715</v>
      </c>
      <c r="D61" s="498" t="s">
        <v>1716</v>
      </c>
      <c r="E61" s="498" t="s">
        <v>1717</v>
      </c>
      <c r="F61" s="498" t="s">
        <v>1718</v>
      </c>
      <c r="G61" s="498" t="s">
        <v>1719</v>
      </c>
      <c r="H61" s="455"/>
      <c r="I61" s="455"/>
      <c r="J61" s="455"/>
      <c r="K61" s="499"/>
      <c r="L61" s="500"/>
      <c r="M61" s="501"/>
      <c r="N61" s="2502"/>
      <c r="O61" s="2502"/>
      <c r="P61" s="2526"/>
      <c r="Q61" s="2489"/>
      <c r="R61" s="2468"/>
      <c r="S61" s="2468"/>
      <c r="T61" s="2468"/>
      <c r="U61" s="2468"/>
      <c r="V61" s="2468"/>
      <c r="W61" s="2468"/>
      <c r="X61" s="2468"/>
      <c r="Y61" s="2468"/>
      <c r="Z61" s="2468"/>
      <c r="AA61" s="2468"/>
      <c r="AB61" s="2468"/>
      <c r="AC61" s="2468"/>
      <c r="AD61" s="2468"/>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03"/>
      <c r="O62" s="2503"/>
      <c r="P62" s="2501"/>
      <c r="Q62" s="2489"/>
      <c r="R62" s="2468"/>
      <c r="S62" s="2468"/>
      <c r="T62" s="2468"/>
      <c r="U62" s="2468"/>
      <c r="V62" s="2468"/>
      <c r="W62" s="2468"/>
      <c r="X62" s="2468"/>
      <c r="Y62" s="2468"/>
      <c r="Z62" s="2468"/>
      <c r="AA62" s="2468"/>
      <c r="AB62" s="2468"/>
      <c r="AC62" s="2468"/>
      <c r="AD62" s="2468"/>
    </row>
    <row r="63" spans="1:30" ht="27.75" thickTop="1">
      <c r="A63" s="361"/>
      <c r="B63" s="463" t="s">
        <v>1857</v>
      </c>
      <c r="C63" s="503" t="s">
        <v>1715</v>
      </c>
      <c r="D63" s="503" t="s">
        <v>1716</v>
      </c>
      <c r="E63" s="503" t="s">
        <v>1717</v>
      </c>
      <c r="F63" s="503" t="s">
        <v>1718</v>
      </c>
      <c r="G63" s="503" t="s">
        <v>1719</v>
      </c>
      <c r="H63" s="464"/>
      <c r="I63" s="464"/>
      <c r="J63" s="464"/>
      <c r="K63" s="465"/>
      <c r="L63" s="466"/>
      <c r="M63" s="467"/>
      <c r="N63" s="2502"/>
      <c r="O63" s="2502"/>
      <c r="P63" s="2501"/>
      <c r="Q63" s="2489"/>
      <c r="R63" s="2468"/>
      <c r="S63" s="2468"/>
      <c r="T63" s="2468"/>
      <c r="U63" s="2468"/>
      <c r="V63" s="2468"/>
      <c r="W63" s="2468"/>
      <c r="X63" s="2468"/>
      <c r="Y63" s="2468"/>
      <c r="Z63" s="2468"/>
      <c r="AA63" s="2468"/>
      <c r="AB63" s="2468"/>
      <c r="AC63" s="2468"/>
      <c r="AD63" s="2468"/>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03"/>
      <c r="O64" s="2503"/>
      <c r="P64" s="2501"/>
      <c r="Q64" s="2489"/>
      <c r="R64" s="2468"/>
      <c r="S64" s="2468"/>
      <c r="T64" s="2468"/>
      <c r="U64" s="2468"/>
      <c r="V64" s="2468"/>
      <c r="W64" s="2468"/>
      <c r="X64" s="2468"/>
      <c r="Y64" s="2468"/>
      <c r="Z64" s="2468"/>
      <c r="AA64" s="2468"/>
      <c r="AB64" s="2468"/>
      <c r="AC64" s="2468"/>
      <c r="AD64" s="2468"/>
    </row>
    <row r="65" spans="1:30" ht="15.75" thickTop="1">
      <c r="A65" s="361"/>
      <c r="B65" s="471" t="s">
        <v>1807</v>
      </c>
      <c r="C65" s="575" t="s">
        <v>1793</v>
      </c>
      <c r="D65" s="575" t="s">
        <v>1794</v>
      </c>
      <c r="E65" s="575" t="s">
        <v>1795</v>
      </c>
      <c r="F65" s="575" t="s">
        <v>1796</v>
      </c>
      <c r="G65" s="575" t="s">
        <v>1797</v>
      </c>
      <c r="H65" s="464"/>
      <c r="I65" s="464"/>
      <c r="J65" s="464"/>
      <c r="K65" s="464"/>
      <c r="L65" s="464"/>
      <c r="M65" s="1056"/>
      <c r="N65" s="2503"/>
      <c r="O65" s="2503"/>
      <c r="P65" s="2501"/>
      <c r="Q65" s="2489"/>
      <c r="R65" s="2468"/>
      <c r="S65" s="2468"/>
      <c r="T65" s="2468"/>
      <c r="U65" s="2468"/>
      <c r="V65" s="2468"/>
      <c r="W65" s="2468"/>
      <c r="X65" s="2468"/>
      <c r="Y65" s="2468"/>
      <c r="Z65" s="2468"/>
      <c r="AA65" s="2468"/>
      <c r="AB65" s="2468"/>
      <c r="AC65" s="2468"/>
      <c r="AD65" s="2468"/>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03"/>
      <c r="O66" s="2503"/>
      <c r="P66" s="2501"/>
      <c r="Q66" s="2489"/>
      <c r="R66" s="2468"/>
      <c r="S66" s="2468"/>
      <c r="T66" s="2468"/>
      <c r="U66" s="2468"/>
      <c r="V66" s="2468"/>
      <c r="W66" s="2468"/>
      <c r="X66" s="2468"/>
      <c r="Y66" s="2468"/>
      <c r="Z66" s="2468"/>
      <c r="AA66" s="2468"/>
      <c r="AB66" s="2468"/>
      <c r="AC66" s="2468"/>
      <c r="AD66" s="2468"/>
    </row>
    <row r="67" spans="1:30" ht="15.75" thickTop="1">
      <c r="A67" s="361"/>
      <c r="B67" s="463" t="s">
        <v>1727</v>
      </c>
      <c r="C67" s="503" t="s">
        <v>1715</v>
      </c>
      <c r="D67" s="503" t="s">
        <v>1716</v>
      </c>
      <c r="E67" s="503" t="s">
        <v>1717</v>
      </c>
      <c r="F67" s="503" t="s">
        <v>1718</v>
      </c>
      <c r="G67" s="503" t="s">
        <v>1719</v>
      </c>
      <c r="H67" s="464"/>
      <c r="I67" s="464"/>
      <c r="J67" s="464"/>
      <c r="K67" s="465"/>
      <c r="L67" s="466"/>
      <c r="M67" s="467"/>
      <c r="N67" s="2502"/>
      <c r="O67" s="2502"/>
      <c r="P67" s="2501"/>
      <c r="Q67" s="2489"/>
      <c r="R67" s="2468"/>
      <c r="S67" s="2468"/>
      <c r="T67" s="2468"/>
      <c r="U67" s="2468"/>
      <c r="V67" s="2468"/>
      <c r="W67" s="2468"/>
      <c r="X67" s="2468"/>
      <c r="Y67" s="2468"/>
      <c r="Z67" s="2468"/>
      <c r="AA67" s="2468"/>
      <c r="AB67" s="2468"/>
      <c r="AC67" s="2468"/>
      <c r="AD67" s="2468"/>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03"/>
      <c r="O68" s="2503"/>
      <c r="P68" s="2501"/>
      <c r="Q68" s="2489"/>
      <c r="R68" s="2468"/>
      <c r="S68" s="2468"/>
      <c r="T68" s="2468"/>
      <c r="U68" s="2468"/>
      <c r="V68" s="2468"/>
      <c r="W68" s="2468"/>
      <c r="X68" s="2468"/>
      <c r="Y68" s="2468"/>
      <c r="Z68" s="2468"/>
      <c r="AA68" s="2468"/>
      <c r="AB68" s="2468"/>
      <c r="AC68" s="2468"/>
      <c r="AD68" s="2468"/>
    </row>
    <row r="69" spans="1:30" ht="15.75" thickTop="1">
      <c r="A69" s="361"/>
      <c r="B69" s="463" t="s">
        <v>1846</v>
      </c>
      <c r="C69" s="479"/>
      <c r="D69" s="479"/>
      <c r="E69" s="479"/>
      <c r="F69" s="479"/>
      <c r="G69" s="479"/>
      <c r="H69" s="507"/>
      <c r="I69" s="507"/>
      <c r="J69" s="507"/>
      <c r="K69" s="508"/>
      <c r="L69" s="509"/>
      <c r="M69" s="510"/>
      <c r="N69" s="2502"/>
      <c r="O69" s="2502"/>
      <c r="P69" s="2501"/>
      <c r="Q69" s="2489"/>
      <c r="R69" s="2468"/>
      <c r="S69" s="2468"/>
      <c r="T69" s="2468"/>
      <c r="U69" s="2468"/>
      <c r="V69" s="2468"/>
      <c r="W69" s="2468"/>
      <c r="X69" s="2468"/>
      <c r="Y69" s="2468"/>
      <c r="Z69" s="2468"/>
      <c r="AA69" s="2468"/>
      <c r="AB69" s="2468"/>
      <c r="AC69" s="2468"/>
      <c r="AD69" s="2468"/>
    </row>
    <row r="70" spans="1:30" ht="15.75" thickBot="1">
      <c r="A70" s="361"/>
      <c r="B70" s="468"/>
      <c r="C70" s="469">
        <v>100</v>
      </c>
      <c r="D70" s="469">
        <f>C70-$K22</f>
        <v>100</v>
      </c>
      <c r="E70" s="469"/>
      <c r="F70" s="469"/>
      <c r="G70" s="469"/>
      <c r="H70" s="469"/>
      <c r="I70" s="469"/>
      <c r="J70" s="469"/>
      <c r="K70" s="469"/>
      <c r="L70" s="469"/>
      <c r="M70" s="470"/>
      <c r="N70" s="2503"/>
      <c r="O70" s="2503"/>
      <c r="P70" s="2501"/>
      <c r="Q70" s="2489"/>
      <c r="R70" s="2468"/>
      <c r="S70" s="2468"/>
      <c r="T70" s="2468"/>
      <c r="U70" s="2468"/>
      <c r="V70" s="2468"/>
      <c r="W70" s="2468"/>
      <c r="X70" s="2468"/>
      <c r="Y70" s="2468"/>
      <c r="Z70" s="2468"/>
      <c r="AA70" s="2468"/>
      <c r="AB70" s="2468"/>
      <c r="AC70" s="2468"/>
      <c r="AD70" s="2468"/>
    </row>
    <row r="71" spans="1:30" s="101" customFormat="1" ht="15.75" thickTop="1">
      <c r="A71" s="364"/>
      <c r="B71" s="463">
        <f>B23</f>
        <v>111</v>
      </c>
      <c r="C71" s="474"/>
      <c r="D71" s="474"/>
      <c r="E71" s="474"/>
      <c r="F71" s="474"/>
      <c r="G71" s="479"/>
      <c r="H71" s="479"/>
      <c r="I71" s="479"/>
      <c r="J71" s="479"/>
      <c r="K71" s="479"/>
      <c r="L71" s="504"/>
      <c r="M71" s="505"/>
      <c r="N71" s="2501"/>
      <c r="O71" s="2501"/>
      <c r="P71" s="2501"/>
      <c r="Q71" s="2489"/>
      <c r="R71" s="2423"/>
      <c r="S71" s="2423"/>
      <c r="T71" s="2423"/>
      <c r="U71" s="2423"/>
      <c r="V71" s="2423"/>
      <c r="W71" s="2423"/>
      <c r="X71" s="2423"/>
      <c r="Y71" s="2423"/>
      <c r="Z71" s="2423"/>
      <c r="AA71" s="2423"/>
      <c r="AB71" s="2423"/>
      <c r="AC71" s="2423"/>
      <c r="AD71" s="2423"/>
    </row>
    <row r="72" spans="1:30" s="101" customFormat="1" ht="15.75" thickBot="1">
      <c r="A72" s="364"/>
      <c r="B72" s="468"/>
      <c r="C72" s="485"/>
      <c r="D72" s="461"/>
      <c r="E72" s="461"/>
      <c r="F72" s="461"/>
      <c r="G72" s="461"/>
      <c r="H72" s="461"/>
      <c r="I72" s="461"/>
      <c r="J72" s="461"/>
      <c r="K72" s="461"/>
      <c r="L72" s="461"/>
      <c r="M72" s="462"/>
      <c r="N72" s="2503"/>
      <c r="O72" s="2503"/>
      <c r="P72" s="2501"/>
      <c r="Q72" s="2489"/>
      <c r="R72" s="2423"/>
      <c r="S72" s="2423"/>
      <c r="T72" s="2423"/>
      <c r="U72" s="2423"/>
      <c r="V72" s="2423"/>
      <c r="W72" s="2423"/>
      <c r="X72" s="2423"/>
      <c r="Y72" s="2423"/>
      <c r="Z72" s="2423"/>
      <c r="AA72" s="2423"/>
      <c r="AB72" s="2423"/>
      <c r="AC72" s="2423"/>
      <c r="AD72" s="2423"/>
    </row>
    <row r="73" spans="1:30" s="101" customFormat="1" ht="15.75" thickTop="1">
      <c r="A73" s="364"/>
      <c r="B73" s="463">
        <f>B24</f>
        <v>111</v>
      </c>
      <c r="C73" s="474"/>
      <c r="D73" s="474"/>
      <c r="E73" s="474"/>
      <c r="F73" s="474"/>
      <c r="G73" s="479"/>
      <c r="H73" s="479"/>
      <c r="I73" s="479"/>
      <c r="J73" s="479"/>
      <c r="K73" s="479"/>
      <c r="L73" s="479"/>
      <c r="M73" s="505"/>
      <c r="N73" s="2501"/>
      <c r="O73" s="2501"/>
      <c r="P73" s="2501"/>
      <c r="Q73" s="2489"/>
      <c r="R73" s="2423"/>
      <c r="S73" s="2423"/>
      <c r="T73" s="2423"/>
      <c r="U73" s="2423"/>
      <c r="V73" s="2423"/>
      <c r="W73" s="2423"/>
      <c r="X73" s="2423"/>
      <c r="Y73" s="2423"/>
      <c r="Z73" s="2423"/>
      <c r="AA73" s="2423"/>
      <c r="AB73" s="2423"/>
      <c r="AC73" s="2423"/>
      <c r="AD73" s="2423"/>
    </row>
    <row r="74" spans="1:30" s="101" customFormat="1" ht="15.75" thickBot="1">
      <c r="A74" s="364"/>
      <c r="B74" s="468"/>
      <c r="C74" s="485"/>
      <c r="D74" s="461"/>
      <c r="E74" s="461"/>
      <c r="F74" s="461"/>
      <c r="G74" s="461"/>
      <c r="H74" s="461"/>
      <c r="I74" s="461"/>
      <c r="J74" s="461"/>
      <c r="K74" s="461"/>
      <c r="L74" s="461"/>
      <c r="M74" s="462"/>
      <c r="N74" s="2503"/>
      <c r="O74" s="2503"/>
      <c r="P74" s="2501"/>
      <c r="Q74" s="2489"/>
      <c r="R74" s="2423"/>
      <c r="S74" s="2423"/>
      <c r="T74" s="2423"/>
      <c r="U74" s="2423"/>
      <c r="V74" s="2423"/>
      <c r="W74" s="2423"/>
      <c r="X74" s="2423"/>
      <c r="Y74" s="2423"/>
      <c r="Z74" s="2423"/>
      <c r="AA74" s="2423"/>
      <c r="AB74" s="2423"/>
      <c r="AC74" s="2423"/>
      <c r="AD74" s="2423"/>
    </row>
    <row r="75" spans="1:30" s="402" customFormat="1" ht="15.75" thickTop="1">
      <c r="A75" s="478"/>
      <c r="B75" s="463">
        <f>B25</f>
        <v>111</v>
      </c>
      <c r="C75" s="474"/>
      <c r="D75" s="474"/>
      <c r="E75" s="474"/>
      <c r="F75" s="474"/>
      <c r="G75" s="479"/>
      <c r="H75" s="480"/>
      <c r="I75" s="480"/>
      <c r="J75" s="480"/>
      <c r="K75" s="480"/>
      <c r="L75" s="481"/>
      <c r="M75" s="482"/>
      <c r="N75" s="2504"/>
      <c r="O75" s="2504"/>
      <c r="P75" s="2504"/>
      <c r="Q75" s="2496"/>
      <c r="R75" s="2474"/>
      <c r="S75" s="2474"/>
      <c r="T75" s="2474"/>
      <c r="U75" s="2474"/>
      <c r="V75" s="2474"/>
      <c r="W75" s="2474"/>
      <c r="X75" s="2474"/>
      <c r="Y75" s="2474"/>
      <c r="Z75" s="2474"/>
      <c r="AA75" s="2474"/>
      <c r="AB75" s="2474"/>
      <c r="AC75" s="2474"/>
      <c r="AD75" s="2474"/>
    </row>
    <row r="76" spans="1:30" s="402" customFormat="1" ht="15.75" thickBot="1">
      <c r="A76" s="478"/>
      <c r="B76" s="468"/>
      <c r="C76" s="485"/>
      <c r="D76" s="485"/>
      <c r="E76" s="485"/>
      <c r="F76" s="485"/>
      <c r="G76" s="461"/>
      <c r="H76" s="461"/>
      <c r="I76" s="461"/>
      <c r="J76" s="461"/>
      <c r="K76" s="461"/>
      <c r="L76" s="461"/>
      <c r="M76" s="462"/>
      <c r="N76" s="2504"/>
      <c r="O76" s="2504"/>
      <c r="P76" s="2504"/>
      <c r="Q76" s="2496"/>
      <c r="R76" s="2474"/>
      <c r="S76" s="2474"/>
      <c r="T76" s="2474"/>
      <c r="U76" s="2474"/>
      <c r="V76" s="2474"/>
      <c r="W76" s="2474"/>
      <c r="X76" s="2474"/>
      <c r="Y76" s="2474"/>
      <c r="Z76" s="2474"/>
      <c r="AA76" s="2474"/>
      <c r="AB76" s="2474"/>
      <c r="AC76" s="2474"/>
      <c r="AD76" s="2474"/>
    </row>
    <row r="77" spans="1:30" ht="15" thickTop="1">
      <c r="A77" s="373" t="s">
        <v>1688</v>
      </c>
      <c r="B77" s="454" t="s">
        <v>1734</v>
      </c>
      <c r="C77" s="479"/>
      <c r="D77" s="479"/>
      <c r="E77" s="456"/>
      <c r="F77" s="456"/>
      <c r="G77" s="456"/>
      <c r="H77" s="456"/>
      <c r="I77" s="456"/>
      <c r="J77" s="456"/>
      <c r="K77" s="457"/>
      <c r="L77" s="458"/>
      <c r="M77" s="459"/>
      <c r="N77" s="2502"/>
      <c r="O77" s="2502"/>
      <c r="P77" s="2501"/>
      <c r="Q77" s="2489"/>
      <c r="R77" s="2468"/>
      <c r="S77" s="2468"/>
      <c r="T77" s="2468"/>
      <c r="U77" s="2468"/>
      <c r="V77" s="2468"/>
      <c r="W77" s="2468"/>
      <c r="X77" s="2468"/>
      <c r="Y77" s="2468"/>
      <c r="Z77" s="2468"/>
      <c r="AA77" s="2468"/>
      <c r="AB77" s="2468"/>
      <c r="AC77" s="2468"/>
      <c r="AD77" s="2468"/>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03"/>
      <c r="O78" s="2503"/>
      <c r="P78" s="2501"/>
      <c r="Q78" s="2489"/>
      <c r="R78" s="2468"/>
      <c r="S78" s="2468"/>
      <c r="T78" s="2468"/>
      <c r="U78" s="2468"/>
      <c r="V78" s="2468"/>
      <c r="W78" s="2468"/>
      <c r="X78" s="2468"/>
      <c r="Y78" s="2468"/>
      <c r="Z78" s="2468"/>
      <c r="AA78" s="2468"/>
      <c r="AB78" s="2468"/>
      <c r="AC78" s="2468"/>
      <c r="AD78" s="2468"/>
    </row>
    <row r="79" spans="1:30" ht="15.75" thickTop="1">
      <c r="A79" s="361"/>
      <c r="B79" s="463" t="s">
        <v>1849</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01"/>
      <c r="O79" s="2501"/>
      <c r="P79" s="2501"/>
      <c r="Q79" s="2489"/>
      <c r="R79" s="2468"/>
      <c r="S79" s="2468"/>
      <c r="T79" s="2468"/>
      <c r="U79" s="2468"/>
      <c r="V79" s="2468"/>
      <c r="W79" s="2468"/>
      <c r="X79" s="2468"/>
      <c r="Y79" s="2468"/>
      <c r="Z79" s="2468"/>
      <c r="AA79" s="2468"/>
      <c r="AB79" s="2468"/>
      <c r="AC79" s="2468"/>
      <c r="AD79" s="2468"/>
    </row>
    <row r="80" spans="1:30" ht="15">
      <c r="A80" s="361"/>
      <c r="B80" s="471"/>
      <c r="C80" s="524">
        <v>0.5</v>
      </c>
      <c r="D80" s="524">
        <v>0.6</v>
      </c>
      <c r="E80" s="524">
        <v>0.7</v>
      </c>
      <c r="F80" s="524">
        <v>0.8</v>
      </c>
      <c r="G80" s="524">
        <v>0.9</v>
      </c>
      <c r="H80" s="524">
        <v>1.0001</v>
      </c>
      <c r="I80" s="575"/>
      <c r="J80" s="575"/>
      <c r="K80" s="582"/>
      <c r="L80" s="583"/>
      <c r="M80" s="584"/>
      <c r="N80" s="2501"/>
      <c r="O80" s="2501"/>
      <c r="P80" s="2501"/>
      <c r="Q80" s="2489"/>
      <c r="R80" s="2468"/>
      <c r="S80" s="2468"/>
      <c r="T80" s="2468"/>
      <c r="U80" s="2468"/>
      <c r="V80" s="2468"/>
      <c r="W80" s="2468"/>
      <c r="X80" s="2468"/>
      <c r="Y80" s="2468"/>
      <c r="Z80" s="2468"/>
      <c r="AA80" s="2468"/>
      <c r="AB80" s="2468"/>
      <c r="AC80" s="2468"/>
      <c r="AD80" s="2468"/>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03"/>
      <c r="O81" s="2503"/>
      <c r="P81" s="2504"/>
      <c r="Q81" s="2496"/>
      <c r="R81" s="2474"/>
      <c r="S81" s="2474"/>
      <c r="T81" s="2474"/>
      <c r="U81" s="2474"/>
      <c r="V81" s="2474"/>
      <c r="W81" s="2474"/>
      <c r="X81" s="2474"/>
      <c r="Y81" s="2474"/>
      <c r="Z81" s="2474"/>
      <c r="AA81" s="2474"/>
      <c r="AB81" s="2474"/>
      <c r="AC81" s="2474"/>
      <c r="AD81" s="2474"/>
    </row>
    <row r="82" spans="1:30" ht="15" thickTop="1">
      <c r="A82" s="403"/>
      <c r="B82" s="471" t="s">
        <v>1850</v>
      </c>
      <c r="C82" s="479"/>
      <c r="D82" s="479"/>
      <c r="E82" s="507"/>
      <c r="F82" s="507"/>
      <c r="G82" s="507"/>
      <c r="H82" s="507"/>
      <c r="I82" s="507"/>
      <c r="J82" s="507"/>
      <c r="K82" s="508"/>
      <c r="L82" s="509"/>
      <c r="M82" s="510"/>
      <c r="N82" s="2502"/>
      <c r="O82" s="2502"/>
      <c r="P82" s="2501"/>
      <c r="Q82" s="2489"/>
      <c r="R82" s="2468"/>
      <c r="S82" s="2468"/>
      <c r="T82" s="2468"/>
      <c r="U82" s="2468"/>
      <c r="V82" s="2468"/>
      <c r="W82" s="2468"/>
      <c r="X82" s="2468"/>
      <c r="Y82" s="2468"/>
      <c r="Z82" s="2468"/>
      <c r="AA82" s="2468"/>
      <c r="AB82" s="2468"/>
      <c r="AC82" s="2468"/>
      <c r="AD82" s="2468"/>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03"/>
      <c r="O83" s="2503"/>
      <c r="P83" s="2501"/>
      <c r="Q83" s="2489"/>
      <c r="R83" s="2468"/>
      <c r="S83" s="2468"/>
      <c r="T83" s="2468"/>
      <c r="U83" s="2468"/>
      <c r="V83" s="2468"/>
      <c r="W83" s="2468"/>
      <c r="X83" s="2468"/>
      <c r="Y83" s="2468"/>
      <c r="Z83" s="2468"/>
      <c r="AA83" s="2468"/>
      <c r="AB83" s="2468"/>
      <c r="AC83" s="2468"/>
      <c r="AD83" s="2468"/>
    </row>
    <row r="84" spans="1:30" ht="15" thickTop="1">
      <c r="A84" s="403"/>
      <c r="B84" s="463" t="s">
        <v>1858</v>
      </c>
      <c r="C84" s="479"/>
      <c r="D84" s="479"/>
      <c r="E84" s="479"/>
      <c r="F84" s="479"/>
      <c r="G84" s="479"/>
      <c r="H84" s="479"/>
      <c r="I84" s="507"/>
      <c r="J84" s="507"/>
      <c r="K84" s="508"/>
      <c r="L84" s="509"/>
      <c r="M84" s="510"/>
      <c r="N84" s="2502"/>
      <c r="O84" s="2502"/>
      <c r="P84" s="2501"/>
      <c r="Q84" s="2489"/>
      <c r="R84" s="2468"/>
      <c r="S84" s="2468"/>
      <c r="T84" s="2468"/>
      <c r="U84" s="2468"/>
      <c r="V84" s="2468"/>
      <c r="W84" s="2468"/>
      <c r="X84" s="2468"/>
      <c r="Y84" s="2468"/>
      <c r="Z84" s="2468"/>
      <c r="AA84" s="2468"/>
      <c r="AB84" s="2468"/>
      <c r="AC84" s="2468"/>
      <c r="AD84" s="2468"/>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03"/>
      <c r="O85" s="2503"/>
      <c r="P85" s="2501"/>
      <c r="Q85" s="2489"/>
      <c r="R85" s="2468"/>
      <c r="S85" s="2468"/>
      <c r="T85" s="2468"/>
      <c r="U85" s="2468"/>
      <c r="V85" s="2468"/>
      <c r="W85" s="2468"/>
      <c r="X85" s="2468"/>
      <c r="Y85" s="2468"/>
      <c r="Z85" s="2468"/>
      <c r="AA85" s="2468"/>
      <c r="AB85" s="2468"/>
      <c r="AC85" s="2468"/>
      <c r="AD85" s="2468"/>
    </row>
    <row r="86" spans="1:30" ht="15" thickTop="1">
      <c r="A86" s="403"/>
      <c r="B86" s="471" t="s">
        <v>1859</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02"/>
      <c r="O86" s="2502"/>
      <c r="P86" s="2501"/>
      <c r="Q86" s="2489"/>
      <c r="R86" s="2468"/>
      <c r="S86" s="2468"/>
      <c r="T86" s="2468"/>
      <c r="U86" s="2468"/>
      <c r="V86" s="2468"/>
      <c r="W86" s="2468"/>
      <c r="X86" s="2468"/>
      <c r="Y86" s="2468"/>
      <c r="Z86" s="2468"/>
      <c r="AA86" s="2468"/>
      <c r="AB86" s="2468"/>
      <c r="AC86" s="2468"/>
      <c r="AD86" s="2468"/>
    </row>
    <row r="87" spans="1:30">
      <c r="A87" s="403"/>
      <c r="B87" s="471"/>
      <c r="C87" s="6"/>
      <c r="D87" s="6"/>
      <c r="E87" s="6"/>
      <c r="F87" s="6"/>
      <c r="G87" s="6"/>
      <c r="H87" s="6"/>
      <c r="I87" s="6"/>
      <c r="J87" s="518"/>
      <c r="K87" s="518"/>
      <c r="L87" s="519"/>
      <c r="M87" s="520"/>
      <c r="N87" s="2502"/>
      <c r="O87" s="2502"/>
      <c r="P87" s="2501"/>
      <c r="Q87" s="2489"/>
      <c r="R87" s="2468"/>
      <c r="S87" s="2468"/>
      <c r="T87" s="2468"/>
      <c r="U87" s="2468"/>
      <c r="V87" s="2468"/>
      <c r="W87" s="2468"/>
      <c r="X87" s="2468"/>
      <c r="Y87" s="2468"/>
      <c r="Z87" s="2468"/>
      <c r="AA87" s="2468"/>
      <c r="AB87" s="2468"/>
      <c r="AC87" s="2468"/>
      <c r="AD87" s="2468"/>
    </row>
    <row r="88" spans="1:30" ht="15.75" thickBot="1">
      <c r="A88" s="361"/>
      <c r="B88" s="468"/>
      <c r="C88" s="485"/>
      <c r="D88" s="461"/>
      <c r="E88" s="461"/>
      <c r="F88" s="461"/>
      <c r="G88" s="461"/>
      <c r="H88" s="461"/>
      <c r="I88" s="461"/>
      <c r="J88" s="461"/>
      <c r="K88" s="461"/>
      <c r="L88" s="461"/>
      <c r="M88" s="461"/>
      <c r="N88" s="2503"/>
      <c r="O88" s="2503"/>
      <c r="P88" s="2501"/>
      <c r="Q88" s="2489"/>
      <c r="R88" s="2468"/>
      <c r="S88" s="2468"/>
      <c r="T88" s="2468"/>
      <c r="U88" s="2468"/>
      <c r="V88" s="2468"/>
      <c r="W88" s="2468"/>
      <c r="X88" s="2468"/>
      <c r="Y88" s="2468"/>
      <c r="Z88" s="2468"/>
      <c r="AA88" s="2468"/>
      <c r="AB88" s="2468"/>
      <c r="AC88" s="2468"/>
      <c r="AD88" s="2468"/>
    </row>
    <row r="89" spans="1:30" s="402" customFormat="1" ht="15" thickTop="1">
      <c r="A89" s="400"/>
      <c r="B89" s="463" t="s">
        <v>1860</v>
      </c>
      <c r="C89" s="479"/>
      <c r="D89" s="479"/>
      <c r="E89" s="479"/>
      <c r="F89" s="479"/>
      <c r="G89" s="479"/>
      <c r="H89" s="479"/>
      <c r="I89" s="479"/>
      <c r="J89" s="479"/>
      <c r="K89" s="479"/>
      <c r="L89" s="479"/>
      <c r="M89" s="505"/>
      <c r="N89" s="2504"/>
      <c r="O89" s="2504"/>
      <c r="P89" s="2504"/>
      <c r="Q89" s="2496"/>
      <c r="R89" s="2474"/>
      <c r="S89" s="2474"/>
      <c r="T89" s="2474"/>
      <c r="U89" s="2474"/>
      <c r="V89" s="2474"/>
      <c r="W89" s="2474"/>
      <c r="X89" s="2474"/>
      <c r="Y89" s="2474"/>
      <c r="Z89" s="2474"/>
      <c r="AA89" s="2474"/>
      <c r="AB89" s="2474"/>
      <c r="AC89" s="2474"/>
      <c r="AD89" s="2474"/>
    </row>
    <row r="90" spans="1:30" s="402" customFormat="1" ht="15.75" thickBot="1">
      <c r="A90" s="478"/>
      <c r="B90" s="468"/>
      <c r="C90" s="485"/>
      <c r="D90" s="461"/>
      <c r="E90" s="461"/>
      <c r="F90" s="461"/>
      <c r="G90" s="461"/>
      <c r="H90" s="461"/>
      <c r="I90" s="461"/>
      <c r="J90" s="461"/>
      <c r="K90" s="461"/>
      <c r="L90" s="461"/>
      <c r="M90" s="462"/>
      <c r="N90" s="2504"/>
      <c r="O90" s="2504"/>
      <c r="P90" s="2504"/>
      <c r="Q90" s="2496"/>
      <c r="R90" s="2474"/>
      <c r="S90" s="2474"/>
      <c r="T90" s="2474"/>
      <c r="U90" s="2474"/>
      <c r="V90" s="2474"/>
      <c r="W90" s="2474"/>
      <c r="X90" s="2474"/>
      <c r="Y90" s="2474"/>
      <c r="Z90" s="2474"/>
      <c r="AA90" s="2474"/>
      <c r="AB90" s="2474"/>
      <c r="AC90" s="2474"/>
      <c r="AD90" s="2474"/>
    </row>
    <row r="91" spans="1:30" ht="15" thickTop="1">
      <c r="A91" s="403"/>
      <c r="B91" s="463">
        <f>B32</f>
        <v>111</v>
      </c>
      <c r="C91" s="474"/>
      <c r="D91" s="474"/>
      <c r="E91" s="474"/>
      <c r="F91" s="474"/>
      <c r="G91" s="479"/>
      <c r="H91" s="480"/>
      <c r="I91" s="480"/>
      <c r="J91" s="480"/>
      <c r="K91" s="480"/>
      <c r="L91" s="481"/>
      <c r="M91" s="482"/>
      <c r="N91" s="2502"/>
      <c r="O91" s="2502"/>
      <c r="P91" s="2501"/>
      <c r="Q91" s="2489"/>
      <c r="R91" s="2468"/>
      <c r="S91" s="2468"/>
      <c r="T91" s="2468"/>
      <c r="U91" s="2468"/>
      <c r="V91" s="2468"/>
      <c r="W91" s="2468"/>
      <c r="X91" s="2468"/>
      <c r="Y91" s="2468"/>
      <c r="Z91" s="2468"/>
      <c r="AA91" s="2468"/>
      <c r="AB91" s="2468"/>
      <c r="AC91" s="2468"/>
      <c r="AD91" s="2468"/>
    </row>
    <row r="92" spans="1:30" ht="15.75" thickBot="1">
      <c r="A92" s="361"/>
      <c r="B92" s="468"/>
      <c r="C92" s="485"/>
      <c r="D92" s="461"/>
      <c r="E92" s="461"/>
      <c r="F92" s="461"/>
      <c r="G92" s="485"/>
      <c r="H92" s="487"/>
      <c r="I92" s="487"/>
      <c r="J92" s="487"/>
      <c r="K92" s="487"/>
      <c r="L92" s="487"/>
      <c r="M92" s="488"/>
      <c r="N92" s="2503"/>
      <c r="O92" s="2503"/>
      <c r="P92" s="2501"/>
      <c r="Q92" s="2489"/>
      <c r="R92" s="2468"/>
      <c r="S92" s="2468"/>
      <c r="T92" s="2468"/>
      <c r="U92" s="2468"/>
      <c r="V92" s="2468"/>
      <c r="W92" s="2468"/>
      <c r="X92" s="2468"/>
      <c r="Y92" s="2468"/>
      <c r="Z92" s="2468"/>
      <c r="AA92" s="2468"/>
      <c r="AB92" s="2468"/>
      <c r="AC92" s="2468"/>
      <c r="AD92" s="2468"/>
    </row>
    <row r="93" spans="1:30" ht="15" thickTop="1">
      <c r="A93" s="403"/>
      <c r="B93" s="463">
        <f>B33</f>
        <v>111</v>
      </c>
      <c r="C93" s="474"/>
      <c r="D93" s="474"/>
      <c r="E93" s="474"/>
      <c r="F93" s="474"/>
      <c r="G93" s="479"/>
      <c r="H93" s="480"/>
      <c r="I93" s="480"/>
      <c r="J93" s="480"/>
      <c r="K93" s="480"/>
      <c r="L93" s="481"/>
      <c r="M93" s="482"/>
      <c r="N93" s="2502"/>
      <c r="O93" s="2502"/>
      <c r="P93" s="2501"/>
      <c r="Q93" s="2489"/>
      <c r="R93" s="2468"/>
      <c r="S93" s="2468"/>
      <c r="T93" s="2468"/>
      <c r="U93" s="2468"/>
      <c r="V93" s="2468"/>
      <c r="W93" s="2468"/>
      <c r="X93" s="2468"/>
      <c r="Y93" s="2468"/>
      <c r="Z93" s="2468"/>
      <c r="AA93" s="2468"/>
      <c r="AB93" s="2468"/>
      <c r="AC93" s="2468"/>
      <c r="AD93" s="2468"/>
    </row>
    <row r="94" spans="1:30" ht="15.75" thickBot="1">
      <c r="A94" s="361"/>
      <c r="B94" s="468"/>
      <c r="C94" s="485"/>
      <c r="D94" s="461"/>
      <c r="E94" s="461"/>
      <c r="F94" s="461"/>
      <c r="G94" s="485"/>
      <c r="H94" s="487"/>
      <c r="I94" s="487"/>
      <c r="J94" s="487"/>
      <c r="K94" s="487"/>
      <c r="L94" s="487"/>
      <c r="M94" s="488"/>
      <c r="N94" s="2503"/>
      <c r="O94" s="2503"/>
      <c r="P94" s="2501"/>
      <c r="Q94" s="2489"/>
      <c r="R94" s="2468"/>
      <c r="S94" s="2468"/>
      <c r="T94" s="2468"/>
      <c r="U94" s="2468"/>
      <c r="V94" s="2468"/>
      <c r="W94" s="2468"/>
      <c r="X94" s="2468"/>
      <c r="Y94" s="2468"/>
      <c r="Z94" s="2468"/>
      <c r="AA94" s="2468"/>
      <c r="AB94" s="2468"/>
      <c r="AC94" s="2468"/>
      <c r="AD94" s="2468"/>
    </row>
    <row r="95" spans="1:30" ht="15" thickTop="1">
      <c r="A95" s="403"/>
      <c r="B95" s="554">
        <f>B34</f>
        <v>111</v>
      </c>
      <c r="C95" s="474"/>
      <c r="D95" s="474"/>
      <c r="E95" s="474"/>
      <c r="F95" s="474"/>
      <c r="G95" s="479"/>
      <c r="H95" s="480"/>
      <c r="I95" s="480"/>
      <c r="J95" s="480"/>
      <c r="K95" s="480"/>
      <c r="L95" s="481"/>
      <c r="M95" s="482"/>
      <c r="N95" s="2503"/>
      <c r="O95" s="2503"/>
      <c r="P95" s="2503"/>
      <c r="Q95" s="2517"/>
      <c r="R95" s="2468"/>
      <c r="S95" s="2468"/>
      <c r="T95" s="2468"/>
      <c r="U95" s="2468"/>
      <c r="V95" s="2468"/>
      <c r="W95" s="2468"/>
      <c r="X95" s="2468"/>
      <c r="Y95" s="2468"/>
      <c r="Z95" s="2468"/>
      <c r="AA95" s="2468"/>
      <c r="AB95" s="2468"/>
      <c r="AC95" s="2468"/>
      <c r="AD95" s="2468"/>
    </row>
    <row r="96" spans="1:30" ht="15.75" thickBot="1">
      <c r="A96" s="361"/>
      <c r="B96" s="468"/>
      <c r="C96" s="485"/>
      <c r="D96" s="485"/>
      <c r="E96" s="485"/>
      <c r="F96" s="485"/>
      <c r="G96" s="485"/>
      <c r="H96" s="487"/>
      <c r="I96" s="487"/>
      <c r="J96" s="487"/>
      <c r="K96" s="487"/>
      <c r="L96" s="487"/>
      <c r="M96" s="488"/>
      <c r="N96" s="2503"/>
      <c r="O96" s="2503"/>
      <c r="P96" s="2501"/>
      <c r="Q96" s="2489"/>
      <c r="R96" s="2468"/>
      <c r="S96" s="2468"/>
      <c r="T96" s="2468"/>
      <c r="U96" s="2468"/>
      <c r="V96" s="2468"/>
      <c r="W96" s="2468"/>
      <c r="X96" s="2468"/>
      <c r="Y96" s="2468"/>
      <c r="Z96" s="2468"/>
      <c r="AA96" s="2468"/>
      <c r="AB96" s="2468"/>
      <c r="AC96" s="2468"/>
      <c r="AD96" s="2468"/>
    </row>
    <row r="97" spans="1:30" ht="15" thickTop="1">
      <c r="N97" s="2468"/>
      <c r="O97" s="2468"/>
      <c r="P97" s="2468"/>
      <c r="Q97" s="2468"/>
      <c r="R97" s="2468"/>
      <c r="S97" s="2468"/>
      <c r="T97" s="2468"/>
      <c r="U97" s="2468"/>
      <c r="V97" s="2468"/>
      <c r="W97" s="2468"/>
      <c r="X97" s="2468"/>
      <c r="Y97" s="2468"/>
      <c r="Z97" s="2468"/>
      <c r="AA97" s="2468"/>
      <c r="AB97" s="2468"/>
      <c r="AC97" s="2468"/>
      <c r="AD97" s="2468"/>
    </row>
    <row r="98" spans="1:30">
      <c r="A98" s="875"/>
      <c r="B98" s="875"/>
      <c r="C98" s="875"/>
      <c r="D98" s="875"/>
      <c r="E98" s="875"/>
      <c r="F98" s="875"/>
      <c r="G98" s="875"/>
      <c r="H98" s="875"/>
      <c r="I98" s="875"/>
      <c r="J98" s="875"/>
      <c r="K98" s="876"/>
      <c r="L98" s="877"/>
      <c r="M98" s="875"/>
      <c r="N98" s="2468"/>
      <c r="O98" s="2468"/>
      <c r="P98" s="2468"/>
      <c r="Q98" s="2468"/>
      <c r="R98" s="2468"/>
      <c r="S98" s="2468"/>
      <c r="T98" s="2468"/>
      <c r="U98" s="2468"/>
      <c r="V98" s="2468"/>
      <c r="W98" s="2468"/>
      <c r="X98" s="2468"/>
      <c r="Y98" s="2468"/>
      <c r="Z98" s="2468"/>
      <c r="AA98" s="2468"/>
      <c r="AB98" s="2468"/>
      <c r="AC98" s="2468"/>
      <c r="AD98" s="2468"/>
    </row>
    <row r="99" spans="1:30">
      <c r="A99" s="875"/>
      <c r="B99" s="875"/>
      <c r="C99" s="875"/>
      <c r="D99" s="875"/>
      <c r="E99" s="875"/>
      <c r="F99" s="875"/>
      <c r="G99" s="875"/>
      <c r="H99" s="875"/>
      <c r="I99" s="875"/>
      <c r="J99" s="875"/>
      <c r="K99" s="876"/>
      <c r="L99" s="877"/>
      <c r="M99" s="875"/>
      <c r="N99" s="2468"/>
      <c r="O99" s="2468"/>
      <c r="P99" s="2468"/>
      <c r="Q99" s="2468"/>
      <c r="R99" s="2468"/>
      <c r="S99" s="2468"/>
      <c r="T99" s="2468"/>
      <c r="U99" s="2468"/>
      <c r="V99" s="2468"/>
      <c r="W99" s="2468"/>
      <c r="X99" s="2468"/>
      <c r="Y99" s="2468"/>
      <c r="Z99" s="2468"/>
      <c r="AA99" s="2468"/>
      <c r="AB99" s="2468"/>
      <c r="AC99" s="2468"/>
      <c r="AD99" s="2468"/>
    </row>
    <row r="100" spans="1:30">
      <c r="A100" s="875"/>
      <c r="B100" s="875"/>
      <c r="C100" s="875"/>
      <c r="D100" s="875"/>
      <c r="E100" s="875"/>
      <c r="F100" s="875"/>
      <c r="G100" s="875"/>
      <c r="H100" s="875"/>
      <c r="I100" s="875"/>
      <c r="J100" s="875"/>
      <c r="K100" s="876"/>
      <c r="L100" s="877"/>
      <c r="M100" s="875"/>
      <c r="N100" s="2468"/>
      <c r="O100" s="2468"/>
      <c r="P100" s="2468"/>
      <c r="Q100" s="2468"/>
      <c r="R100" s="2468"/>
      <c r="S100" s="2468"/>
      <c r="T100" s="2468"/>
      <c r="U100" s="2468"/>
      <c r="V100" s="2468"/>
      <c r="W100" s="2468"/>
      <c r="X100" s="2468"/>
      <c r="Y100" s="2468"/>
      <c r="Z100" s="2468"/>
      <c r="AA100" s="2468"/>
      <c r="AB100" s="2468"/>
      <c r="AC100" s="2468"/>
      <c r="AD100" s="2468"/>
    </row>
    <row r="101" spans="1:30">
      <c r="A101" s="875"/>
      <c r="B101" s="875"/>
      <c r="C101" s="875"/>
      <c r="D101" s="875"/>
      <c r="E101" s="875"/>
      <c r="F101" s="875"/>
      <c r="G101" s="875"/>
      <c r="H101" s="875"/>
      <c r="I101" s="875"/>
      <c r="J101" s="875"/>
      <c r="K101" s="876"/>
      <c r="L101" s="877"/>
      <c r="M101" s="875"/>
      <c r="N101" s="2468"/>
      <c r="O101" s="2468"/>
      <c r="P101" s="2468"/>
      <c r="Q101" s="2468"/>
      <c r="R101" s="2468"/>
      <c r="S101" s="2468"/>
      <c r="T101" s="2468"/>
      <c r="U101" s="2468"/>
      <c r="V101" s="2468"/>
      <c r="W101" s="2468"/>
      <c r="X101" s="2468"/>
      <c r="Y101" s="2468"/>
      <c r="Z101" s="2468"/>
      <c r="AA101" s="2468"/>
      <c r="AB101" s="2468"/>
      <c r="AC101" s="2468"/>
      <c r="AD101" s="2468"/>
    </row>
    <row r="102" spans="1:30">
      <c r="A102" s="875"/>
      <c r="B102" s="875"/>
      <c r="C102" s="875"/>
      <c r="D102" s="875"/>
      <c r="E102" s="875"/>
      <c r="F102" s="875"/>
      <c r="G102" s="875"/>
      <c r="H102" s="875"/>
      <c r="I102" s="875"/>
      <c r="J102" s="875"/>
      <c r="K102" s="876"/>
      <c r="L102" s="877"/>
      <c r="M102" s="875"/>
      <c r="N102" s="2468"/>
      <c r="O102" s="2468"/>
      <c r="P102" s="2468"/>
      <c r="Q102" s="2468"/>
      <c r="R102" s="2468"/>
      <c r="S102" s="2468"/>
      <c r="T102" s="2468"/>
      <c r="U102" s="2468"/>
      <c r="V102" s="2468"/>
      <c r="W102" s="2468"/>
      <c r="X102" s="2468"/>
      <c r="Y102" s="2468"/>
      <c r="Z102" s="2468"/>
      <c r="AA102" s="2468"/>
      <c r="AB102" s="2468"/>
      <c r="AC102" s="2468"/>
      <c r="AD102" s="2468"/>
    </row>
    <row r="103" spans="1:30">
      <c r="A103" s="875"/>
      <c r="B103" s="875"/>
      <c r="C103" s="875"/>
      <c r="D103" s="875"/>
      <c r="E103" s="875"/>
      <c r="F103" s="875"/>
      <c r="G103" s="875"/>
      <c r="H103" s="875"/>
      <c r="I103" s="875"/>
      <c r="J103" s="875"/>
      <c r="K103" s="876"/>
      <c r="L103" s="877"/>
      <c r="M103" s="875"/>
      <c r="N103" s="875"/>
      <c r="O103" s="875"/>
      <c r="P103" s="2468"/>
      <c r="Q103" s="2468"/>
      <c r="R103" s="2468"/>
      <c r="S103" s="2468"/>
      <c r="T103" s="2468"/>
      <c r="U103" s="2468"/>
      <c r="V103" s="2468"/>
      <c r="W103" s="2468"/>
      <c r="X103" s="2468"/>
      <c r="Y103" s="2468"/>
      <c r="Z103" s="2468"/>
      <c r="AA103" s="2468"/>
      <c r="AB103" s="2468"/>
      <c r="AC103" s="2468"/>
      <c r="AD103" s="2468"/>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1" customWidth="1"/>
    <col min="2" max="2" width="15.75" style="341" customWidth="1"/>
    <col min="3" max="3" width="14.37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1861</v>
      </c>
      <c r="B1" s="334"/>
      <c r="C1" s="335" t="s">
        <v>1862</v>
      </c>
      <c r="D1" s="643"/>
      <c r="E1" s="643"/>
      <c r="F1" s="642" t="s">
        <v>1761</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1456</v>
      </c>
      <c r="B2" s="585" t="e">
        <f>F65</f>
        <v>#DIV/0!</v>
      </c>
      <c r="C2" s="847"/>
      <c r="D2" s="847"/>
      <c r="E2" s="848"/>
      <c r="F2" s="849"/>
      <c r="G2" s="848"/>
      <c r="H2" s="848"/>
      <c r="I2" s="848"/>
      <c r="J2" s="848"/>
      <c r="K2" s="850"/>
      <c r="L2" s="2484"/>
      <c r="M2" s="2485"/>
      <c r="N2" s="2485"/>
      <c r="O2" s="2485"/>
      <c r="P2" s="335"/>
      <c r="Q2" s="335"/>
      <c r="R2" s="335"/>
      <c r="S2" s="335"/>
      <c r="T2" s="335"/>
      <c r="U2" s="335"/>
      <c r="V2" s="335"/>
      <c r="W2" s="335"/>
      <c r="X2" s="335"/>
      <c r="Y2" s="335"/>
      <c r="Z2" s="335"/>
      <c r="AA2" s="335"/>
      <c r="AB2" s="335"/>
      <c r="AC2" s="655"/>
    </row>
    <row r="3" spans="1:29" s="336" customFormat="1" ht="28.5" customHeight="1" thickBot="1">
      <c r="A3" s="189" t="s">
        <v>1458</v>
      </c>
      <c r="B3" s="530" t="e">
        <f>ROUND(IF(D3="",B2*10000/'数据-汇总表'!E3,B2*10000/D3),0)</f>
        <v>#DIV/0!</v>
      </c>
      <c r="C3" s="189" t="s">
        <v>1863</v>
      </c>
      <c r="D3" s="1104"/>
      <c r="E3" s="848"/>
      <c r="F3" s="849"/>
      <c r="G3" s="848"/>
      <c r="H3" s="848"/>
      <c r="I3" s="848"/>
      <c r="J3" s="848"/>
      <c r="K3" s="850"/>
      <c r="L3" s="2484"/>
      <c r="M3" s="2485"/>
      <c r="N3" s="2485"/>
      <c r="O3" s="2485"/>
      <c r="P3" s="335"/>
      <c r="Q3" s="335"/>
      <c r="R3" s="335"/>
      <c r="S3" s="335"/>
      <c r="T3" s="335"/>
      <c r="U3" s="335"/>
      <c r="V3" s="335"/>
      <c r="W3" s="335"/>
      <c r="X3" s="335"/>
      <c r="Y3" s="335"/>
      <c r="Z3" s="335"/>
      <c r="AA3" s="335"/>
      <c r="AB3" s="668"/>
      <c r="AC3" s="655"/>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34" t="s">
        <v>1769</v>
      </c>
      <c r="Q4" s="3535"/>
      <c r="R4" s="3540" t="s">
        <v>1765</v>
      </c>
      <c r="S4" s="3541"/>
      <c r="T4" s="3540" t="s">
        <v>1766</v>
      </c>
      <c r="U4" s="3541"/>
      <c r="V4" s="3516" t="s">
        <v>1767</v>
      </c>
      <c r="W4" s="3516"/>
      <c r="X4" s="1257"/>
      <c r="Y4" s="3540" t="s">
        <v>1769</v>
      </c>
      <c r="Z4" s="3541"/>
      <c r="AA4" s="3527" t="s">
        <v>1765</v>
      </c>
      <c r="AB4" s="3528" t="s">
        <v>1766</v>
      </c>
      <c r="AC4" s="3527" t="s">
        <v>1767</v>
      </c>
    </row>
    <row r="5" spans="1:29" ht="15">
      <c r="A5" s="342"/>
      <c r="B5" s="343"/>
      <c r="C5" s="3548" t="s">
        <v>1667</v>
      </c>
      <c r="D5" s="3549"/>
      <c r="E5" s="3555" t="s">
        <v>1668</v>
      </c>
      <c r="F5" s="3556"/>
      <c r="G5" s="3548" t="s">
        <v>1669</v>
      </c>
      <c r="H5" s="3549"/>
      <c r="I5" s="3548" t="s">
        <v>1670</v>
      </c>
      <c r="J5" s="3549"/>
      <c r="K5" s="531"/>
      <c r="L5" s="2467"/>
      <c r="M5" s="2468"/>
      <c r="N5" s="2468"/>
      <c r="O5" s="2468"/>
      <c r="P5" s="3536"/>
      <c r="Q5" s="3537"/>
      <c r="R5" s="3542"/>
      <c r="S5" s="3543"/>
      <c r="T5" s="3542"/>
      <c r="U5" s="3543"/>
      <c r="V5" s="3516"/>
      <c r="W5" s="3516"/>
      <c r="X5" s="1257"/>
      <c r="Y5" s="3542"/>
      <c r="Z5" s="3543"/>
      <c r="AA5" s="3528"/>
      <c r="AB5" s="3528"/>
      <c r="AC5" s="3528"/>
    </row>
    <row r="6" spans="1:29" ht="15.75" thickBot="1">
      <c r="A6" s="344"/>
      <c r="B6" s="345"/>
      <c r="C6" s="3546" t="s">
        <v>1671</v>
      </c>
      <c r="D6" s="3547"/>
      <c r="E6" s="3553" t="s">
        <v>1671</v>
      </c>
      <c r="F6" s="3554"/>
      <c r="G6" s="3546" t="s">
        <v>1671</v>
      </c>
      <c r="H6" s="3547"/>
      <c r="I6" s="3546" t="s">
        <v>1671</v>
      </c>
      <c r="J6" s="3547"/>
      <c r="K6" s="531" t="s">
        <v>1672</v>
      </c>
      <c r="L6" s="2467"/>
      <c r="M6" s="2468"/>
      <c r="N6" s="2468"/>
      <c r="O6" s="2468"/>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SUMIF(69:69,YEAR(E7)&amp;"-"&amp;INT((MONTH(E7)+2)/3),70:70)</f>
        <v>0</v>
      </c>
      <c r="G7" s="1814"/>
      <c r="H7" s="349">
        <f>SUMIF(69:69,YEAR(G7)&amp;"-"&amp;INT((MONTH(G7)+2)/3),70:70)</f>
        <v>0</v>
      </c>
      <c r="I7" s="1814"/>
      <c r="J7" s="349">
        <f>SUMIF(69:69,YEAR(I7)&amp;"-"&amp;INT((MONTH(I7)+2)/3),70:70)</f>
        <v>0</v>
      </c>
      <c r="K7" s="38"/>
      <c r="L7" s="2469"/>
      <c r="M7" s="2423"/>
      <c r="N7" s="2423"/>
      <c r="O7" s="2423"/>
      <c r="P7" s="3550" t="s">
        <v>1674</v>
      </c>
      <c r="Q7" s="3552"/>
      <c r="R7" s="656" t="s">
        <v>14</v>
      </c>
      <c r="S7" s="657">
        <f t="shared" ref="S7:S15" si="0">F7</f>
        <v>0</v>
      </c>
      <c r="T7" s="656" t="s">
        <v>14</v>
      </c>
      <c r="U7" s="657">
        <f t="shared" ref="U7:U15" si="1">H7</f>
        <v>0</v>
      </c>
      <c r="V7" s="656" t="s">
        <v>14</v>
      </c>
      <c r="W7" s="657">
        <f t="shared" ref="W7:W15" si="2">J7</f>
        <v>0</v>
      </c>
      <c r="X7" s="658"/>
      <c r="Y7" s="3550" t="s">
        <v>1674</v>
      </c>
      <c r="Z7" s="3551"/>
      <c r="AA7" s="50" t="e">
        <f>D7/F7</f>
        <v>#DIV/0!</v>
      </c>
      <c r="AB7" s="50" t="e">
        <f>D7/H7</f>
        <v>#DIV/0!</v>
      </c>
      <c r="AC7" s="50" t="e">
        <f>D7/J7</f>
        <v>#DIV/0!</v>
      </c>
    </row>
    <row r="8" spans="1:29" s="101" customFormat="1" ht="15.75" thickBot="1">
      <c r="A8" s="346" t="s">
        <v>1675</v>
      </c>
      <c r="B8" s="347"/>
      <c r="C8" s="352" t="s">
        <v>1676</v>
      </c>
      <c r="D8" s="349">
        <v>100</v>
      </c>
      <c r="E8" s="352"/>
      <c r="F8" s="351">
        <f>SUMIF(72:72,E8,73:73)-SUMIF(72:72,C8,73:73)+100</f>
        <v>0</v>
      </c>
      <c r="G8" s="352"/>
      <c r="H8" s="349">
        <f>SUMIF(72:72,G8,73:73)-SUMIF(72:72,C8,73:73)+100</f>
        <v>0</v>
      </c>
      <c r="I8" s="352"/>
      <c r="J8" s="349">
        <f>SUMIF(72:72,I8,73:73)-SUMIF(72:72,C8,73:73)+100</f>
        <v>0</v>
      </c>
      <c r="K8" s="38"/>
      <c r="L8" s="2469"/>
      <c r="M8" s="2423"/>
      <c r="N8" s="2423"/>
      <c r="O8" s="2423"/>
      <c r="P8" s="3550" t="s">
        <v>1677</v>
      </c>
      <c r="Q8" s="3551"/>
      <c r="R8" s="656" t="s">
        <v>14</v>
      </c>
      <c r="S8" s="657">
        <f t="shared" si="0"/>
        <v>0</v>
      </c>
      <c r="T8" s="656" t="s">
        <v>14</v>
      </c>
      <c r="U8" s="657">
        <f t="shared" si="1"/>
        <v>0</v>
      </c>
      <c r="V8" s="656" t="s">
        <v>14</v>
      </c>
      <c r="W8" s="657">
        <f t="shared" si="2"/>
        <v>0</v>
      </c>
      <c r="X8" s="658"/>
      <c r="Y8" s="3550" t="s">
        <v>1677</v>
      </c>
      <c r="Z8" s="3551"/>
      <c r="AA8" s="50" t="e">
        <f t="shared" ref="AA8:AA45" si="3">D8/F8</f>
        <v>#DIV/0!</v>
      </c>
      <c r="AB8" s="50" t="e">
        <f t="shared" ref="AB8:AB45" si="4">D8/H8</f>
        <v>#DIV/0!</v>
      </c>
      <c r="AC8" s="50" t="e">
        <f t="shared" ref="AC8:AC45" si="5">D8/J8</f>
        <v>#DIV/0!</v>
      </c>
    </row>
    <row r="9" spans="1:29" s="101" customFormat="1">
      <c r="A9" s="353" t="s">
        <v>1678</v>
      </c>
      <c r="B9" s="60" t="s">
        <v>1679</v>
      </c>
      <c r="C9" s="1817"/>
      <c r="D9" s="59">
        <v>100</v>
      </c>
      <c r="E9" s="1817"/>
      <c r="F9" s="59">
        <f>SUMIF(74:74,E9,75:75)-SUMIF(74:74,C9,75:75)+100</f>
        <v>100</v>
      </c>
      <c r="G9" s="1817"/>
      <c r="H9" s="59">
        <f>SUMIF(74:74,G9,75:75)-SUMIF(74:74,C9,75:75)+100</f>
        <v>100</v>
      </c>
      <c r="I9" s="1817"/>
      <c r="J9" s="59">
        <f>SUMIF(74:74,I9,75:75)-SUMIF(74:74,C9,75:75)+100</f>
        <v>100</v>
      </c>
      <c r="K9" s="38"/>
      <c r="L9" s="2469"/>
      <c r="M9" s="2423"/>
      <c r="N9" s="2423"/>
      <c r="O9" s="2521"/>
      <c r="P9" s="3515"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50">
        <f t="shared" si="5"/>
        <v>1</v>
      </c>
    </row>
    <row r="10" spans="1:29" s="360" customFormat="1" ht="27">
      <c r="A10" s="357"/>
      <c r="B10" s="358" t="s">
        <v>1682</v>
      </c>
      <c r="C10" s="365"/>
      <c r="D10" s="113">
        <v>100</v>
      </c>
      <c r="E10" s="397"/>
      <c r="F10" s="113">
        <f>ROUND(100/'数据-取费表'!G16,0)</f>
        <v>118</v>
      </c>
      <c r="G10" s="396"/>
      <c r="H10" s="113">
        <f>ROUND(100/'数据-取费表'!G16,0)</f>
        <v>118</v>
      </c>
      <c r="I10" s="396"/>
      <c r="J10" s="113">
        <f>ROUND(100/'数据-取费表'!G16,0)</f>
        <v>118</v>
      </c>
      <c r="K10" s="586"/>
      <c r="L10" s="2470"/>
      <c r="M10" s="2471"/>
      <c r="N10" s="2471"/>
      <c r="O10" s="2522"/>
      <c r="P10" s="3515"/>
      <c r="Q10" s="524" t="str">
        <f t="shared" si="6"/>
        <v>土地使用年限（年）</v>
      </c>
      <c r="R10" s="656" t="s">
        <v>14</v>
      </c>
      <c r="S10" s="657">
        <f t="shared" si="0"/>
        <v>118</v>
      </c>
      <c r="T10" s="656" t="s">
        <v>14</v>
      </c>
      <c r="U10" s="657">
        <f t="shared" si="1"/>
        <v>118</v>
      </c>
      <c r="V10" s="656" t="s">
        <v>14</v>
      </c>
      <c r="W10" s="657">
        <f t="shared" si="2"/>
        <v>118</v>
      </c>
      <c r="X10" s="658"/>
      <c r="Y10" s="3367"/>
      <c r="Z10" s="50" t="str">
        <f t="shared" si="7"/>
        <v>土地使用年限（年）</v>
      </c>
      <c r="AA10" s="50">
        <f t="shared" si="3"/>
        <v>0.84745762711864403</v>
      </c>
      <c r="AB10" s="50">
        <f t="shared" si="4"/>
        <v>0.84745762711864403</v>
      </c>
      <c r="AC10" s="50">
        <f t="shared" si="5"/>
        <v>0.84745762711864403</v>
      </c>
    </row>
    <row r="11" spans="1:29" ht="15">
      <c r="A11" s="361"/>
      <c r="B11" s="358" t="s">
        <v>1683</v>
      </c>
      <c r="C11" s="362"/>
      <c r="D11" s="113">
        <v>100</v>
      </c>
      <c r="E11" s="362"/>
      <c r="F11" s="113" t="e">
        <f>LOOKUP(E11,79:79,80:80)-LOOKUP(C11,79:79,80:80)+100</f>
        <v>#N/A</v>
      </c>
      <c r="G11" s="363"/>
      <c r="H11" s="113" t="e">
        <f>LOOKUP(G11,79:79,80:80)-LOOKUP(C11,79:79,80:80)+100</f>
        <v>#N/A</v>
      </c>
      <c r="I11" s="362"/>
      <c r="J11" s="113" t="e">
        <f>LOOKUP(I11,79:79,80:80)-LOOKUP(C11,79:79,80:80)+100</f>
        <v>#N/A</v>
      </c>
      <c r="K11" s="587"/>
      <c r="L11" s="2472"/>
      <c r="M11" s="2468"/>
      <c r="N11" s="2468"/>
      <c r="O11" s="2523"/>
      <c r="P11" s="3515"/>
      <c r="Q11" s="524" t="str">
        <f t="shared" si="6"/>
        <v>容积率</v>
      </c>
      <c r="R11" s="656" t="s">
        <v>14</v>
      </c>
      <c r="S11" s="657" t="e">
        <f t="shared" si="0"/>
        <v>#N/A</v>
      </c>
      <c r="T11" s="656" t="s">
        <v>14</v>
      </c>
      <c r="U11" s="657" t="e">
        <f t="shared" si="1"/>
        <v>#N/A</v>
      </c>
      <c r="V11" s="656" t="s">
        <v>14</v>
      </c>
      <c r="W11" s="657" t="e">
        <f t="shared" si="2"/>
        <v>#N/A</v>
      </c>
      <c r="X11" s="658"/>
      <c r="Y11" s="3367"/>
      <c r="Z11" s="50" t="str">
        <f t="shared" si="7"/>
        <v>容积率</v>
      </c>
      <c r="AA11" s="50" t="e">
        <f t="shared" si="3"/>
        <v>#N/A</v>
      </c>
      <c r="AB11" s="50" t="e">
        <f t="shared" si="4"/>
        <v>#N/A</v>
      </c>
      <c r="AC11" s="50" t="e">
        <f t="shared" si="5"/>
        <v>#N/A</v>
      </c>
    </row>
    <row r="12" spans="1:29" s="101" customFormat="1" ht="15">
      <c r="A12" s="364"/>
      <c r="B12" s="441" t="s">
        <v>1864</v>
      </c>
      <c r="C12" s="365"/>
      <c r="D12" s="366">
        <v>100</v>
      </c>
      <c r="E12" s="397"/>
      <c r="F12" s="113">
        <f>SUMIF(81:81,E12,82:82)-SUMIF(81:81,C12,82:82)+100</f>
        <v>100</v>
      </c>
      <c r="G12" s="396"/>
      <c r="H12" s="113">
        <f>SUMIF(81:81,G12,82:82)-SUMIF(81:81,C12,82:82)+100</f>
        <v>100</v>
      </c>
      <c r="I12" s="397"/>
      <c r="J12" s="113">
        <f>SUMIF(81:81,I12,82:82)-SUMIF(81:81,C12,82:82)+100</f>
        <v>100</v>
      </c>
      <c r="K12" s="586"/>
      <c r="L12" s="2469"/>
      <c r="M12" s="2423"/>
      <c r="N12" s="2423"/>
      <c r="O12" s="2521"/>
      <c r="P12" s="3515"/>
      <c r="Q12" s="524" t="str">
        <f t="shared" si="6"/>
        <v>配建</v>
      </c>
      <c r="R12" s="656" t="s">
        <v>14</v>
      </c>
      <c r="S12" s="657">
        <f t="shared" si="0"/>
        <v>100</v>
      </c>
      <c r="T12" s="656" t="s">
        <v>14</v>
      </c>
      <c r="U12" s="657">
        <f t="shared" si="1"/>
        <v>100</v>
      </c>
      <c r="V12" s="656" t="s">
        <v>14</v>
      </c>
      <c r="W12" s="657">
        <f t="shared" si="2"/>
        <v>100</v>
      </c>
      <c r="X12" s="658"/>
      <c r="Y12" s="3367"/>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73"/>
      <c r="M13" s="2468"/>
      <c r="N13" s="2468"/>
      <c r="O13" s="2523"/>
      <c r="P13" s="3515"/>
      <c r="Q13" s="524">
        <f t="shared" si="6"/>
        <v>111</v>
      </c>
      <c r="R13" s="656" t="s">
        <v>14</v>
      </c>
      <c r="S13" s="657">
        <f t="shared" si="0"/>
        <v>100</v>
      </c>
      <c r="T13" s="656" t="s">
        <v>14</v>
      </c>
      <c r="U13" s="657">
        <f t="shared" si="1"/>
        <v>100</v>
      </c>
      <c r="V13" s="656" t="s">
        <v>14</v>
      </c>
      <c r="W13" s="657">
        <f t="shared" si="2"/>
        <v>100</v>
      </c>
      <c r="X13" s="658"/>
      <c r="Y13" s="3367"/>
      <c r="Z13" s="50">
        <f t="shared" si="7"/>
        <v>111</v>
      </c>
      <c r="AA13" s="50">
        <f>D13/F13</f>
        <v>1</v>
      </c>
      <c r="AB13" s="50">
        <f>D13/H13</f>
        <v>1</v>
      </c>
      <c r="AC13" s="50">
        <f>D13/J13</f>
        <v>1</v>
      </c>
    </row>
    <row r="14" spans="1:29" ht="15.75" thickBot="1">
      <c r="A14" s="369"/>
      <c r="B14" s="1741">
        <v>111</v>
      </c>
      <c r="C14" s="370"/>
      <c r="D14" s="371">
        <v>100</v>
      </c>
      <c r="E14" s="474"/>
      <c r="F14" s="371">
        <f>SUMIF(85:85,E14,86:86)-SUMIF(85:85,C14,86:86)+100</f>
        <v>100</v>
      </c>
      <c r="G14" s="588"/>
      <c r="H14" s="371">
        <f>SUMIF(85:85,G14,86:86)-SUMIF(85:85,C14,86:86)+100</f>
        <v>100</v>
      </c>
      <c r="I14" s="588"/>
      <c r="J14" s="371">
        <f>SUMIF(85:85,I14,86:86)-SUMIF(85:85,C14,86:86)+100</f>
        <v>100</v>
      </c>
      <c r="K14" s="586"/>
      <c r="L14" s="2473"/>
      <c r="M14" s="2468"/>
      <c r="N14" s="2468"/>
      <c r="O14" s="2523"/>
      <c r="P14" s="3515"/>
      <c r="Q14" s="524">
        <f t="shared" si="6"/>
        <v>111</v>
      </c>
      <c r="R14" s="656" t="s">
        <v>14</v>
      </c>
      <c r="S14" s="657">
        <f t="shared" si="0"/>
        <v>100</v>
      </c>
      <c r="T14" s="656" t="s">
        <v>14</v>
      </c>
      <c r="U14" s="657">
        <f t="shared" si="1"/>
        <v>100</v>
      </c>
      <c r="V14" s="656" t="s">
        <v>14</v>
      </c>
      <c r="W14" s="657">
        <f t="shared" si="2"/>
        <v>100</v>
      </c>
      <c r="X14" s="658"/>
      <c r="Y14" s="3367"/>
      <c r="Z14" s="50">
        <f t="shared" si="7"/>
        <v>111</v>
      </c>
      <c r="AA14" s="50">
        <f>D14/F14</f>
        <v>1</v>
      </c>
      <c r="AB14" s="50">
        <f>D14/H14</f>
        <v>1</v>
      </c>
      <c r="AC14" s="50">
        <f>D14/J14</f>
        <v>1</v>
      </c>
    </row>
    <row r="15" spans="1:29" ht="99.75">
      <c r="A15" s="373" t="s">
        <v>1684</v>
      </c>
      <c r="B15" s="58" t="s">
        <v>1254</v>
      </c>
      <c r="C15" s="1742" t="str">
        <f>估价对象房地状况!C15</f>
        <v>估价对象周边居住用地比例、居住小区规模和社区发展完善程度，综合评价居住社区成熟度一般</v>
      </c>
      <c r="D15" s="374">
        <v>100</v>
      </c>
      <c r="E15" s="375"/>
      <c r="F15" s="374">
        <f>SUMIF(87:87,E16,88:88)-SUMIF(87:87,C16,88:88)+100</f>
        <v>100</v>
      </c>
      <c r="G15" s="375"/>
      <c r="H15" s="374">
        <f>SUMIF(87:87,G16,88:88)-SUMIF(87:87,C16,88:88)+100</f>
        <v>100</v>
      </c>
      <c r="I15" s="377"/>
      <c r="J15" s="374">
        <f>SUMIF(87:87,I16,88:88)-SUMIF(87:87,C16,88:88)+100</f>
        <v>100</v>
      </c>
      <c r="K15" s="587"/>
      <c r="L15" s="2473"/>
      <c r="M15" s="2468"/>
      <c r="N15" s="2468"/>
      <c r="O15" s="2523"/>
      <c r="P15" s="3517" t="s">
        <v>1685</v>
      </c>
      <c r="Q15" s="1255" t="str">
        <f t="shared" si="6"/>
        <v>居住社区成熟度</v>
      </c>
      <c r="R15" s="659" t="s">
        <v>14</v>
      </c>
      <c r="S15" s="660">
        <f t="shared" si="0"/>
        <v>100</v>
      </c>
      <c r="T15" s="659" t="s">
        <v>14</v>
      </c>
      <c r="U15" s="660">
        <f t="shared" si="1"/>
        <v>100</v>
      </c>
      <c r="V15" s="659" t="s">
        <v>14</v>
      </c>
      <c r="W15" s="660">
        <f t="shared" si="2"/>
        <v>100</v>
      </c>
      <c r="X15" s="1257"/>
      <c r="Y15" s="3517" t="s">
        <v>1685</v>
      </c>
      <c r="Z15" s="1256" t="str">
        <f t="shared" si="7"/>
        <v>居住社区成熟度</v>
      </c>
      <c r="AA15" s="1256">
        <f t="shared" si="3"/>
        <v>1</v>
      </c>
      <c r="AB15" s="1256">
        <f t="shared" si="4"/>
        <v>1</v>
      </c>
      <c r="AC15" s="1256">
        <f t="shared" si="5"/>
        <v>1</v>
      </c>
    </row>
    <row r="16" spans="1:29" ht="15">
      <c r="A16" s="361"/>
      <c r="B16" s="379"/>
      <c r="C16" s="380"/>
      <c r="D16" s="381"/>
      <c r="E16" s="1744"/>
      <c r="F16" s="381"/>
      <c r="G16" s="1744"/>
      <c r="H16" s="383"/>
      <c r="I16" s="1743"/>
      <c r="J16" s="381"/>
      <c r="K16" s="586"/>
      <c r="L16" s="2473"/>
      <c r="M16" s="2468"/>
      <c r="N16" s="2468"/>
      <c r="O16" s="2523"/>
      <c r="P16" s="3518"/>
      <c r="Q16" s="1255"/>
      <c r="R16" s="659"/>
      <c r="S16" s="660"/>
      <c r="T16" s="659"/>
      <c r="U16" s="660"/>
      <c r="V16" s="659"/>
      <c r="W16" s="660"/>
      <c r="X16" s="1257"/>
      <c r="Y16" s="3518"/>
      <c r="Z16" s="1256"/>
      <c r="AA16" s="1256">
        <v>1</v>
      </c>
      <c r="AB16" s="1256">
        <v>1</v>
      </c>
      <c r="AC16" s="1256">
        <v>1</v>
      </c>
    </row>
    <row r="17" spans="1:29" ht="71.25">
      <c r="A17" s="361"/>
      <c r="B17" s="384" t="s">
        <v>1771</v>
      </c>
      <c r="C17" s="1798" t="str">
        <f>估价对象房地状况!C16</f>
        <v>估价对象位于XX商圈，周边商业氛围成熟，人流量大，商业繁华度好</v>
      </c>
      <c r="D17" s="383">
        <v>100</v>
      </c>
      <c r="E17" s="385"/>
      <c r="F17" s="383">
        <f>SUMIF(89:89,E18,90:90)-SUMIF(89:89,C18,90:90)+100</f>
        <v>100</v>
      </c>
      <c r="G17" s="385"/>
      <c r="H17" s="388">
        <f>SUMIF(89:89,G18,90:90)-SUMIF(89:89,C18,90:90)+100</f>
        <v>100</v>
      </c>
      <c r="I17" s="387"/>
      <c r="J17" s="388">
        <f>SUMIF(89:89,I18,90:90)-SUMIF(89:89,C18,90:90)+100</f>
        <v>100</v>
      </c>
      <c r="K17" s="587"/>
      <c r="L17" s="2473"/>
      <c r="M17" s="2468"/>
      <c r="N17" s="2468"/>
      <c r="O17" s="2523"/>
      <c r="P17" s="3518"/>
      <c r="Q17" s="1255" t="str">
        <f>B17</f>
        <v>商业繁华度</v>
      </c>
      <c r="R17" s="659" t="s">
        <v>14</v>
      </c>
      <c r="S17" s="660">
        <f>F17</f>
        <v>100</v>
      </c>
      <c r="T17" s="659" t="s">
        <v>14</v>
      </c>
      <c r="U17" s="660">
        <f>H17</f>
        <v>100</v>
      </c>
      <c r="V17" s="659" t="s">
        <v>14</v>
      </c>
      <c r="W17" s="660">
        <f>J17</f>
        <v>100</v>
      </c>
      <c r="X17" s="1257"/>
      <c r="Y17" s="3518"/>
      <c r="Z17" s="1256" t="str">
        <f>Q17</f>
        <v>商业繁华度</v>
      </c>
      <c r="AA17" s="1256">
        <f t="shared" si="3"/>
        <v>1</v>
      </c>
      <c r="AB17" s="1256">
        <f t="shared" si="4"/>
        <v>1</v>
      </c>
      <c r="AC17" s="1256">
        <f t="shared" si="5"/>
        <v>1</v>
      </c>
    </row>
    <row r="18" spans="1:29" ht="15">
      <c r="A18" s="361"/>
      <c r="B18" s="389"/>
      <c r="C18" s="1747"/>
      <c r="D18" s="383"/>
      <c r="E18" s="1749"/>
      <c r="F18" s="383"/>
      <c r="G18" s="1749"/>
      <c r="H18" s="381"/>
      <c r="I18" s="1748"/>
      <c r="J18" s="381"/>
      <c r="K18" s="586"/>
      <c r="L18" s="2473"/>
      <c r="M18" s="2468"/>
      <c r="N18" s="2468"/>
      <c r="O18" s="2523"/>
      <c r="P18" s="3518"/>
      <c r="Q18" s="1255"/>
      <c r="R18" s="659"/>
      <c r="S18" s="660"/>
      <c r="T18" s="659"/>
      <c r="U18" s="660"/>
      <c r="V18" s="659"/>
      <c r="W18" s="660"/>
      <c r="X18" s="1257"/>
      <c r="Y18" s="3518"/>
      <c r="Z18" s="1256"/>
      <c r="AA18" s="1256">
        <v>1</v>
      </c>
      <c r="AB18" s="1256">
        <v>1</v>
      </c>
      <c r="AC18" s="1256">
        <v>1</v>
      </c>
    </row>
    <row r="19" spans="1:29" ht="71.25">
      <c r="A19" s="361"/>
      <c r="B19" s="384" t="s">
        <v>1805</v>
      </c>
      <c r="C19" s="1798" t="str">
        <f>估价对象房地状况!C17</f>
        <v>估价对象位于XX商圈，周边办公楼项目较多，入驻率高，办公集聚程度较好</v>
      </c>
      <c r="D19" s="388">
        <v>100</v>
      </c>
      <c r="E19" s="390"/>
      <c r="F19" s="388">
        <f>SUMIF(91:91,E20,92:92)-SUMIF(91:91,C20,92:92)+100</f>
        <v>100</v>
      </c>
      <c r="G19" s="390"/>
      <c r="H19" s="383">
        <f>SUMIF(91:91,G20,92:92)-SUMIF(91:91,C20,92:92)+100</f>
        <v>100</v>
      </c>
      <c r="I19" s="392"/>
      <c r="J19" s="383">
        <f>SUMIF(91:91,I20,92:92)-SUMIF(91:91,C20,92:92)+100</f>
        <v>100</v>
      </c>
      <c r="K19" s="587"/>
      <c r="L19" s="2473"/>
      <c r="M19" s="2468"/>
      <c r="N19" s="2468"/>
      <c r="O19" s="2523"/>
      <c r="P19" s="3518"/>
      <c r="Q19" s="1255" t="str">
        <f>B19</f>
        <v>办公集聚程度</v>
      </c>
      <c r="R19" s="659" t="s">
        <v>14</v>
      </c>
      <c r="S19" s="660">
        <f>F19</f>
        <v>100</v>
      </c>
      <c r="T19" s="659" t="s">
        <v>14</v>
      </c>
      <c r="U19" s="660">
        <f>H19</f>
        <v>100</v>
      </c>
      <c r="V19" s="659" t="s">
        <v>14</v>
      </c>
      <c r="W19" s="660">
        <f>J19</f>
        <v>100</v>
      </c>
      <c r="X19" s="1257"/>
      <c r="Y19" s="3518"/>
      <c r="Z19" s="1256" t="str">
        <f>Q19</f>
        <v>办公集聚程度</v>
      </c>
      <c r="AA19" s="1256">
        <f t="shared" si="3"/>
        <v>1</v>
      </c>
      <c r="AB19" s="1256">
        <f t="shared" si="4"/>
        <v>1</v>
      </c>
      <c r="AC19" s="1256">
        <f t="shared" si="5"/>
        <v>1</v>
      </c>
    </row>
    <row r="20" spans="1:29" ht="15">
      <c r="A20" s="361"/>
      <c r="B20" s="389"/>
      <c r="C20" s="380"/>
      <c r="D20" s="381"/>
      <c r="E20" s="1744"/>
      <c r="F20" s="381"/>
      <c r="G20" s="1744"/>
      <c r="H20" s="381"/>
      <c r="I20" s="1743"/>
      <c r="J20" s="381"/>
      <c r="K20" s="586"/>
      <c r="L20" s="2473"/>
      <c r="M20" s="2468"/>
      <c r="N20" s="2468"/>
      <c r="O20" s="2523"/>
      <c r="P20" s="3518"/>
      <c r="Q20" s="1255"/>
      <c r="R20" s="659"/>
      <c r="S20" s="660"/>
      <c r="T20" s="659"/>
      <c r="U20" s="660"/>
      <c r="V20" s="659"/>
      <c r="W20" s="660"/>
      <c r="X20" s="1257"/>
      <c r="Y20" s="3518"/>
      <c r="Z20" s="1256"/>
      <c r="AA20" s="1256">
        <v>1</v>
      </c>
      <c r="AB20" s="1256">
        <v>1</v>
      </c>
      <c r="AC20" s="1256">
        <v>1</v>
      </c>
    </row>
    <row r="21" spans="1:29" ht="85.5">
      <c r="A21" s="361"/>
      <c r="B21" s="384" t="s">
        <v>1827</v>
      </c>
      <c r="C21" s="1746" t="str">
        <f>估价对象房地状况!C18</f>
        <v>估价对象周边道路状况、公共交通通达情况、停车便捷程度，综合评价交通便捷度较好</v>
      </c>
      <c r="D21" s="383">
        <v>100</v>
      </c>
      <c r="E21" s="385"/>
      <c r="F21" s="388">
        <f>SUMIF(93:93,E22,94:94)-SUMIF(93:93,C22,94:94)+100</f>
        <v>100</v>
      </c>
      <c r="G21" s="385"/>
      <c r="H21" s="383">
        <f>SUMIF(93:93,G22,94:94)-SUMIF(93:93,C22,94:94)+100</f>
        <v>100</v>
      </c>
      <c r="I21" s="387"/>
      <c r="J21" s="383">
        <f>SUMIF(93:93,I22,94:94)-SUMIF(93:93,C22,94:94)+100</f>
        <v>100</v>
      </c>
      <c r="K21" s="587"/>
      <c r="L21" s="2473"/>
      <c r="M21" s="2468"/>
      <c r="N21" s="2468"/>
      <c r="O21" s="2523"/>
      <c r="P21" s="3518"/>
      <c r="Q21" s="1255" t="str">
        <f>B21</f>
        <v>交通便捷度</v>
      </c>
      <c r="R21" s="659" t="s">
        <v>14</v>
      </c>
      <c r="S21" s="660">
        <f>F21</f>
        <v>100</v>
      </c>
      <c r="T21" s="659" t="s">
        <v>14</v>
      </c>
      <c r="U21" s="660">
        <f>H21</f>
        <v>100</v>
      </c>
      <c r="V21" s="659" t="s">
        <v>14</v>
      </c>
      <c r="W21" s="660">
        <f>J21</f>
        <v>100</v>
      </c>
      <c r="X21" s="1257"/>
      <c r="Y21" s="3518"/>
      <c r="Z21" s="1256" t="str">
        <f>Q21</f>
        <v>交通便捷度</v>
      </c>
      <c r="AA21" s="1256">
        <f t="shared" si="3"/>
        <v>1</v>
      </c>
      <c r="AB21" s="1256">
        <f t="shared" si="4"/>
        <v>1</v>
      </c>
      <c r="AC21" s="1256">
        <f t="shared" si="5"/>
        <v>1</v>
      </c>
    </row>
    <row r="22" spans="1:29" ht="15">
      <c r="A22" s="361"/>
      <c r="B22" s="580"/>
      <c r="C22" s="380"/>
      <c r="D22" s="383"/>
      <c r="E22" s="1744"/>
      <c r="F22" s="381"/>
      <c r="G22" s="1744"/>
      <c r="H22" s="381"/>
      <c r="I22" s="1743"/>
      <c r="J22" s="381"/>
      <c r="K22" s="586"/>
      <c r="L22" s="2473"/>
      <c r="M22" s="2468"/>
      <c r="N22" s="2468"/>
      <c r="O22" s="2523"/>
      <c r="P22" s="3518"/>
      <c r="Q22" s="1255"/>
      <c r="R22" s="659"/>
      <c r="S22" s="660"/>
      <c r="T22" s="659"/>
      <c r="U22" s="660"/>
      <c r="V22" s="659"/>
      <c r="W22" s="660"/>
      <c r="X22" s="1257"/>
      <c r="Y22" s="3518"/>
      <c r="Z22" s="1256"/>
      <c r="AA22" s="1256">
        <v>1</v>
      </c>
      <c r="AB22" s="1256">
        <v>1</v>
      </c>
      <c r="AC22" s="1256">
        <v>1</v>
      </c>
    </row>
    <row r="23" spans="1:29" ht="15">
      <c r="A23" s="342"/>
      <c r="B23" s="384" t="s">
        <v>1865</v>
      </c>
      <c r="C23" s="1062">
        <f>估价对象房地状况!C19</f>
        <v>0</v>
      </c>
      <c r="D23" s="388">
        <v>100</v>
      </c>
      <c r="E23" s="385"/>
      <c r="F23" s="388">
        <f>SUMIF(95:95,E24,96:96)-SUMIF(95:95,C24,96:96)+100</f>
        <v>100</v>
      </c>
      <c r="G23" s="387"/>
      <c r="H23" s="388">
        <f>SUMIF(95:95,G24,96:96)-SUMIF(95:95,C24,96:96)+100</f>
        <v>100</v>
      </c>
      <c r="I23" s="387"/>
      <c r="J23" s="388">
        <f>SUMIF(95:95,I24,96:96)-SUMIF(95:95,C24,96:96)+100</f>
        <v>100</v>
      </c>
      <c r="K23" s="587"/>
      <c r="L23" s="2473"/>
      <c r="M23" s="2468"/>
      <c r="N23" s="2468"/>
      <c r="O23" s="2523"/>
      <c r="P23" s="3518"/>
      <c r="Q23" s="1255" t="str">
        <f t="shared" ref="Q23:Q37" si="8">B23</f>
        <v>区域土地利用方向</v>
      </c>
      <c r="R23" s="659" t="s">
        <v>14</v>
      </c>
      <c r="S23" s="660">
        <f>F23</f>
        <v>100</v>
      </c>
      <c r="T23" s="659" t="s">
        <v>14</v>
      </c>
      <c r="U23" s="660">
        <f>H23</f>
        <v>100</v>
      </c>
      <c r="V23" s="659" t="s">
        <v>14</v>
      </c>
      <c r="W23" s="660">
        <f>J23</f>
        <v>100</v>
      </c>
      <c r="X23" s="1257"/>
      <c r="Y23" s="3518"/>
      <c r="Z23" s="1256" t="str">
        <f>Q23</f>
        <v>区域土地利用方向</v>
      </c>
      <c r="AA23" s="1256">
        <f t="shared" si="3"/>
        <v>1</v>
      </c>
      <c r="AB23" s="1256">
        <f t="shared" si="4"/>
        <v>1</v>
      </c>
      <c r="AC23" s="1256">
        <f t="shared" si="5"/>
        <v>1</v>
      </c>
    </row>
    <row r="24" spans="1:29" ht="15">
      <c r="A24" s="342"/>
      <c r="B24" s="389"/>
      <c r="C24" s="536"/>
      <c r="D24" s="381"/>
      <c r="E24" s="1744"/>
      <c r="F24" s="381"/>
      <c r="G24" s="1743"/>
      <c r="H24" s="381"/>
      <c r="I24" s="1743"/>
      <c r="J24" s="381"/>
      <c r="K24" s="691"/>
      <c r="L24" s="2473"/>
      <c r="M24" s="2468"/>
      <c r="N24" s="2468"/>
      <c r="O24" s="2523"/>
      <c r="P24" s="3518"/>
      <c r="Q24" s="1255"/>
      <c r="R24" s="659"/>
      <c r="S24" s="660"/>
      <c r="T24" s="659"/>
      <c r="U24" s="660"/>
      <c r="V24" s="659"/>
      <c r="W24" s="660"/>
      <c r="X24" s="1257"/>
      <c r="Y24" s="3518"/>
      <c r="Z24" s="1256"/>
      <c r="AA24" s="1256"/>
      <c r="AB24" s="1256"/>
      <c r="AC24" s="1256"/>
    </row>
    <row r="25" spans="1:29" ht="57">
      <c r="A25" s="342"/>
      <c r="B25" s="580" t="s">
        <v>1866</v>
      </c>
      <c r="C25" s="1798" t="str">
        <f>估价对象房地状况!C20</f>
        <v>区域自然环境：；人文环境；综合评价环境状况一般</v>
      </c>
      <c r="D25" s="383">
        <v>100</v>
      </c>
      <c r="E25" s="385"/>
      <c r="F25" s="383">
        <f>SUMIF(97:97,E26,98:98)-SUMIF(97:97,C26,98:98)+100</f>
        <v>100</v>
      </c>
      <c r="G25" s="385"/>
      <c r="H25" s="383">
        <f>SUMIF(97:97,G26,98:98)-SUMIF(97:97,C26,98:98)+100</f>
        <v>100</v>
      </c>
      <c r="I25" s="387"/>
      <c r="J25" s="383">
        <f>SUMIF(97:97,I26,98:98)-SUMIF(97:97,C26,98:98)+100</f>
        <v>100</v>
      </c>
      <c r="K25" s="587"/>
      <c r="L25" s="2473"/>
      <c r="M25" s="2468"/>
      <c r="N25" s="2468"/>
      <c r="O25" s="2523"/>
      <c r="P25" s="3518"/>
      <c r="Q25" s="1255" t="str">
        <f t="shared" si="8"/>
        <v>自然及人文环境状况</v>
      </c>
      <c r="R25" s="659" t="s">
        <v>14</v>
      </c>
      <c r="S25" s="660">
        <f>F25</f>
        <v>100</v>
      </c>
      <c r="T25" s="659" t="s">
        <v>14</v>
      </c>
      <c r="U25" s="660">
        <f>H25</f>
        <v>100</v>
      </c>
      <c r="V25" s="659" t="s">
        <v>14</v>
      </c>
      <c r="W25" s="660">
        <f>J25</f>
        <v>100</v>
      </c>
      <c r="X25" s="1257"/>
      <c r="Y25" s="3518"/>
      <c r="Z25" s="1256" t="str">
        <f>Q25</f>
        <v>自然及人文环境状况</v>
      </c>
      <c r="AA25" s="1256">
        <f t="shared" si="3"/>
        <v>1</v>
      </c>
      <c r="AB25" s="1256">
        <f t="shared" si="4"/>
        <v>1</v>
      </c>
      <c r="AC25" s="1256">
        <f t="shared" si="5"/>
        <v>1</v>
      </c>
    </row>
    <row r="26" spans="1:29" ht="15">
      <c r="A26" s="342"/>
      <c r="B26" s="389"/>
      <c r="C26" s="380"/>
      <c r="D26" s="381"/>
      <c r="E26" s="1750"/>
      <c r="F26" s="381"/>
      <c r="G26" s="1750"/>
      <c r="H26" s="381"/>
      <c r="I26" s="380"/>
      <c r="J26" s="381"/>
      <c r="K26" s="586"/>
      <c r="L26" s="2473"/>
      <c r="M26" s="2468"/>
      <c r="N26" s="2468"/>
      <c r="O26" s="2523"/>
      <c r="P26" s="3518"/>
      <c r="Q26" s="1255"/>
      <c r="R26" s="659"/>
      <c r="S26" s="660"/>
      <c r="T26" s="659"/>
      <c r="U26" s="660"/>
      <c r="V26" s="659"/>
      <c r="W26" s="660"/>
      <c r="X26" s="1257"/>
      <c r="Y26" s="3518"/>
      <c r="Z26" s="1256"/>
      <c r="AA26" s="1256">
        <v>1</v>
      </c>
      <c r="AB26" s="1256">
        <v>1</v>
      </c>
      <c r="AC26" s="1256">
        <v>1</v>
      </c>
    </row>
    <row r="27" spans="1:29" s="101" customFormat="1" ht="42.75">
      <c r="A27" s="437"/>
      <c r="B27" s="580" t="s">
        <v>1772</v>
      </c>
      <c r="C27" s="1746" t="str">
        <f>估价对象房地状况!C21</f>
        <v>估价对象所在区域公共配套设施齐备情况</v>
      </c>
      <c r="D27" s="383">
        <v>100</v>
      </c>
      <c r="E27" s="385"/>
      <c r="F27" s="383">
        <f>SUMIF(99:99,E28,100:100)-SUMIF(99:99,C28,100:100)+100</f>
        <v>100</v>
      </c>
      <c r="G27" s="385"/>
      <c r="H27" s="383">
        <f>SUMIF(99:99,G28,100:100)-SUMIF(99:99,C28,100:100)+100</f>
        <v>100</v>
      </c>
      <c r="I27" s="387"/>
      <c r="J27" s="383">
        <f>SUMIF(99:99,I28,100:100)-SUMIF(99:99,C28,100:100)+100</f>
        <v>100</v>
      </c>
      <c r="K27" s="587"/>
      <c r="L27" s="2469"/>
      <c r="M27" s="2423"/>
      <c r="N27" s="2423"/>
      <c r="O27" s="2521"/>
      <c r="P27" s="3518"/>
      <c r="Q27" s="524" t="str">
        <f t="shared" si="8"/>
        <v>公共配套设施</v>
      </c>
      <c r="R27" s="656" t="s">
        <v>14</v>
      </c>
      <c r="S27" s="657">
        <f>F27</f>
        <v>100</v>
      </c>
      <c r="T27" s="656" t="s">
        <v>14</v>
      </c>
      <c r="U27" s="657">
        <f>H27</f>
        <v>100</v>
      </c>
      <c r="V27" s="656" t="s">
        <v>14</v>
      </c>
      <c r="W27" s="657">
        <f>J27</f>
        <v>100</v>
      </c>
      <c r="X27" s="658"/>
      <c r="Y27" s="3518"/>
      <c r="Z27" s="50" t="str">
        <f>Q27</f>
        <v>公共配套设施</v>
      </c>
      <c r="AA27" s="1256">
        <f>D27/F27</f>
        <v>1</v>
      </c>
      <c r="AB27" s="1256">
        <f>D27/H27</f>
        <v>1</v>
      </c>
      <c r="AC27" s="1256">
        <f>D27/J27</f>
        <v>1</v>
      </c>
    </row>
    <row r="28" spans="1:29" s="101" customFormat="1" ht="15">
      <c r="A28" s="437"/>
      <c r="B28" s="389"/>
      <c r="C28" s="1818"/>
      <c r="D28" s="381"/>
      <c r="E28" s="1750"/>
      <c r="F28" s="381"/>
      <c r="G28" s="1750"/>
      <c r="H28" s="381"/>
      <c r="I28" s="380"/>
      <c r="J28" s="381"/>
      <c r="K28" s="586"/>
      <c r="L28" s="2469"/>
      <c r="M28" s="2423"/>
      <c r="N28" s="2423"/>
      <c r="O28" s="2521"/>
      <c r="P28" s="3518"/>
      <c r="Q28" s="524"/>
      <c r="R28" s="656"/>
      <c r="S28" s="657"/>
      <c r="T28" s="656"/>
      <c r="U28" s="657"/>
      <c r="V28" s="656"/>
      <c r="W28" s="657"/>
      <c r="X28" s="658"/>
      <c r="Y28" s="3518"/>
      <c r="Z28" s="50"/>
      <c r="AA28" s="1256">
        <v>1</v>
      </c>
      <c r="AB28" s="1256">
        <v>1</v>
      </c>
      <c r="AC28" s="1256">
        <v>1</v>
      </c>
    </row>
    <row r="29" spans="1:29" s="101" customFormat="1" ht="28.5">
      <c r="A29" s="437"/>
      <c r="B29" s="580" t="s">
        <v>1773</v>
      </c>
      <c r="C29" s="1746" t="str">
        <f>估价对象房地状况!C22</f>
        <v>估价对象所在区域基础设施水平</v>
      </c>
      <c r="D29" s="383">
        <v>100</v>
      </c>
      <c r="E29" s="385"/>
      <c r="F29" s="383">
        <f>SUMIF(101:101,E30,102:102)-SUMIF(101:101,C30,102:102)+100</f>
        <v>100</v>
      </c>
      <c r="G29" s="385"/>
      <c r="H29" s="383">
        <f>SUMIF(101:101,G30,102:102)-SUMIF(101:101,C30,102:102)+100</f>
        <v>100</v>
      </c>
      <c r="I29" s="387"/>
      <c r="J29" s="383">
        <f>SUMIF(101:101,I30,102:102)-SUMIF(101:101,C30,102:102)+100</f>
        <v>100</v>
      </c>
      <c r="K29" s="587"/>
      <c r="L29" s="2469"/>
      <c r="M29" s="2423"/>
      <c r="N29" s="2423"/>
      <c r="O29" s="2521"/>
      <c r="P29" s="3518"/>
      <c r="Q29" s="524" t="str">
        <f t="shared" ref="Q29" si="9">B29</f>
        <v>基础设施水平</v>
      </c>
      <c r="R29" s="656" t="s">
        <v>14</v>
      </c>
      <c r="S29" s="657">
        <f>F29</f>
        <v>100</v>
      </c>
      <c r="T29" s="656" t="s">
        <v>14</v>
      </c>
      <c r="U29" s="657">
        <f>H29</f>
        <v>100</v>
      </c>
      <c r="V29" s="656" t="s">
        <v>14</v>
      </c>
      <c r="W29" s="657">
        <f>J29</f>
        <v>100</v>
      </c>
      <c r="X29" s="658"/>
      <c r="Y29" s="3518"/>
      <c r="Z29" s="50" t="str">
        <f>Q29</f>
        <v>基础设施水平</v>
      </c>
      <c r="AA29" s="1256">
        <f>D29/F29</f>
        <v>1</v>
      </c>
      <c r="AB29" s="1256">
        <f>D29/H29</f>
        <v>1</v>
      </c>
      <c r="AC29" s="1256">
        <f>D29/J29</f>
        <v>1</v>
      </c>
    </row>
    <row r="30" spans="1:29" s="101" customFormat="1" ht="15">
      <c r="A30" s="437"/>
      <c r="B30" s="389"/>
      <c r="C30" s="1818"/>
      <c r="D30" s="381"/>
      <c r="E30" s="1819"/>
      <c r="F30" s="381"/>
      <c r="G30" s="1819"/>
      <c r="H30" s="381"/>
      <c r="I30" s="1819"/>
      <c r="J30" s="381"/>
      <c r="K30" s="586"/>
      <c r="L30" s="2469"/>
      <c r="M30" s="2423"/>
      <c r="N30" s="2423"/>
      <c r="O30" s="2521"/>
      <c r="P30" s="3518"/>
      <c r="Q30" s="524"/>
      <c r="R30" s="656"/>
      <c r="S30" s="657"/>
      <c r="T30" s="656"/>
      <c r="U30" s="657"/>
      <c r="V30" s="656"/>
      <c r="W30" s="657"/>
      <c r="X30" s="658"/>
      <c r="Y30" s="3518"/>
      <c r="Z30" s="50"/>
      <c r="AA30" s="1256">
        <v>1</v>
      </c>
      <c r="AB30" s="1256">
        <v>1</v>
      </c>
      <c r="AC30" s="1256">
        <v>1</v>
      </c>
    </row>
    <row r="31" spans="1:29" ht="15">
      <c r="A31" s="361"/>
      <c r="B31" s="389" t="s">
        <v>1774</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73"/>
      <c r="M31" s="2468"/>
      <c r="N31" s="2468"/>
      <c r="O31" s="2523"/>
      <c r="P31" s="3518"/>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518"/>
      <c r="Z31" s="1256" t="str">
        <f t="shared" ref="Z31:Z45" si="13">Q31</f>
        <v>临街状况</v>
      </c>
      <c r="AA31" s="1256">
        <f t="shared" si="3"/>
        <v>1</v>
      </c>
      <c r="AB31" s="1256">
        <f t="shared" si="4"/>
        <v>1</v>
      </c>
      <c r="AC31" s="1256">
        <f t="shared" si="5"/>
        <v>1</v>
      </c>
    </row>
    <row r="32" spans="1:29" ht="27">
      <c r="A32" s="361"/>
      <c r="B32" s="580" t="s">
        <v>1809</v>
      </c>
      <c r="C32" s="387"/>
      <c r="D32" s="383">
        <v>100</v>
      </c>
      <c r="E32" s="385"/>
      <c r="F32" s="383">
        <f>SUMIF(105:105,E33,106:106)-SUMIF(105:105,C33,106:106)+100</f>
        <v>100</v>
      </c>
      <c r="G32" s="385"/>
      <c r="H32" s="383">
        <f>SUMIF(105:105,G33,106:106)-SUMIF(105:105,C33,106:106)+100</f>
        <v>100</v>
      </c>
      <c r="I32" s="387"/>
      <c r="J32" s="383">
        <f>SUMIF(105:105,I33,106:106)-SUMIF(105:105,C33,106:106)+100</f>
        <v>100</v>
      </c>
      <c r="K32" s="587"/>
      <c r="L32" s="2473"/>
      <c r="M32" s="2468"/>
      <c r="N32" s="2468"/>
      <c r="O32" s="2523"/>
      <c r="P32" s="3518"/>
      <c r="Q32" s="1255" t="str">
        <f t="shared" si="8"/>
        <v>毗邻道路的类型与等级</v>
      </c>
      <c r="R32" s="659" t="s">
        <v>14</v>
      </c>
      <c r="S32" s="660">
        <f t="shared" si="10"/>
        <v>100</v>
      </c>
      <c r="T32" s="659" t="s">
        <v>14</v>
      </c>
      <c r="U32" s="660">
        <f t="shared" si="11"/>
        <v>100</v>
      </c>
      <c r="V32" s="659" t="s">
        <v>14</v>
      </c>
      <c r="W32" s="660">
        <f t="shared" si="12"/>
        <v>100</v>
      </c>
      <c r="X32" s="1257"/>
      <c r="Y32" s="3518"/>
      <c r="Z32" s="1256" t="str">
        <f t="shared" si="13"/>
        <v>毗邻道路的类型与等级</v>
      </c>
      <c r="AA32" s="1256">
        <f t="shared" si="3"/>
        <v>1</v>
      </c>
      <c r="AB32" s="1256">
        <f t="shared" si="4"/>
        <v>1</v>
      </c>
      <c r="AC32" s="1256">
        <f t="shared" si="5"/>
        <v>1</v>
      </c>
    </row>
    <row r="33" spans="1:29" ht="15">
      <c r="A33" s="361"/>
      <c r="B33" s="389"/>
      <c r="C33" s="380"/>
      <c r="D33" s="381"/>
      <c r="E33" s="1750"/>
      <c r="F33" s="381"/>
      <c r="G33" s="1750"/>
      <c r="H33" s="381"/>
      <c r="I33" s="380"/>
      <c r="J33" s="381"/>
      <c r="K33" s="533"/>
      <c r="L33" s="2473"/>
      <c r="M33" s="2468"/>
      <c r="N33" s="2468"/>
      <c r="O33" s="2523"/>
      <c r="P33" s="3518"/>
      <c r="Q33" s="1255"/>
      <c r="R33" s="659"/>
      <c r="S33" s="660"/>
      <c r="T33" s="659"/>
      <c r="U33" s="660"/>
      <c r="V33" s="659"/>
      <c r="W33" s="660"/>
      <c r="X33" s="1257"/>
      <c r="Y33" s="3518"/>
      <c r="Z33" s="1256"/>
      <c r="AA33" s="1256">
        <v>1</v>
      </c>
      <c r="AB33" s="1256">
        <v>1</v>
      </c>
      <c r="AC33" s="1256">
        <v>1</v>
      </c>
    </row>
    <row r="34" spans="1:29" ht="15">
      <c r="A34" s="361"/>
      <c r="B34" s="358" t="s">
        <v>1867</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73"/>
      <c r="M34" s="2468"/>
      <c r="N34" s="2468"/>
      <c r="O34" s="2523"/>
      <c r="P34" s="3518"/>
      <c r="Q34" s="1255" t="str">
        <f t="shared" si="8"/>
        <v>土地级别</v>
      </c>
      <c r="R34" s="659" t="s">
        <v>14</v>
      </c>
      <c r="S34" s="660">
        <f t="shared" si="10"/>
        <v>100</v>
      </c>
      <c r="T34" s="659" t="s">
        <v>14</v>
      </c>
      <c r="U34" s="660">
        <f t="shared" si="11"/>
        <v>100</v>
      </c>
      <c r="V34" s="659" t="s">
        <v>14</v>
      </c>
      <c r="W34" s="660">
        <f t="shared" si="12"/>
        <v>100</v>
      </c>
      <c r="X34" s="1257"/>
      <c r="Y34" s="3518"/>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73"/>
      <c r="M35" s="2468"/>
      <c r="N35" s="2468"/>
      <c r="O35" s="2523"/>
      <c r="P35" s="3518"/>
      <c r="Q35" s="1255">
        <f t="shared" si="8"/>
        <v>111</v>
      </c>
      <c r="R35" s="659" t="s">
        <v>14</v>
      </c>
      <c r="S35" s="660">
        <f t="shared" si="10"/>
        <v>100</v>
      </c>
      <c r="T35" s="659" t="s">
        <v>14</v>
      </c>
      <c r="U35" s="660">
        <f t="shared" si="11"/>
        <v>100</v>
      </c>
      <c r="V35" s="659" t="s">
        <v>14</v>
      </c>
      <c r="W35" s="660">
        <f t="shared" si="12"/>
        <v>100</v>
      </c>
      <c r="X35" s="1257"/>
      <c r="Y35" s="3518"/>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73"/>
      <c r="M36" s="2468"/>
      <c r="N36" s="2468"/>
      <c r="O36" s="2523"/>
      <c r="P36" s="3572" t="s">
        <v>1690</v>
      </c>
      <c r="Q36" s="1255">
        <f t="shared" si="8"/>
        <v>111</v>
      </c>
      <c r="R36" s="659" t="s">
        <v>14</v>
      </c>
      <c r="S36" s="660">
        <f t="shared" si="10"/>
        <v>100</v>
      </c>
      <c r="T36" s="659" t="s">
        <v>14</v>
      </c>
      <c r="U36" s="660">
        <f t="shared" si="11"/>
        <v>100</v>
      </c>
      <c r="V36" s="659" t="s">
        <v>14</v>
      </c>
      <c r="W36" s="660">
        <f t="shared" si="12"/>
        <v>100</v>
      </c>
      <c r="X36" s="1257"/>
      <c r="Y36" s="3522" t="s">
        <v>1690</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72"/>
      <c r="M37" s="2474"/>
      <c r="N37" s="2474"/>
      <c r="O37" s="2524"/>
      <c r="P37" s="3522"/>
      <c r="Q37" s="1255">
        <f t="shared" si="8"/>
        <v>111</v>
      </c>
      <c r="R37" s="661" t="s">
        <v>14</v>
      </c>
      <c r="S37" s="662">
        <f t="shared" si="10"/>
        <v>100</v>
      </c>
      <c r="T37" s="661" t="s">
        <v>14</v>
      </c>
      <c r="U37" s="662">
        <f t="shared" si="11"/>
        <v>100</v>
      </c>
      <c r="V37" s="661" t="s">
        <v>14</v>
      </c>
      <c r="W37" s="662">
        <f t="shared" si="12"/>
        <v>100</v>
      </c>
      <c r="X37" s="663"/>
      <c r="Y37" s="3522"/>
      <c r="Z37" s="664">
        <f t="shared" si="13"/>
        <v>111</v>
      </c>
      <c r="AA37" s="1256">
        <f t="shared" si="3"/>
        <v>1</v>
      </c>
      <c r="AB37" s="1256">
        <f t="shared" si="4"/>
        <v>1</v>
      </c>
      <c r="AC37" s="1256">
        <f t="shared" si="5"/>
        <v>1</v>
      </c>
    </row>
    <row r="38" spans="1:29" ht="15">
      <c r="A38" s="403" t="s">
        <v>1688</v>
      </c>
      <c r="B38" s="389" t="s">
        <v>1868</v>
      </c>
      <c r="C38" s="593"/>
      <c r="D38" s="399">
        <v>100</v>
      </c>
      <c r="E38" s="593"/>
      <c r="F38" s="399" t="e">
        <f>LOOKUP(E38,116:116,117:117)-LOOKUP(C38,116:116,117:117)+100</f>
        <v>#N/A</v>
      </c>
      <c r="G38" s="593"/>
      <c r="H38" s="399" t="e">
        <f>LOOKUP(G38,116:116,117:117)-LOOKUP(C38,116:116,117:117)+100</f>
        <v>#N/A</v>
      </c>
      <c r="I38" s="456"/>
      <c r="J38" s="399" t="e">
        <f>LOOKUP(I38,116:116,117:117)-LOOKUP(C38,116:116,117:117)+100</f>
        <v>#N/A</v>
      </c>
      <c r="K38" s="533"/>
      <c r="L38" s="2473"/>
      <c r="M38" s="2468"/>
      <c r="N38" s="2468"/>
      <c r="O38" s="2523"/>
      <c r="P38" s="3522"/>
      <c r="Q38" s="1255" t="str">
        <f>B38</f>
        <v>宗地面积</v>
      </c>
      <c r="R38" s="659" t="s">
        <v>14</v>
      </c>
      <c r="S38" s="660" t="e">
        <f t="shared" si="10"/>
        <v>#N/A</v>
      </c>
      <c r="T38" s="659" t="s">
        <v>14</v>
      </c>
      <c r="U38" s="660" t="e">
        <f t="shared" si="11"/>
        <v>#N/A</v>
      </c>
      <c r="V38" s="659" t="s">
        <v>14</v>
      </c>
      <c r="W38" s="660" t="e">
        <f t="shared" si="12"/>
        <v>#N/A</v>
      </c>
      <c r="X38" s="1257"/>
      <c r="Y38" s="3522"/>
      <c r="Z38" s="1256" t="str">
        <f t="shared" si="13"/>
        <v>宗地面积</v>
      </c>
      <c r="AA38" s="1256" t="e">
        <f t="shared" si="3"/>
        <v>#N/A</v>
      </c>
      <c r="AB38" s="1256" t="e">
        <f t="shared" si="4"/>
        <v>#N/A</v>
      </c>
      <c r="AC38" s="1256" t="e">
        <f t="shared" si="5"/>
        <v>#N/A</v>
      </c>
    </row>
    <row r="39" spans="1:29" ht="15">
      <c r="A39" s="403"/>
      <c r="B39" s="358" t="s">
        <v>1869</v>
      </c>
      <c r="C39" s="1752"/>
      <c r="D39" s="368">
        <v>100</v>
      </c>
      <c r="E39" s="1752"/>
      <c r="F39" s="368">
        <f>SUMIF(118:118,E39,119:119)-SUMIF(118:118,C39,119:119)+100</f>
        <v>100</v>
      </c>
      <c r="G39" s="1752"/>
      <c r="H39" s="368">
        <f>SUMIF(118:118,G39,119:119)-SUMIF(118:118,C39,119:119)+100</f>
        <v>100</v>
      </c>
      <c r="I39" s="1752"/>
      <c r="J39" s="368">
        <f>SUMIF(118:118,I39,119:119)-SUMIF(118:118,C39,119:119)+100</f>
        <v>100</v>
      </c>
      <c r="K39" s="532"/>
      <c r="L39" s="2473"/>
      <c r="M39" s="2468"/>
      <c r="N39" s="2468"/>
      <c r="O39" s="2523"/>
      <c r="P39" s="3522"/>
      <c r="Q39" s="1255" t="str">
        <f t="shared" ref="Q39:Q45" si="14">B39</f>
        <v>宗地形状</v>
      </c>
      <c r="R39" s="659" t="s">
        <v>14</v>
      </c>
      <c r="S39" s="660">
        <f t="shared" si="10"/>
        <v>100</v>
      </c>
      <c r="T39" s="659" t="s">
        <v>14</v>
      </c>
      <c r="U39" s="660">
        <f t="shared" si="11"/>
        <v>100</v>
      </c>
      <c r="V39" s="659" t="s">
        <v>14</v>
      </c>
      <c r="W39" s="660">
        <f t="shared" si="12"/>
        <v>100</v>
      </c>
      <c r="X39" s="1257"/>
      <c r="Y39" s="3522"/>
      <c r="Z39" s="1256" t="str">
        <f t="shared" si="13"/>
        <v>宗地形状</v>
      </c>
      <c r="AA39" s="1256">
        <f t="shared" si="3"/>
        <v>1</v>
      </c>
      <c r="AB39" s="1256">
        <f t="shared" si="4"/>
        <v>1</v>
      </c>
      <c r="AC39" s="1256">
        <f t="shared" si="5"/>
        <v>1</v>
      </c>
    </row>
    <row r="40" spans="1:29" ht="15">
      <c r="A40" s="403"/>
      <c r="B40" s="358" t="s">
        <v>1870</v>
      </c>
      <c r="C40" s="1752"/>
      <c r="D40" s="368">
        <v>100</v>
      </c>
      <c r="E40" s="1752"/>
      <c r="F40" s="368">
        <f>SUMIF(120:120,E40,121:121)-SUMIF(120:120,C40,121:121)+100</f>
        <v>100</v>
      </c>
      <c r="G40" s="1752"/>
      <c r="H40" s="368">
        <f>SUMIF(120:120,G40,121:121)-SUMIF(120:120,C40,121:121)+100</f>
        <v>100</v>
      </c>
      <c r="I40" s="1752"/>
      <c r="J40" s="368">
        <f>SUMIF(120:120,I40,121:121)-SUMIF(120:120,C40,121:121)+100</f>
        <v>100</v>
      </c>
      <c r="K40" s="532"/>
      <c r="L40" s="2473"/>
      <c r="M40" s="2468"/>
      <c r="N40" s="2468"/>
      <c r="O40" s="2523"/>
      <c r="P40" s="3522"/>
      <c r="Q40" s="1255" t="str">
        <f t="shared" si="14"/>
        <v>临街宽度及深度</v>
      </c>
      <c r="R40" s="659" t="s">
        <v>14</v>
      </c>
      <c r="S40" s="660">
        <f t="shared" si="10"/>
        <v>100</v>
      </c>
      <c r="T40" s="659" t="s">
        <v>14</v>
      </c>
      <c r="U40" s="660">
        <f t="shared" si="11"/>
        <v>100</v>
      </c>
      <c r="V40" s="659" t="s">
        <v>14</v>
      </c>
      <c r="W40" s="660">
        <f t="shared" si="12"/>
        <v>100</v>
      </c>
      <c r="X40" s="1257"/>
      <c r="Y40" s="3522"/>
      <c r="Z40" s="1256" t="str">
        <f t="shared" si="13"/>
        <v>临街宽度及深度</v>
      </c>
      <c r="AA40" s="1256">
        <f t="shared" si="3"/>
        <v>1</v>
      </c>
      <c r="AB40" s="1256">
        <f t="shared" si="4"/>
        <v>1</v>
      </c>
      <c r="AC40" s="1256">
        <f t="shared" si="5"/>
        <v>1</v>
      </c>
    </row>
    <row r="41" spans="1:29" s="101" customFormat="1" ht="15">
      <c r="A41" s="404"/>
      <c r="B41" s="358" t="s">
        <v>1871</v>
      </c>
      <c r="C41" s="1820"/>
      <c r="D41" s="113">
        <v>100</v>
      </c>
      <c r="E41" s="1820"/>
      <c r="F41" s="368">
        <f>SUMIF(122:122,E41,123:123)-SUMIF(122:122,C41,123:123)+100</f>
        <v>100</v>
      </c>
      <c r="G41" s="1820"/>
      <c r="H41" s="368">
        <f>SUMIF(122:122,G41,123:123)-SUMIF(122:122,C41,123:123)+100</f>
        <v>100</v>
      </c>
      <c r="I41" s="1820"/>
      <c r="J41" s="368">
        <f>SUMIF(122:122,I41,123:123)-SUMIF(122:122,C41,123:123)+100</f>
        <v>100</v>
      </c>
      <c r="K41" s="532"/>
      <c r="L41" s="2469"/>
      <c r="M41" s="2423"/>
      <c r="N41" s="2423"/>
      <c r="O41" s="2521"/>
      <c r="P41" s="3522"/>
      <c r="Q41" s="1255" t="str">
        <f t="shared" si="14"/>
        <v>宗地开发程度</v>
      </c>
      <c r="R41" s="656" t="s">
        <v>14</v>
      </c>
      <c r="S41" s="657">
        <f t="shared" si="10"/>
        <v>100</v>
      </c>
      <c r="T41" s="656" t="s">
        <v>14</v>
      </c>
      <c r="U41" s="657">
        <f t="shared" si="11"/>
        <v>100</v>
      </c>
      <c r="V41" s="656" t="s">
        <v>14</v>
      </c>
      <c r="W41" s="657">
        <f t="shared" si="12"/>
        <v>100</v>
      </c>
      <c r="X41" s="658"/>
      <c r="Y41" s="3522"/>
      <c r="Z41" s="50" t="str">
        <f t="shared" si="13"/>
        <v>宗地开发程度</v>
      </c>
      <c r="AA41" s="50">
        <f t="shared" si="3"/>
        <v>1</v>
      </c>
      <c r="AB41" s="50">
        <f t="shared" si="4"/>
        <v>1</v>
      </c>
      <c r="AC41" s="50">
        <f t="shared" si="5"/>
        <v>1</v>
      </c>
    </row>
    <row r="42" spans="1:29" ht="15">
      <c r="A42" s="403"/>
      <c r="B42" s="358" t="s">
        <v>1872</v>
      </c>
      <c r="C42" s="1752"/>
      <c r="D42" s="368">
        <v>100</v>
      </c>
      <c r="E42" s="1752"/>
      <c r="F42" s="368">
        <f>SUMIF(124:124,E42,125:125)-SUMIF(124:124,C42,125:125)+100</f>
        <v>100</v>
      </c>
      <c r="G42" s="1752"/>
      <c r="H42" s="368">
        <f>SUMIF(124:124,G42,125:125)-SUMIF(124:124,C42,125:125)+100</f>
        <v>100</v>
      </c>
      <c r="I42" s="1752"/>
      <c r="J42" s="368">
        <f>SUMIF(124:124,I42,125:125)-SUMIF(124:124,C42,125:125)+100</f>
        <v>100</v>
      </c>
      <c r="K42" s="532"/>
      <c r="L42" s="2473"/>
      <c r="M42" s="2468"/>
      <c r="N42" s="2468"/>
      <c r="O42" s="2523"/>
      <c r="P42" s="3522" t="s">
        <v>1690</v>
      </c>
      <c r="Q42" s="1255" t="str">
        <f t="shared" si="14"/>
        <v>工程地质条件</v>
      </c>
      <c r="R42" s="659" t="s">
        <v>14</v>
      </c>
      <c r="S42" s="660">
        <f t="shared" si="10"/>
        <v>100</v>
      </c>
      <c r="T42" s="659" t="s">
        <v>14</v>
      </c>
      <c r="U42" s="660">
        <f t="shared" si="11"/>
        <v>100</v>
      </c>
      <c r="V42" s="659" t="s">
        <v>14</v>
      </c>
      <c r="W42" s="660">
        <f t="shared" si="12"/>
        <v>100</v>
      </c>
      <c r="X42" s="1257"/>
      <c r="Y42" s="3522" t="s">
        <v>1690</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73"/>
      <c r="M43" s="2468"/>
      <c r="N43" s="2468"/>
      <c r="O43" s="2523"/>
      <c r="P43" s="3522"/>
      <c r="Q43" s="1255">
        <f t="shared" si="14"/>
        <v>111</v>
      </c>
      <c r="R43" s="659" t="s">
        <v>14</v>
      </c>
      <c r="S43" s="660">
        <f t="shared" si="10"/>
        <v>100</v>
      </c>
      <c r="T43" s="659" t="s">
        <v>14</v>
      </c>
      <c r="U43" s="660">
        <f t="shared" si="11"/>
        <v>100</v>
      </c>
      <c r="V43" s="659" t="s">
        <v>14</v>
      </c>
      <c r="W43" s="660">
        <f t="shared" si="12"/>
        <v>100</v>
      </c>
      <c r="X43" s="1257"/>
      <c r="Y43" s="3522"/>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73"/>
      <c r="M44" s="2468"/>
      <c r="N44" s="2468"/>
      <c r="O44" s="2523"/>
      <c r="P44" s="3522"/>
      <c r="Q44" s="1255">
        <f t="shared" si="14"/>
        <v>111</v>
      </c>
      <c r="R44" s="659" t="s">
        <v>14</v>
      </c>
      <c r="S44" s="660">
        <f t="shared" si="10"/>
        <v>100</v>
      </c>
      <c r="T44" s="659" t="s">
        <v>14</v>
      </c>
      <c r="U44" s="660">
        <f t="shared" si="11"/>
        <v>100</v>
      </c>
      <c r="V44" s="659" t="s">
        <v>14</v>
      </c>
      <c r="W44" s="660">
        <f t="shared" si="12"/>
        <v>100</v>
      </c>
      <c r="X44" s="1257"/>
      <c r="Y44" s="3522"/>
      <c r="Z44" s="1256">
        <f t="shared" si="13"/>
        <v>111</v>
      </c>
      <c r="AA44" s="1256">
        <f t="shared" si="3"/>
        <v>1</v>
      </c>
      <c r="AB44" s="1256">
        <f t="shared" si="4"/>
        <v>1</v>
      </c>
      <c r="AC44" s="1256">
        <f t="shared" si="5"/>
        <v>1</v>
      </c>
    </row>
    <row r="45" spans="1:29" s="402" customFormat="1" ht="15.75" thickBot="1">
      <c r="A45" s="400"/>
      <c r="B45" s="1060">
        <v>111</v>
      </c>
      <c r="C45" s="1821"/>
      <c r="D45" s="594">
        <v>100</v>
      </c>
      <c r="E45" s="588"/>
      <c r="F45" s="371">
        <f>SUMIF(130:130,E45,131:131)-SUMIF(130:130,C45,131:131)+100</f>
        <v>100</v>
      </c>
      <c r="G45" s="588"/>
      <c r="H45" s="371">
        <f>SUMIF(130:130,G45,131:131)-SUMIF(130:130,C45,131:131)+100</f>
        <v>100</v>
      </c>
      <c r="I45" s="588"/>
      <c r="J45" s="371">
        <f>SUMIF(130:130,I45,131:131)-SUMIF(130:130,C45,131:131)+100</f>
        <v>100</v>
      </c>
      <c r="K45" s="595"/>
      <c r="L45" s="2472"/>
      <c r="M45" s="2474"/>
      <c r="N45" s="2474"/>
      <c r="O45" s="2524"/>
      <c r="P45" s="3522"/>
      <c r="Q45" s="1255">
        <f t="shared" si="14"/>
        <v>111</v>
      </c>
      <c r="R45" s="661" t="s">
        <v>14</v>
      </c>
      <c r="S45" s="662">
        <f t="shared" si="10"/>
        <v>100</v>
      </c>
      <c r="T45" s="661" t="s">
        <v>14</v>
      </c>
      <c r="U45" s="662">
        <f t="shared" si="11"/>
        <v>100</v>
      </c>
      <c r="V45" s="661" t="s">
        <v>14</v>
      </c>
      <c r="W45" s="662">
        <f t="shared" si="12"/>
        <v>100</v>
      </c>
      <c r="X45" s="663"/>
      <c r="Y45" s="3522"/>
      <c r="Z45" s="664">
        <f t="shared" si="13"/>
        <v>111</v>
      </c>
      <c r="AA45" s="1256">
        <f t="shared" si="3"/>
        <v>1</v>
      </c>
      <c r="AB45" s="1256">
        <f t="shared" si="4"/>
        <v>1</v>
      </c>
      <c r="AC45" s="1256">
        <f t="shared" si="5"/>
        <v>1</v>
      </c>
    </row>
    <row r="46" spans="1:29" ht="15">
      <c r="A46" s="410" t="s">
        <v>1838</v>
      </c>
      <c r="B46" s="1822" t="s">
        <v>1873</v>
      </c>
      <c r="C46" s="596" t="s">
        <v>0</v>
      </c>
      <c r="D46" s="412"/>
      <c r="E46" s="413"/>
      <c r="F46" s="414"/>
      <c r="G46" s="415"/>
      <c r="H46" s="416"/>
      <c r="I46" s="413"/>
      <c r="J46" s="416"/>
      <c r="K46" s="666"/>
      <c r="L46" s="2475"/>
      <c r="M46" s="2468"/>
      <c r="N46" s="2468"/>
      <c r="O46" s="2468"/>
      <c r="P46" s="3515" t="str">
        <f>A46</f>
        <v>成交单价</v>
      </c>
      <c r="Q46" s="3515"/>
      <c r="R46" s="3516">
        <f>E46</f>
        <v>0</v>
      </c>
      <c r="S46" s="3516"/>
      <c r="T46" s="3516">
        <f>G46</f>
        <v>0</v>
      </c>
      <c r="U46" s="3516"/>
      <c r="V46" s="3516">
        <f>I46</f>
        <v>0</v>
      </c>
      <c r="W46" s="3516"/>
      <c r="X46" s="379"/>
      <c r="Y46" s="665"/>
      <c r="Z46" s="379"/>
      <c r="AA46" s="379"/>
      <c r="AB46" s="379"/>
      <c r="AC46" s="379"/>
    </row>
    <row r="47" spans="1:29" ht="15.75" thickBot="1">
      <c r="A47" s="417" t="s">
        <v>1787</v>
      </c>
      <c r="B47" s="597"/>
      <c r="C47" s="420" t="e">
        <f>R48</f>
        <v>#DIV/0!</v>
      </c>
      <c r="D47" s="2133" t="s">
        <v>2132</v>
      </c>
      <c r="E47" s="420" t="e">
        <f>R47</f>
        <v>#DIV/0!</v>
      </c>
      <c r="F47" s="2134"/>
      <c r="G47" s="419" t="e">
        <f>T47</f>
        <v>#DIV/0!</v>
      </c>
      <c r="H47" s="2134"/>
      <c r="I47" s="420" t="e">
        <f>V47</f>
        <v>#DIV/0!</v>
      </c>
      <c r="J47" s="2134"/>
      <c r="K47" s="2136">
        <f>F47+H47+J47</f>
        <v>0</v>
      </c>
      <c r="L47" s="2475"/>
      <c r="M47" s="2468"/>
      <c r="N47" s="2468"/>
      <c r="O47" s="2468"/>
      <c r="P47" s="3515" t="str">
        <f>A47</f>
        <v>比较价值（元/平方米）</v>
      </c>
      <c r="Q47" s="3515"/>
      <c r="R47" s="3574" t="e">
        <f>ROUND(PRODUCT(R46,AA7:AA45),0)</f>
        <v>#DIV/0!</v>
      </c>
      <c r="S47" s="3574"/>
      <c r="T47" s="3574" t="e">
        <f>ROUND(PRODUCT(T46,AB7:AB45),0)</f>
        <v>#DIV/0!</v>
      </c>
      <c r="U47" s="3574"/>
      <c r="V47" s="3574" t="e">
        <f>ROUND(PRODUCT(V46,AC7:AC45),0)</f>
        <v>#DIV/0!</v>
      </c>
      <c r="W47" s="3574"/>
      <c r="X47" s="379"/>
      <c r="Y47" s="379"/>
      <c r="Z47" s="379"/>
      <c r="AA47" s="379"/>
      <c r="AB47" s="379"/>
      <c r="AC47" s="379"/>
    </row>
    <row r="48" spans="1:29" ht="15.75" thickBot="1">
      <c r="A48" s="421" t="s">
        <v>1874</v>
      </c>
      <c r="B48" s="422"/>
      <c r="C48" s="423" t="e">
        <f>R48</f>
        <v>#DIV/0!</v>
      </c>
      <c r="D48" s="423"/>
      <c r="E48" s="423"/>
      <c r="F48" s="423"/>
      <c r="G48" s="423"/>
      <c r="H48" s="423"/>
      <c r="I48" s="423"/>
      <c r="J48" s="423"/>
      <c r="K48" s="667"/>
      <c r="L48" s="2475"/>
      <c r="M48" s="2468"/>
      <c r="N48" s="2468"/>
      <c r="O48" s="2468"/>
      <c r="P48" s="3512" t="str">
        <f>A48</f>
        <v>估价对象XX用房的比较价值（楼面单价，元/平方米）</v>
      </c>
      <c r="Q48" s="3513"/>
      <c r="R48" s="3575" t="e">
        <f>ROUND(IF(D47="简单平均",AVERAGE(R47:W47),R47*F47+T47*H47+V47*J47),0)</f>
        <v>#DIV/0!</v>
      </c>
      <c r="S48" s="3575"/>
      <c r="T48" s="3575"/>
      <c r="U48" s="3575"/>
      <c r="V48" s="3575"/>
      <c r="W48" s="3575"/>
      <c r="X48" s="379"/>
      <c r="Y48" s="379"/>
      <c r="Z48" s="379"/>
      <c r="AA48" s="379"/>
      <c r="AB48" s="379"/>
      <c r="AC48" s="379"/>
    </row>
    <row r="49" spans="1:29">
      <c r="A49" s="2468"/>
      <c r="B49" s="2468"/>
      <c r="C49" s="2468"/>
      <c r="D49" s="2468"/>
      <c r="E49" s="2468"/>
      <c r="F49" s="2468"/>
      <c r="G49" s="2479"/>
      <c r="H49" s="2468"/>
      <c r="I49" s="2468"/>
      <c r="J49" s="2468"/>
      <c r="K49" s="2480"/>
      <c r="L49" s="2476"/>
      <c r="M49" s="2468"/>
      <c r="N49" s="2468"/>
      <c r="O49" s="2468"/>
      <c r="P49" s="2468"/>
      <c r="Q49" s="2468"/>
      <c r="R49" s="2468"/>
      <c r="S49" s="2468"/>
      <c r="T49" s="2468"/>
      <c r="U49" s="2468"/>
      <c r="V49" s="2468"/>
      <c r="W49" s="2468"/>
      <c r="X49" s="2468"/>
      <c r="Y49" s="2468"/>
      <c r="Z49" s="2468"/>
      <c r="AA49" s="2468"/>
      <c r="AB49" s="2468"/>
      <c r="AC49" s="2468"/>
    </row>
    <row r="50" spans="1:29">
      <c r="A50" s="2468"/>
      <c r="B50" s="2468"/>
      <c r="C50" s="2468"/>
      <c r="D50" s="2468"/>
      <c r="E50" s="2468"/>
      <c r="F50" s="2468"/>
      <c r="G50" s="2468"/>
      <c r="H50" s="2468"/>
      <c r="I50" s="2468"/>
      <c r="J50" s="2468"/>
      <c r="K50" s="2480"/>
      <c r="L50" s="2476"/>
      <c r="M50" s="2468"/>
      <c r="N50" s="2468"/>
      <c r="O50" s="2468"/>
      <c r="P50" s="2468"/>
      <c r="Q50" s="2468"/>
      <c r="R50" s="2468"/>
      <c r="S50" s="2468"/>
      <c r="T50" s="2468"/>
      <c r="U50" s="2468"/>
      <c r="V50" s="2468"/>
      <c r="W50" s="2468"/>
      <c r="X50" s="2468"/>
      <c r="Y50" s="2468"/>
      <c r="Z50" s="2468"/>
      <c r="AA50" s="2468"/>
      <c r="AB50" s="2468"/>
      <c r="AC50" s="2468"/>
    </row>
    <row r="51" spans="1:29" ht="13.5" customHeight="1">
      <c r="A51" s="2468"/>
      <c r="B51" s="2468"/>
      <c r="C51" s="426" t="s">
        <v>1789</v>
      </c>
      <c r="D51" s="427"/>
      <c r="E51" s="428" t="e">
        <f>IF(E46&lt;E47,E47/E46-1,E46/E47-1)</f>
        <v>#DIV/0!</v>
      </c>
      <c r="F51" s="429" t="e">
        <f>IF(OR(E51&gt;=0.3,E51&lt;=-0.3),"超过30%","")</f>
        <v>#DIV/0!</v>
      </c>
      <c r="G51" s="428" t="e">
        <f>IF(G46&lt;G47,G47/G46-1,G46/G47-1)</f>
        <v>#DIV/0!</v>
      </c>
      <c r="H51" s="429" t="e">
        <f>IF(OR(G51&gt;=0.3,G51&lt;=-0.3),"超过30%","")</f>
        <v>#DIV/0!</v>
      </c>
      <c r="I51" s="428" t="e">
        <f>IF(I46&lt;I47,I47/I46-1,I46/I47-1)</f>
        <v>#DIV/0!</v>
      </c>
      <c r="J51" s="429" t="e">
        <f>IF(OR(I51&gt;=0.3,I51&lt;=-0.3),"超过30%","")</f>
        <v>#DIV/0!</v>
      </c>
      <c r="K51" s="2480"/>
      <c r="L51" s="2476"/>
      <c r="M51" s="2468"/>
      <c r="N51" s="2468"/>
      <c r="O51" s="2468"/>
      <c r="P51" s="2468"/>
      <c r="Q51" s="2468"/>
      <c r="R51" s="2468"/>
      <c r="S51" s="2468"/>
      <c r="T51" s="2468"/>
      <c r="U51" s="2468"/>
      <c r="V51" s="2468"/>
      <c r="W51" s="2468"/>
      <c r="X51" s="2468"/>
      <c r="Y51" s="2468"/>
      <c r="Z51" s="2468"/>
      <c r="AA51" s="2468"/>
      <c r="AB51" s="2468"/>
      <c r="AC51" s="2468"/>
    </row>
    <row r="52" spans="1:29" ht="13.5" customHeight="1">
      <c r="A52" s="2468"/>
      <c r="B52" s="2468"/>
      <c r="C52" s="426" t="s">
        <v>1790</v>
      </c>
      <c r="D52" s="430"/>
      <c r="E52" s="428" t="e">
        <f>IF(E47&lt;G47,G47/E47-1,E47/G47-1)</f>
        <v>#DIV/0!</v>
      </c>
      <c r="F52" s="429" t="e">
        <f>IF(OR(E52&gt;=0.2,E52&lt;=-0.2),"超过20%","")</f>
        <v>#DIV/0!</v>
      </c>
      <c r="G52" s="428" t="e">
        <f>IF(G47&lt;I47,I47/G47-1,G47/I47-1)</f>
        <v>#DIV/0!</v>
      </c>
      <c r="H52" s="429" t="e">
        <f>IF(OR(G52&gt;=0.2,G52&lt;=-0.2),"超过20%","")</f>
        <v>#DIV/0!</v>
      </c>
      <c r="I52" s="428" t="e">
        <f>IF(I47&lt;E47,E47/I47-1,I47/E47-1)</f>
        <v>#DIV/0!</v>
      </c>
      <c r="J52" s="429" t="e">
        <f>IF(OR(I52&gt;=0.2,I52&lt;=-0.2),"超过20%","")</f>
        <v>#DIV/0!</v>
      </c>
      <c r="K52" s="2480"/>
      <c r="L52" s="2476"/>
      <c r="M52" s="2468"/>
      <c r="N52" s="2468"/>
      <c r="O52" s="2468"/>
      <c r="P52" s="2468"/>
      <c r="Q52" s="2468"/>
      <c r="R52" s="2468"/>
      <c r="S52" s="2468"/>
      <c r="T52" s="2468"/>
      <c r="U52" s="2468"/>
      <c r="V52" s="2468"/>
      <c r="W52" s="2468"/>
      <c r="X52" s="2468"/>
      <c r="Y52" s="2468"/>
      <c r="Z52" s="2468"/>
      <c r="AA52" s="2468"/>
      <c r="AB52" s="2468"/>
      <c r="AC52" s="2468"/>
    </row>
    <row r="53" spans="1:29" s="431" customFormat="1" ht="13.5" customHeight="1">
      <c r="A53" s="2478"/>
      <c r="B53" s="2478"/>
      <c r="C53" s="426" t="s">
        <v>1791</v>
      </c>
      <c r="D53" s="430"/>
      <c r="E53" s="428" t="e">
        <f>IF(E46&lt;G46,G46/E46-1,E46/G46-1)</f>
        <v>#DIV/0!</v>
      </c>
      <c r="F53" s="429" t="e">
        <f>IF(OR(E53&gt;=0.3,E53&lt;=-0.3),"超过30%","")</f>
        <v>#DIV/0!</v>
      </c>
      <c r="G53" s="428" t="e">
        <f>IF(G46&lt;I46,I46/G46-1,G46/I46-1)</f>
        <v>#DIV/0!</v>
      </c>
      <c r="H53" s="429" t="e">
        <f>IF(OR(G53&gt;=0.3,G53&lt;=-0.3),"超过30%","")</f>
        <v>#DIV/0!</v>
      </c>
      <c r="I53" s="428" t="e">
        <f>IF(I46&lt;E46,E46/I46-1,I46/E46-1)</f>
        <v>#DIV/0!</v>
      </c>
      <c r="J53" s="429" t="e">
        <f>IF(OR(I53&gt;=0.3,I53&lt;=-0.3),"超过30%","")</f>
        <v>#DIV/0!</v>
      </c>
      <c r="K53" s="2483"/>
      <c r="L53" s="2477"/>
      <c r="M53" s="2478"/>
      <c r="N53" s="2478"/>
      <c r="O53" s="2478"/>
      <c r="P53" s="2478"/>
      <c r="Q53" s="2478"/>
      <c r="R53" s="2478"/>
      <c r="S53" s="2478"/>
      <c r="T53" s="2478"/>
      <c r="U53" s="2478"/>
      <c r="V53" s="2478"/>
      <c r="W53" s="2478"/>
      <c r="X53" s="2478"/>
      <c r="Y53" s="2478"/>
      <c r="Z53" s="2478"/>
      <c r="AA53" s="2478"/>
      <c r="AB53" s="2478"/>
      <c r="AC53" s="2478"/>
    </row>
    <row r="54" spans="1:29" s="431" customFormat="1" ht="15" thickBot="1">
      <c r="A54" s="2478"/>
      <c r="B54" s="2481"/>
      <c r="C54" s="649"/>
      <c r="D54" s="647"/>
      <c r="E54" s="647"/>
      <c r="F54" s="647"/>
      <c r="G54" s="647"/>
      <c r="H54" s="647"/>
      <c r="I54" s="647"/>
      <c r="J54" s="647"/>
      <c r="K54" s="2483"/>
      <c r="L54" s="2477"/>
      <c r="M54" s="2478"/>
      <c r="N54" s="2478"/>
      <c r="O54" s="2478"/>
      <c r="P54" s="2478"/>
      <c r="Q54" s="2478"/>
      <c r="R54" s="2478"/>
      <c r="S54" s="2478"/>
      <c r="T54" s="2478"/>
      <c r="U54" s="2478"/>
      <c r="V54" s="2478"/>
      <c r="W54" s="2478"/>
      <c r="X54" s="2478"/>
      <c r="Y54" s="2478"/>
      <c r="Z54" s="2478"/>
      <c r="AA54" s="2478"/>
      <c r="AB54" s="2478"/>
      <c r="AC54" s="2478"/>
    </row>
    <row r="55" spans="1:29" ht="27" customHeight="1">
      <c r="A55" s="598" t="s">
        <v>1875</v>
      </c>
      <c r="B55" s="599" t="s">
        <v>1876</v>
      </c>
      <c r="C55" s="1823" t="s">
        <v>1877</v>
      </c>
      <c r="D55" s="1824" t="s">
        <v>1878</v>
      </c>
      <c r="E55" s="600" t="s">
        <v>1879</v>
      </c>
      <c r="F55" s="830" t="s">
        <v>1880</v>
      </c>
      <c r="G55" s="3530" t="s">
        <v>1881</v>
      </c>
      <c r="H55" s="3576"/>
      <c r="I55" s="121" t="s">
        <v>1882</v>
      </c>
      <c r="J55" s="1825">
        <f>项目基本情况!F35</f>
        <v>0</v>
      </c>
      <c r="K55" s="1826" t="s">
        <v>1883</v>
      </c>
      <c r="L55" s="2476"/>
      <c r="M55" s="2468"/>
      <c r="N55" s="2468"/>
      <c r="O55" s="2468"/>
      <c r="P55" s="2468"/>
      <c r="Q55" s="2468"/>
      <c r="R55" s="2468"/>
      <c r="S55" s="2468"/>
      <c r="T55" s="2468"/>
      <c r="U55" s="2468"/>
      <c r="V55" s="2468"/>
      <c r="W55" s="2468"/>
      <c r="X55" s="2468"/>
      <c r="Y55" s="2468"/>
      <c r="Z55" s="2468"/>
      <c r="AA55" s="2468"/>
      <c r="AB55" s="2468"/>
      <c r="AC55" s="2468"/>
    </row>
    <row r="56" spans="1:29" s="606" customFormat="1">
      <c r="A56" s="602" t="s">
        <v>1884</v>
      </c>
      <c r="B56" s="603" t="e">
        <f>C48</f>
        <v>#DIV/0!</v>
      </c>
      <c r="C56" s="604">
        <v>1</v>
      </c>
      <c r="D56" s="883">
        <v>1</v>
      </c>
      <c r="E56" s="604">
        <f>'数据-汇总表'!E8+'数据-汇总表'!E9</f>
        <v>0</v>
      </c>
      <c r="F56" s="826" t="e">
        <f t="shared" ref="F56:F64" si="15">ROUND(B56*E56/10000,0)</f>
        <v>#DIV/0!</v>
      </c>
      <c r="G56" s="3526"/>
      <c r="H56" s="3515"/>
      <c r="I56" s="831">
        <v>1</v>
      </c>
      <c r="J56" s="834">
        <v>1</v>
      </c>
      <c r="K56" s="2478"/>
      <c r="L56" s="2527"/>
      <c r="M56" s="2527"/>
      <c r="N56" s="2527"/>
      <c r="O56" s="2527"/>
      <c r="P56" s="2527"/>
      <c r="Q56" s="2527"/>
      <c r="R56" s="2527"/>
      <c r="S56" s="2527"/>
      <c r="T56" s="2527"/>
      <c r="U56" s="2527"/>
      <c r="V56" s="2527"/>
      <c r="W56" s="2527"/>
      <c r="X56" s="2527"/>
      <c r="Y56" s="2527"/>
      <c r="Z56" s="2527"/>
      <c r="AA56" s="2527"/>
      <c r="AB56" s="2527"/>
      <c r="AC56" s="2527"/>
    </row>
    <row r="57" spans="1:29" s="606" customFormat="1">
      <c r="A57" s="607" t="s">
        <v>1885</v>
      </c>
      <c r="B57" s="204" t="e">
        <f>ROUND($C$48*C57*D57,0)</f>
        <v>#DIV/0!</v>
      </c>
      <c r="C57" s="157">
        <f t="shared" ref="C57:C64" si="16">IF($C$55="北京市系数",I57,J57)</f>
        <v>0.6</v>
      </c>
      <c r="D57" s="884">
        <v>0.25</v>
      </c>
      <c r="E57" s="608"/>
      <c r="F57" s="826" t="e">
        <f t="shared" si="15"/>
        <v>#DIV/0!</v>
      </c>
      <c r="G57" s="2731" t="s">
        <v>1886</v>
      </c>
      <c r="H57" s="827" t="str">
        <f>项目基本情况!B37</f>
        <v>五级</v>
      </c>
      <c r="I57" s="831">
        <f>SUMIF(修正!A57:A68,H57,修正!B57:B68)</f>
        <v>0.6</v>
      </c>
      <c r="J57" s="835"/>
      <c r="K57" s="2468"/>
      <c r="L57" s="2527"/>
      <c r="M57" s="2527"/>
      <c r="N57" s="2527"/>
      <c r="O57" s="2527"/>
      <c r="P57" s="2527"/>
      <c r="Q57" s="2527"/>
      <c r="R57" s="2527"/>
      <c r="S57" s="2527"/>
      <c r="T57" s="2527"/>
      <c r="U57" s="2527"/>
      <c r="V57" s="2527"/>
      <c r="W57" s="2527"/>
      <c r="X57" s="2527"/>
      <c r="Y57" s="2527"/>
      <c r="Z57" s="2527"/>
      <c r="AA57" s="2527"/>
      <c r="AB57" s="2527"/>
      <c r="AC57" s="2527"/>
    </row>
    <row r="58" spans="1:29" s="606" customFormat="1">
      <c r="A58" s="607" t="s">
        <v>1887</v>
      </c>
      <c r="B58" s="204" t="e">
        <f t="shared" ref="B58:B64" si="17">ROUND($C$48*C58*D58,0)</f>
        <v>#DIV/0!</v>
      </c>
      <c r="C58" s="157">
        <f t="shared" si="16"/>
        <v>0.3</v>
      </c>
      <c r="D58" s="884">
        <v>0.25</v>
      </c>
      <c r="E58" s="608"/>
      <c r="F58" s="826" t="e">
        <f t="shared" si="15"/>
        <v>#DIV/0!</v>
      </c>
      <c r="G58" s="2732"/>
      <c r="H58" s="827" t="str">
        <f>项目基本情况!B37</f>
        <v>五级</v>
      </c>
      <c r="I58" s="831">
        <f>SUMIF(修正!A57:A68,H58,修正!C57:C68)</f>
        <v>0.3</v>
      </c>
      <c r="J58" s="835"/>
      <c r="K58" s="2478"/>
      <c r="L58" s="2527"/>
      <c r="M58" s="2527"/>
      <c r="N58" s="2527"/>
      <c r="O58" s="2527"/>
      <c r="P58" s="2527"/>
      <c r="Q58" s="2527"/>
      <c r="R58" s="2527"/>
      <c r="S58" s="2527"/>
      <c r="T58" s="2527"/>
      <c r="U58" s="2527"/>
      <c r="V58" s="2527"/>
      <c r="W58" s="2527"/>
      <c r="X58" s="2527"/>
      <c r="Y58" s="2527"/>
      <c r="Z58" s="2527"/>
      <c r="AA58" s="2527"/>
      <c r="AB58" s="2527"/>
      <c r="AC58" s="2527"/>
    </row>
    <row r="59" spans="1:29" s="606" customFormat="1">
      <c r="A59" s="607" t="s">
        <v>1888</v>
      </c>
      <c r="B59" s="204" t="e">
        <f t="shared" si="17"/>
        <v>#DIV/0!</v>
      </c>
      <c r="C59" s="157">
        <f t="shared" si="16"/>
        <v>0.25</v>
      </c>
      <c r="D59" s="884">
        <v>0.25</v>
      </c>
      <c r="E59" s="608"/>
      <c r="F59" s="826" t="e">
        <f t="shared" si="15"/>
        <v>#DIV/0!</v>
      </c>
      <c r="G59" s="2732"/>
      <c r="H59" s="827" t="str">
        <f>项目基本情况!B37</f>
        <v>五级</v>
      </c>
      <c r="I59" s="831">
        <f>SUMIF(修正!A57:A68,H59,修正!D57:D68)</f>
        <v>0.25</v>
      </c>
      <c r="J59" s="835"/>
      <c r="K59" s="2468"/>
      <c r="L59" s="2527"/>
      <c r="M59" s="2527"/>
      <c r="N59" s="2527"/>
      <c r="O59" s="2527"/>
      <c r="P59" s="2527"/>
      <c r="Q59" s="2527"/>
      <c r="R59" s="2527"/>
      <c r="S59" s="2527"/>
      <c r="T59" s="2527"/>
      <c r="U59" s="2527"/>
      <c r="V59" s="2527"/>
      <c r="W59" s="2527"/>
      <c r="X59" s="2527"/>
      <c r="Y59" s="2527"/>
      <c r="Z59" s="2527"/>
      <c r="AA59" s="2527"/>
      <c r="AB59" s="2527"/>
      <c r="AC59" s="2527"/>
    </row>
    <row r="60" spans="1:29" s="606" customFormat="1">
      <c r="A60" s="607" t="s">
        <v>1889</v>
      </c>
      <c r="B60" s="204" t="e">
        <f t="shared" si="17"/>
        <v>#DIV/0!</v>
      </c>
      <c r="C60" s="157">
        <f t="shared" si="16"/>
        <v>0</v>
      </c>
      <c r="D60" s="884">
        <v>0.25</v>
      </c>
      <c r="E60" s="203">
        <f>'数据-汇总表'!E11</f>
        <v>0</v>
      </c>
      <c r="F60" s="826" t="e">
        <f t="shared" si="15"/>
        <v>#DIV/0!</v>
      </c>
      <c r="G60" s="1827" t="s">
        <v>1890</v>
      </c>
      <c r="H60" s="827">
        <f>项目基本情况!C37</f>
        <v>0</v>
      </c>
      <c r="I60" s="831">
        <f>SUMIF(修正!A57:A68,H60,修正!E57:E68)</f>
        <v>0</v>
      </c>
      <c r="J60" s="835"/>
      <c r="K60" s="2468"/>
      <c r="L60" s="2527"/>
      <c r="M60" s="2527"/>
      <c r="N60" s="2527"/>
      <c r="O60" s="2527"/>
      <c r="P60" s="2527"/>
      <c r="Q60" s="2527"/>
      <c r="R60" s="2527"/>
      <c r="S60" s="2527"/>
      <c r="T60" s="2527"/>
      <c r="U60" s="2527"/>
      <c r="V60" s="2527"/>
      <c r="W60" s="2527"/>
      <c r="X60" s="2527"/>
      <c r="Y60" s="2527"/>
      <c r="Z60" s="2527"/>
      <c r="AA60" s="2527"/>
      <c r="AB60" s="2527"/>
      <c r="AC60" s="2527"/>
    </row>
    <row r="61" spans="1:29" s="606" customFormat="1">
      <c r="A61" s="607" t="s">
        <v>1891</v>
      </c>
      <c r="B61" s="204" t="e">
        <f t="shared" si="17"/>
        <v>#DIV/0!</v>
      </c>
      <c r="C61" s="157">
        <f t="shared" si="16"/>
        <v>0</v>
      </c>
      <c r="D61" s="884">
        <v>0.25</v>
      </c>
      <c r="E61" s="203">
        <f>'数据-汇总表'!E12</f>
        <v>0</v>
      </c>
      <c r="F61" s="826" t="e">
        <f t="shared" si="15"/>
        <v>#DIV/0!</v>
      </c>
      <c r="G61" s="832" t="s">
        <v>1892</v>
      </c>
      <c r="H61" s="827">
        <f>IF(G61="商业",项目基本情况!B37,IF(G61="办公",项目基本情况!C37,IF(G61="住宅",项目基本情况!D37,项目基本情况!E37)))</f>
        <v>0</v>
      </c>
      <c r="I61" s="831">
        <f>SUMIF(修正!A57:A68,H61,修正!F57:F68)</f>
        <v>0</v>
      </c>
      <c r="J61" s="835"/>
      <c r="K61" s="2478"/>
      <c r="L61" s="2527"/>
      <c r="M61" s="2527"/>
      <c r="N61" s="2527"/>
      <c r="O61" s="2527"/>
      <c r="P61" s="2527"/>
      <c r="Q61" s="2527"/>
      <c r="R61" s="2527"/>
      <c r="S61" s="2527"/>
      <c r="T61" s="2527"/>
      <c r="U61" s="2527"/>
      <c r="V61" s="2527"/>
      <c r="W61" s="2527"/>
      <c r="X61" s="2527"/>
      <c r="Y61" s="2527"/>
      <c r="Z61" s="2527"/>
      <c r="AA61" s="2527"/>
      <c r="AB61" s="2527"/>
      <c r="AC61" s="2527"/>
    </row>
    <row r="62" spans="1:29" s="606" customFormat="1">
      <c r="A62" s="607" t="s">
        <v>1893</v>
      </c>
      <c r="B62" s="204" t="e">
        <f t="shared" si="17"/>
        <v>#DIV/0!</v>
      </c>
      <c r="C62" s="157">
        <f t="shared" si="16"/>
        <v>0</v>
      </c>
      <c r="D62" s="884">
        <v>0.25</v>
      </c>
      <c r="E62" s="203">
        <f>'数据-汇总表'!E13</f>
        <v>0</v>
      </c>
      <c r="F62" s="826" t="e">
        <f t="shared" si="15"/>
        <v>#DIV/0!</v>
      </c>
      <c r="G62" s="832" t="s">
        <v>1894</v>
      </c>
      <c r="H62" s="827">
        <f>IF(G62="商业",项目基本情况!B37,IF(G62="办公",项目基本情况!C37,IF(G62="住宅",项目基本情况!D37,项目基本情况!E37)))</f>
        <v>0</v>
      </c>
      <c r="I62" s="831">
        <f>SUMIF(修正!A57:A68,H62,修正!G57:G68)</f>
        <v>0</v>
      </c>
      <c r="J62" s="835"/>
      <c r="K62" s="2468"/>
      <c r="L62" s="2527"/>
      <c r="M62" s="2527"/>
      <c r="N62" s="2527"/>
      <c r="O62" s="2527"/>
      <c r="P62" s="2527"/>
      <c r="Q62" s="2527"/>
      <c r="R62" s="2527"/>
      <c r="S62" s="2527"/>
      <c r="T62" s="2527"/>
      <c r="U62" s="2527"/>
      <c r="V62" s="2527"/>
      <c r="W62" s="2527"/>
      <c r="X62" s="2527"/>
      <c r="Y62" s="2527"/>
      <c r="Z62" s="2527"/>
      <c r="AA62" s="2527"/>
      <c r="AB62" s="2527"/>
      <c r="AC62" s="2527"/>
    </row>
    <row r="63" spans="1:29" s="606" customFormat="1">
      <c r="A63" s="607" t="s">
        <v>1895</v>
      </c>
      <c r="B63" s="204" t="e">
        <f t="shared" si="17"/>
        <v>#DIV/0!</v>
      </c>
      <c r="C63" s="157">
        <f t="shared" si="16"/>
        <v>0.15</v>
      </c>
      <c r="D63" s="884">
        <v>0.25</v>
      </c>
      <c r="E63" s="203">
        <f>'数据-汇总表'!E14</f>
        <v>0</v>
      </c>
      <c r="F63" s="826" t="e">
        <f t="shared" si="15"/>
        <v>#DIV/0!</v>
      </c>
      <c r="G63" s="1827" t="s">
        <v>1886</v>
      </c>
      <c r="H63" s="827" t="str">
        <f>项目基本情况!B37</f>
        <v>五级</v>
      </c>
      <c r="I63" s="831">
        <f>SUMIF(修正!A57:A68,H63,修正!G57:G68)</f>
        <v>0.15</v>
      </c>
      <c r="J63" s="835"/>
      <c r="K63" s="2478"/>
      <c r="L63" s="2527"/>
      <c r="M63" s="2527"/>
      <c r="N63" s="2527"/>
      <c r="O63" s="2527"/>
      <c r="P63" s="2527"/>
      <c r="Q63" s="2527"/>
      <c r="R63" s="2527"/>
      <c r="S63" s="2527"/>
      <c r="T63" s="2527"/>
      <c r="U63" s="2527"/>
      <c r="V63" s="2527"/>
      <c r="W63" s="2527"/>
      <c r="X63" s="2527"/>
      <c r="Y63" s="2527"/>
      <c r="Z63" s="2527"/>
      <c r="AA63" s="2527"/>
      <c r="AB63" s="2527"/>
      <c r="AC63" s="2527"/>
    </row>
    <row r="64" spans="1:29" s="606" customFormat="1" ht="15" thickBot="1">
      <c r="A64" s="607" t="s">
        <v>1896</v>
      </c>
      <c r="B64" s="204" t="e">
        <f t="shared" si="17"/>
        <v>#DIV/0!</v>
      </c>
      <c r="C64" s="157">
        <f t="shared" si="16"/>
        <v>0</v>
      </c>
      <c r="D64" s="884">
        <v>0.25</v>
      </c>
      <c r="E64" s="203">
        <f>'数据-汇总表'!E15</f>
        <v>0</v>
      </c>
      <c r="F64" s="826" t="e">
        <f t="shared" si="15"/>
        <v>#DIV/0!</v>
      </c>
      <c r="G64" s="1828" t="s">
        <v>1890</v>
      </c>
      <c r="H64" s="837">
        <f>项目基本情况!C37</f>
        <v>0</v>
      </c>
      <c r="I64" s="833">
        <f>SUMIF(修正!A57:A68,H64,修正!G57:G68)</f>
        <v>0</v>
      </c>
      <c r="J64" s="836"/>
      <c r="K64" s="2468"/>
      <c r="L64" s="2527"/>
      <c r="M64" s="2527"/>
      <c r="N64" s="2527"/>
      <c r="O64" s="2527"/>
      <c r="P64" s="2527"/>
      <c r="Q64" s="2527"/>
      <c r="R64" s="2527"/>
      <c r="S64" s="2527"/>
      <c r="T64" s="2527"/>
      <c r="U64" s="2527"/>
      <c r="V64" s="2527"/>
      <c r="W64" s="2527"/>
      <c r="X64" s="2527"/>
      <c r="Y64" s="2527"/>
      <c r="Z64" s="2527"/>
      <c r="AA64" s="2527"/>
      <c r="AB64" s="2527"/>
      <c r="AC64" s="2527"/>
    </row>
    <row r="65" spans="1:29" s="606" customFormat="1" ht="13.5" thickBot="1">
      <c r="A65" s="609" t="s">
        <v>1897</v>
      </c>
      <c r="B65" s="610" t="s">
        <v>22</v>
      </c>
      <c r="C65" s="610" t="s">
        <v>23</v>
      </c>
      <c r="D65" s="610" t="s">
        <v>392</v>
      </c>
      <c r="E65" s="610">
        <f>IF(B46="楼面地价",SUM(E56:E64),'数据-汇总表'!D3)</f>
        <v>0</v>
      </c>
      <c r="F65" s="611" t="e">
        <f>IF(B46="楼面地价",SUM(F56:F64),ROUND(C48*E65/10000,0))</f>
        <v>#DIV/0!</v>
      </c>
      <c r="G65" s="669"/>
      <c r="H65" s="669"/>
      <c r="I65" s="669"/>
      <c r="J65" s="669"/>
      <c r="K65" s="2528"/>
      <c r="L65" s="2527"/>
      <c r="M65" s="2527"/>
      <c r="N65" s="2527"/>
      <c r="O65" s="2527"/>
      <c r="P65" s="2527"/>
      <c r="Q65" s="2527"/>
      <c r="R65" s="2527"/>
      <c r="S65" s="2527"/>
      <c r="T65" s="2527"/>
      <c r="U65" s="2527"/>
      <c r="V65" s="2527"/>
      <c r="W65" s="2527"/>
      <c r="X65" s="2527"/>
      <c r="Y65" s="2527"/>
      <c r="Z65" s="2527"/>
      <c r="AA65" s="2527"/>
      <c r="AB65" s="2527"/>
      <c r="AC65" s="2527"/>
    </row>
    <row r="66" spans="1:29">
      <c r="A66" s="379"/>
      <c r="B66" s="648"/>
      <c r="C66" s="649"/>
      <c r="D66" s="379"/>
      <c r="E66" s="379"/>
      <c r="F66" s="379"/>
      <c r="G66" s="379"/>
      <c r="H66" s="379"/>
      <c r="I66" s="379"/>
      <c r="J66" s="854"/>
      <c r="K66" s="828"/>
      <c r="L66" s="829"/>
      <c r="M66" s="854"/>
      <c r="N66" s="854"/>
      <c r="O66" s="854"/>
      <c r="P66" s="2468"/>
      <c r="Q66" s="2468"/>
      <c r="R66" s="2468"/>
      <c r="S66" s="2468"/>
      <c r="T66" s="2468"/>
      <c r="U66" s="2468"/>
      <c r="V66" s="2468"/>
      <c r="W66" s="2468"/>
      <c r="X66" s="2468"/>
      <c r="Y66" s="2468"/>
      <c r="Z66" s="2468"/>
      <c r="AA66" s="2468"/>
      <c r="AB66" s="2468"/>
      <c r="AC66" s="2468"/>
    </row>
    <row r="67" spans="1:29">
      <c r="A67" s="379"/>
      <c r="B67" s="648"/>
      <c r="C67" s="648" t="str">
        <f>YEAR(C7)&amp;"-"&amp;MONTH(C7)&amp;"-1"</f>
        <v>2024-5-1</v>
      </c>
      <c r="D67" s="648">
        <f>EDATE(C67,-3)</f>
        <v>45323</v>
      </c>
      <c r="E67" s="648">
        <f>EDATE(D67,-3)</f>
        <v>45231</v>
      </c>
      <c r="F67" s="648">
        <f t="shared" ref="F67:O67" si="18">EDATE(E67,-3)</f>
        <v>45139</v>
      </c>
      <c r="G67" s="648">
        <f t="shared" si="18"/>
        <v>45047</v>
      </c>
      <c r="H67" s="648">
        <f t="shared" si="18"/>
        <v>44958</v>
      </c>
      <c r="I67" s="648">
        <f t="shared" si="18"/>
        <v>44866</v>
      </c>
      <c r="J67" s="648">
        <f t="shared" si="18"/>
        <v>44774</v>
      </c>
      <c r="K67" s="648">
        <f t="shared" si="18"/>
        <v>44682</v>
      </c>
      <c r="L67" s="648">
        <f t="shared" si="18"/>
        <v>44593</v>
      </c>
      <c r="M67" s="648">
        <f t="shared" si="18"/>
        <v>44501</v>
      </c>
      <c r="N67" s="648">
        <f t="shared" si="18"/>
        <v>44409</v>
      </c>
      <c r="O67" s="648">
        <f t="shared" si="18"/>
        <v>44317</v>
      </c>
      <c r="P67" s="2468"/>
      <c r="Q67" s="2468"/>
      <c r="R67" s="2468"/>
      <c r="S67" s="2468"/>
      <c r="T67" s="2468"/>
      <c r="U67" s="2468"/>
      <c r="V67" s="2468"/>
      <c r="W67" s="2468"/>
      <c r="X67" s="2468"/>
      <c r="Y67" s="2468"/>
      <c r="Z67" s="2468"/>
      <c r="AA67" s="2468"/>
      <c r="AB67" s="2468"/>
      <c r="AC67" s="2468"/>
    </row>
    <row r="68" spans="1:29" ht="21.75" thickBot="1">
      <c r="A68" s="650" t="s">
        <v>1792</v>
      </c>
      <c r="B68" s="379"/>
      <c r="C68" s="651"/>
      <c r="D68" s="651"/>
      <c r="E68" s="651"/>
      <c r="F68" s="652"/>
      <c r="G68" s="652"/>
      <c r="H68" s="651"/>
      <c r="I68" s="651"/>
      <c r="J68" s="879"/>
      <c r="K68" s="880"/>
      <c r="L68" s="881"/>
      <c r="M68" s="879"/>
      <c r="N68" s="2518"/>
      <c r="O68" s="2518"/>
      <c r="P68" s="2518"/>
      <c r="Q68" s="2489"/>
      <c r="R68" s="2468"/>
      <c r="S68" s="2468"/>
      <c r="T68" s="2468"/>
      <c r="U68" s="2468"/>
      <c r="V68" s="2468"/>
      <c r="W68" s="2468"/>
      <c r="X68" s="2468"/>
      <c r="Y68" s="2468"/>
      <c r="Z68" s="2468"/>
      <c r="AA68" s="2468"/>
      <c r="AB68" s="2468"/>
      <c r="AC68" s="2468"/>
    </row>
    <row r="69" spans="1:29" s="436" customFormat="1" ht="15">
      <c r="A69" s="1622" t="s">
        <v>1898</v>
      </c>
      <c r="B69" s="1039"/>
      <c r="C69" s="1094" t="str">
        <f>YEAR(C67)&amp;"-"&amp;ROUNDUP(MONTH(C67)/3,0)</f>
        <v>2024-2</v>
      </c>
      <c r="D69" s="1094" t="str">
        <f>YEAR(D67)&amp;"-"&amp;ROUNDUP(MONTH(D67)/3,0)</f>
        <v>2024-1</v>
      </c>
      <c r="E69" s="1094" t="str">
        <f t="shared" ref="E69:O69" si="19">YEAR(E67)&amp;"-"&amp;ROUNDUP(MONTH(E67)/3,0)</f>
        <v>2023-4</v>
      </c>
      <c r="F69" s="1094" t="str">
        <f t="shared" si="19"/>
        <v>2023-3</v>
      </c>
      <c r="G69" s="1094" t="str">
        <f t="shared" si="19"/>
        <v>2023-2</v>
      </c>
      <c r="H69" s="1094" t="str">
        <f t="shared" si="19"/>
        <v>2023-1</v>
      </c>
      <c r="I69" s="1094" t="str">
        <f t="shared" si="19"/>
        <v>2022-4</v>
      </c>
      <c r="J69" s="1094" t="str">
        <f t="shared" si="19"/>
        <v>2022-3</v>
      </c>
      <c r="K69" s="1094" t="str">
        <f t="shared" si="19"/>
        <v>2022-2</v>
      </c>
      <c r="L69" s="1094" t="str">
        <f t="shared" si="19"/>
        <v>2022-1</v>
      </c>
      <c r="M69" s="1094" t="str">
        <f t="shared" si="19"/>
        <v>2021-4</v>
      </c>
      <c r="N69" s="1094" t="str">
        <f t="shared" si="19"/>
        <v>2021-3</v>
      </c>
      <c r="O69" s="1094" t="str">
        <f t="shared" si="19"/>
        <v>2021-2</v>
      </c>
      <c r="P69" s="2491"/>
      <c r="Q69" s="2491"/>
      <c r="R69" s="2491"/>
      <c r="S69" s="2491"/>
      <c r="T69" s="2491"/>
      <c r="U69" s="2491"/>
      <c r="V69" s="2491"/>
      <c r="W69" s="2491"/>
      <c r="X69" s="2491"/>
      <c r="Y69" s="2491"/>
      <c r="Z69" s="2491"/>
      <c r="AA69" s="2491"/>
      <c r="AB69" s="2491"/>
      <c r="AC69" s="2491"/>
    </row>
    <row r="70" spans="1:29" s="101" customFormat="1" ht="30" customHeight="1">
      <c r="A70" s="1829" t="s">
        <v>1899</v>
      </c>
      <c r="B70" s="274" t="str">
        <f>"北京市平均增长率"&amp;TEXT(SUMIF(基准地价修正!N25:N29,A70,基准地价修正!P25:P29),"0.00%")</f>
        <v>北京市平均增长率0.00%</v>
      </c>
      <c r="C70" s="524">
        <v>100</v>
      </c>
      <c r="D70" s="6"/>
      <c r="E70" s="6"/>
      <c r="F70" s="6"/>
      <c r="G70" s="6"/>
      <c r="H70" s="6"/>
      <c r="I70" s="6"/>
      <c r="J70" s="6"/>
      <c r="K70" s="6"/>
      <c r="L70" s="6"/>
      <c r="M70" s="1059"/>
      <c r="N70" s="6"/>
      <c r="O70" s="1091"/>
      <c r="P70" s="2489"/>
      <c r="Q70" s="2423"/>
      <c r="R70" s="2423"/>
      <c r="S70" s="2423"/>
      <c r="T70" s="2423"/>
      <c r="U70" s="2423"/>
      <c r="V70" s="2423"/>
      <c r="W70" s="2423"/>
      <c r="X70" s="2423"/>
      <c r="Y70" s="2423"/>
      <c r="Z70" s="2423"/>
      <c r="AA70" s="2423"/>
      <c r="AB70" s="2423"/>
      <c r="AC70" s="2423"/>
    </row>
    <row r="71" spans="1:29" s="101" customFormat="1" ht="15.75" thickBot="1">
      <c r="A71" s="443" t="s">
        <v>1710</v>
      </c>
      <c r="B71" s="444"/>
      <c r="C71" s="445"/>
      <c r="D71" s="446"/>
      <c r="E71" s="446"/>
      <c r="F71" s="446"/>
      <c r="G71" s="446"/>
      <c r="H71" s="446"/>
      <c r="I71" s="446"/>
      <c r="J71" s="446"/>
      <c r="K71" s="446"/>
      <c r="L71" s="446"/>
      <c r="M71" s="447"/>
      <c r="N71" s="446"/>
      <c r="O71" s="882"/>
      <c r="P71" s="2489"/>
      <c r="Q71" s="2489"/>
      <c r="R71" s="2423"/>
      <c r="S71" s="2423"/>
      <c r="T71" s="2423"/>
      <c r="U71" s="2423"/>
      <c r="V71" s="2423"/>
      <c r="W71" s="2423"/>
      <c r="X71" s="2423"/>
      <c r="Y71" s="2423"/>
      <c r="Z71" s="2423"/>
      <c r="AA71" s="2423"/>
      <c r="AB71" s="2423"/>
      <c r="AC71" s="2423"/>
    </row>
    <row r="72" spans="1:29" s="101" customFormat="1" ht="15">
      <c r="A72" s="449" t="s">
        <v>1675</v>
      </c>
      <c r="B72" s="438"/>
      <c r="C72" s="450" t="s">
        <v>1770</v>
      </c>
      <c r="D72" s="31"/>
      <c r="E72" s="31"/>
      <c r="F72" s="31"/>
      <c r="G72" s="31"/>
      <c r="H72" s="31"/>
      <c r="I72" s="31"/>
      <c r="J72" s="31"/>
      <c r="K72" s="31"/>
      <c r="L72" s="451"/>
      <c r="M72" s="452"/>
      <c r="N72" s="2501"/>
      <c r="O72" s="2501"/>
      <c r="P72" s="2525"/>
      <c r="Q72" s="2489"/>
      <c r="R72" s="2423"/>
      <c r="S72" s="2423"/>
      <c r="T72" s="2423"/>
      <c r="U72" s="2423"/>
      <c r="V72" s="2423"/>
      <c r="W72" s="2423"/>
      <c r="X72" s="2423"/>
      <c r="Y72" s="2423"/>
      <c r="Z72" s="2423"/>
      <c r="AA72" s="2423"/>
      <c r="AB72" s="2423"/>
      <c r="AC72" s="2423"/>
    </row>
    <row r="73" spans="1:29" s="101" customFormat="1" ht="15.75" thickBot="1">
      <c r="A73" s="449"/>
      <c r="B73" s="438"/>
      <c r="C73" s="557">
        <v>100</v>
      </c>
      <c r="D73" s="440"/>
      <c r="E73" s="440"/>
      <c r="F73" s="440"/>
      <c r="G73" s="440"/>
      <c r="H73" s="440"/>
      <c r="I73" s="440"/>
      <c r="J73" s="440"/>
      <c r="K73" s="440"/>
      <c r="L73" s="440"/>
      <c r="M73" s="442"/>
      <c r="N73" s="2501"/>
      <c r="O73" s="2501"/>
      <c r="P73" s="2489"/>
      <c r="Q73" s="2489"/>
      <c r="R73" s="2423"/>
      <c r="S73" s="2423"/>
      <c r="T73" s="2423"/>
      <c r="U73" s="2423"/>
      <c r="V73" s="2423"/>
      <c r="W73" s="2423"/>
      <c r="X73" s="2423"/>
      <c r="Y73" s="2423"/>
      <c r="Z73" s="2423"/>
      <c r="AA73" s="2423"/>
      <c r="AB73" s="2423"/>
      <c r="AC73" s="2423"/>
    </row>
    <row r="74" spans="1:29">
      <c r="A74" s="373" t="s">
        <v>1713</v>
      </c>
      <c r="B74" s="454" t="s">
        <v>1679</v>
      </c>
      <c r="C74" s="456"/>
      <c r="D74" s="456"/>
      <c r="E74" s="456"/>
      <c r="F74" s="456"/>
      <c r="G74" s="456"/>
      <c r="H74" s="456"/>
      <c r="I74" s="456"/>
      <c r="J74" s="456"/>
      <c r="K74" s="457"/>
      <c r="L74" s="458"/>
      <c r="M74" s="459"/>
      <c r="N74" s="2502"/>
      <c r="O74" s="2502"/>
      <c r="P74" s="2501"/>
      <c r="Q74" s="2489"/>
      <c r="R74" s="2468"/>
      <c r="S74" s="2468"/>
      <c r="T74" s="2468"/>
      <c r="U74" s="2468"/>
      <c r="V74" s="2468"/>
      <c r="W74" s="2468"/>
      <c r="X74" s="2468"/>
      <c r="Y74" s="2468"/>
      <c r="Z74" s="2468"/>
      <c r="AA74" s="2468"/>
      <c r="AB74" s="2468"/>
      <c r="AC74" s="2468"/>
    </row>
    <row r="75" spans="1:29" ht="15.75" thickBot="1">
      <c r="A75" s="361"/>
      <c r="B75" s="460"/>
      <c r="C75" s="461"/>
      <c r="D75" s="461"/>
      <c r="E75" s="461"/>
      <c r="F75" s="461"/>
      <c r="G75" s="461"/>
      <c r="H75" s="461"/>
      <c r="I75" s="461"/>
      <c r="J75" s="461"/>
      <c r="K75" s="461"/>
      <c r="L75" s="461"/>
      <c r="M75" s="462"/>
      <c r="N75" s="2503"/>
      <c r="O75" s="2503"/>
      <c r="P75" s="2501"/>
      <c r="Q75" s="2489"/>
      <c r="R75" s="2468"/>
      <c r="S75" s="2468"/>
      <c r="T75" s="2468"/>
      <c r="U75" s="2468"/>
      <c r="V75" s="2468"/>
      <c r="W75" s="2468"/>
      <c r="X75" s="2468"/>
      <c r="Y75" s="2468"/>
      <c r="Z75" s="2468"/>
      <c r="AA75" s="2468"/>
      <c r="AB75" s="2468"/>
      <c r="AC75" s="2468"/>
    </row>
    <row r="76" spans="1:29" ht="27.75" thickTop="1">
      <c r="A76" s="361"/>
      <c r="B76" s="463" t="s">
        <v>1682</v>
      </c>
      <c r="C76" s="464"/>
      <c r="D76" s="464"/>
      <c r="E76" s="464"/>
      <c r="F76" s="464"/>
      <c r="G76" s="464"/>
      <c r="H76" s="464"/>
      <c r="I76" s="464"/>
      <c r="J76" s="464"/>
      <c r="K76" s="465"/>
      <c r="L76" s="466"/>
      <c r="M76" s="467"/>
      <c r="N76" s="2502"/>
      <c r="O76" s="2502"/>
      <c r="P76" s="2501"/>
      <c r="Q76" s="2489"/>
      <c r="R76" s="2468"/>
      <c r="S76" s="2468"/>
      <c r="T76" s="2468"/>
      <c r="U76" s="2468"/>
      <c r="V76" s="2468"/>
      <c r="W76" s="2468"/>
      <c r="X76" s="2468"/>
      <c r="Y76" s="2468"/>
      <c r="Z76" s="2468"/>
      <c r="AA76" s="2468"/>
      <c r="AB76" s="2468"/>
      <c r="AC76" s="2468"/>
    </row>
    <row r="77" spans="1:29" ht="15.75" thickBot="1">
      <c r="A77" s="361"/>
      <c r="B77" s="468"/>
      <c r="C77" s="469"/>
      <c r="D77" s="469"/>
      <c r="E77" s="469"/>
      <c r="F77" s="469"/>
      <c r="G77" s="469"/>
      <c r="H77" s="469"/>
      <c r="I77" s="469"/>
      <c r="J77" s="469"/>
      <c r="K77" s="469"/>
      <c r="L77" s="469"/>
      <c r="M77" s="470"/>
      <c r="N77" s="2503"/>
      <c r="O77" s="2503"/>
      <c r="P77" s="2501"/>
      <c r="Q77" s="2489"/>
      <c r="R77" s="2468"/>
      <c r="S77" s="2468"/>
      <c r="T77" s="2468"/>
      <c r="U77" s="2468"/>
      <c r="V77" s="2468"/>
      <c r="W77" s="2468"/>
      <c r="X77" s="2468"/>
      <c r="Y77" s="2468"/>
      <c r="Z77" s="2468"/>
      <c r="AA77" s="2468"/>
      <c r="AB77" s="2468"/>
      <c r="AC77" s="2468"/>
    </row>
    <row r="78" spans="1:29" ht="15.75" thickTop="1">
      <c r="A78" s="361"/>
      <c r="B78" s="471" t="s">
        <v>1683</v>
      </c>
      <c r="C78" s="472" t="str">
        <f>C79&amp;"（含）"&amp;"-"&amp;D79</f>
        <v>（含）-</v>
      </c>
      <c r="D78" s="472" t="str">
        <f t="shared" ref="D78:L78" si="20">D79&amp;"（含）"&amp;"-"&amp;E79</f>
        <v>（含）-</v>
      </c>
      <c r="E78" s="472" t="str">
        <f t="shared" si="20"/>
        <v>（含）-</v>
      </c>
      <c r="F78" s="472" t="str">
        <f t="shared" si="20"/>
        <v>（含）-</v>
      </c>
      <c r="G78" s="472" t="str">
        <f t="shared" si="20"/>
        <v>（含）-</v>
      </c>
      <c r="H78" s="472" t="str">
        <f t="shared" si="20"/>
        <v>（含）-</v>
      </c>
      <c r="I78" s="472" t="str">
        <f t="shared" si="20"/>
        <v>（含）-</v>
      </c>
      <c r="J78" s="472" t="str">
        <f t="shared" si="20"/>
        <v>（含）-</v>
      </c>
      <c r="K78" s="472" t="str">
        <f t="shared" si="20"/>
        <v>（含）-</v>
      </c>
      <c r="L78" s="472" t="str">
        <f t="shared" si="20"/>
        <v>（含）-</v>
      </c>
      <c r="M78" s="381" t="str">
        <f>M79&amp;"（含）"&amp;"-"&amp;P79</f>
        <v>（含）-</v>
      </c>
      <c r="N78" s="2503"/>
      <c r="O78" s="2503"/>
      <c r="P78" s="2501"/>
      <c r="Q78" s="2489"/>
      <c r="R78" s="2468"/>
      <c r="S78" s="2468"/>
      <c r="T78" s="2468"/>
      <c r="U78" s="2468"/>
      <c r="V78" s="2468"/>
      <c r="W78" s="2468"/>
      <c r="X78" s="2468"/>
      <c r="Y78" s="2468"/>
      <c r="Z78" s="2468"/>
      <c r="AA78" s="2468"/>
      <c r="AB78" s="2468"/>
      <c r="AC78" s="2468"/>
    </row>
    <row r="79" spans="1:29" ht="15">
      <c r="A79" s="361"/>
      <c r="B79" s="473"/>
      <c r="C79" s="474"/>
      <c r="D79" s="474"/>
      <c r="E79" s="474"/>
      <c r="F79" s="474"/>
      <c r="G79" s="474"/>
      <c r="H79" s="474"/>
      <c r="I79" s="474"/>
      <c r="J79" s="474"/>
      <c r="K79" s="475"/>
      <c r="L79" s="476"/>
      <c r="M79" s="477"/>
      <c r="N79" s="2502"/>
      <c r="O79" s="2502"/>
      <c r="P79" s="2501"/>
      <c r="Q79" s="2489"/>
      <c r="R79" s="2468"/>
      <c r="S79" s="2468"/>
      <c r="T79" s="2468"/>
      <c r="U79" s="2468"/>
      <c r="V79" s="2468"/>
      <c r="W79" s="2468"/>
      <c r="X79" s="2468"/>
      <c r="Y79" s="2468"/>
      <c r="Z79" s="2468"/>
      <c r="AA79" s="2468"/>
      <c r="AB79" s="2468"/>
      <c r="AC79" s="2468"/>
    </row>
    <row r="80" spans="1:29" ht="15.75" thickBot="1">
      <c r="A80" s="361"/>
      <c r="B80" s="460"/>
      <c r="C80" s="469">
        <v>100</v>
      </c>
      <c r="D80" s="469">
        <f t="shared" ref="D80:M80" si="21">IF($B$46="单位面积地价",C80+$K11,C80-$K11)</f>
        <v>100</v>
      </c>
      <c r="E80" s="469">
        <f t="shared" si="21"/>
        <v>100</v>
      </c>
      <c r="F80" s="469">
        <f t="shared" si="21"/>
        <v>100</v>
      </c>
      <c r="G80" s="469">
        <f t="shared" si="21"/>
        <v>100</v>
      </c>
      <c r="H80" s="469">
        <f t="shared" si="21"/>
        <v>100</v>
      </c>
      <c r="I80" s="469">
        <f t="shared" si="21"/>
        <v>100</v>
      </c>
      <c r="J80" s="469">
        <f t="shared" si="21"/>
        <v>100</v>
      </c>
      <c r="K80" s="469">
        <f t="shared" si="21"/>
        <v>100</v>
      </c>
      <c r="L80" s="469">
        <f t="shared" si="21"/>
        <v>100</v>
      </c>
      <c r="M80" s="469">
        <f t="shared" si="21"/>
        <v>100</v>
      </c>
      <c r="N80" s="2503"/>
      <c r="O80" s="2503"/>
      <c r="P80" s="2501"/>
      <c r="Q80" s="2489"/>
      <c r="R80" s="2468"/>
      <c r="S80" s="2468"/>
      <c r="T80" s="2468"/>
      <c r="U80" s="2468"/>
      <c r="V80" s="2468"/>
      <c r="W80" s="2468"/>
      <c r="X80" s="2468"/>
      <c r="Y80" s="2468"/>
      <c r="Z80" s="2468"/>
      <c r="AA80" s="2468"/>
      <c r="AB80" s="2468"/>
      <c r="AC80" s="2468"/>
    </row>
    <row r="81" spans="1:29" s="402" customFormat="1" ht="15.75" thickTop="1">
      <c r="A81" s="478"/>
      <c r="B81" s="463" t="str">
        <f>B12</f>
        <v>配建</v>
      </c>
      <c r="C81" s="479"/>
      <c r="D81" s="479"/>
      <c r="E81" s="479"/>
      <c r="F81" s="479"/>
      <c r="G81" s="479"/>
      <c r="H81" s="480"/>
      <c r="I81" s="480"/>
      <c r="J81" s="480"/>
      <c r="K81" s="480"/>
      <c r="L81" s="481"/>
      <c r="M81" s="482"/>
      <c r="N81" s="2504"/>
      <c r="O81" s="2504"/>
      <c r="P81" s="2504"/>
      <c r="Q81" s="2496"/>
      <c r="R81" s="2474"/>
      <c r="S81" s="2474"/>
      <c r="T81" s="2474"/>
      <c r="U81" s="2474"/>
      <c r="V81" s="2474"/>
      <c r="W81" s="2474"/>
      <c r="X81" s="2474"/>
      <c r="Y81" s="2474"/>
      <c r="Z81" s="2474"/>
      <c r="AA81" s="2474"/>
      <c r="AB81" s="2474"/>
      <c r="AC81" s="2474"/>
    </row>
    <row r="82" spans="1:29" s="402" customFormat="1" ht="15.75" thickBot="1">
      <c r="A82" s="478"/>
      <c r="B82" s="468"/>
      <c r="C82" s="485"/>
      <c r="D82" s="461"/>
      <c r="E82" s="461"/>
      <c r="F82" s="461"/>
      <c r="G82" s="461"/>
      <c r="H82" s="461"/>
      <c r="I82" s="461"/>
      <c r="J82" s="461"/>
      <c r="K82" s="461"/>
      <c r="L82" s="461"/>
      <c r="M82" s="462"/>
      <c r="N82" s="2503"/>
      <c r="O82" s="2503"/>
      <c r="P82" s="2504"/>
      <c r="Q82" s="2496"/>
      <c r="R82" s="2474"/>
      <c r="S82" s="2474"/>
      <c r="T82" s="2474"/>
      <c r="U82" s="2474"/>
      <c r="V82" s="2474"/>
      <c r="W82" s="2474"/>
      <c r="X82" s="2474"/>
      <c r="Y82" s="2474"/>
      <c r="Z82" s="2474"/>
      <c r="AA82" s="2474"/>
      <c r="AB82" s="2474"/>
      <c r="AC82" s="2474"/>
    </row>
    <row r="83" spans="1:29" s="402" customFormat="1" ht="15.75" thickTop="1">
      <c r="A83" s="478"/>
      <c r="B83" s="463">
        <f>B13</f>
        <v>111</v>
      </c>
      <c r="C83" s="479"/>
      <c r="D83" s="479"/>
      <c r="E83" s="479"/>
      <c r="F83" s="479"/>
      <c r="G83" s="479"/>
      <c r="H83" s="480"/>
      <c r="I83" s="480"/>
      <c r="J83" s="480"/>
      <c r="K83" s="480"/>
      <c r="L83" s="481"/>
      <c r="M83" s="482"/>
      <c r="N83" s="2504"/>
      <c r="O83" s="2504"/>
      <c r="P83" s="2474"/>
      <c r="Q83" s="2498"/>
      <c r="R83" s="2474"/>
      <c r="S83" s="2474"/>
      <c r="T83" s="2474"/>
      <c r="U83" s="2474"/>
      <c r="V83" s="2474"/>
      <c r="W83" s="2474"/>
      <c r="X83" s="2474"/>
      <c r="Y83" s="2474"/>
      <c r="Z83" s="2474"/>
      <c r="AA83" s="2474"/>
      <c r="AB83" s="2474"/>
      <c r="AC83" s="2474"/>
    </row>
    <row r="84" spans="1:29" s="402" customFormat="1" ht="15.75" thickBot="1">
      <c r="A84" s="478"/>
      <c r="B84" s="468"/>
      <c r="C84" s="485"/>
      <c r="D84" s="485"/>
      <c r="E84" s="485"/>
      <c r="F84" s="485"/>
      <c r="G84" s="485"/>
      <c r="H84" s="487"/>
      <c r="I84" s="487"/>
      <c r="J84" s="487"/>
      <c r="K84" s="487"/>
      <c r="L84" s="487"/>
      <c r="M84" s="488"/>
      <c r="N84" s="2504"/>
      <c r="O84" s="2504"/>
      <c r="P84" s="2504"/>
      <c r="Q84" s="2496"/>
      <c r="R84" s="2474"/>
      <c r="S84" s="2474"/>
      <c r="T84" s="2474"/>
      <c r="U84" s="2474"/>
      <c r="V84" s="2474"/>
      <c r="W84" s="2474"/>
      <c r="X84" s="2474"/>
      <c r="Y84" s="2474"/>
      <c r="Z84" s="2474"/>
      <c r="AA84" s="2474"/>
      <c r="AB84" s="2474"/>
      <c r="AC84" s="2474"/>
    </row>
    <row r="85" spans="1:29" s="402" customFormat="1" ht="15.75" thickTop="1">
      <c r="A85" s="478"/>
      <c r="B85" s="471">
        <f>B14</f>
        <v>111</v>
      </c>
      <c r="C85" s="31"/>
      <c r="D85" s="31"/>
      <c r="E85" s="31"/>
      <c r="F85" s="31"/>
      <c r="G85" s="31"/>
      <c r="H85" s="489"/>
      <c r="I85" s="489"/>
      <c r="J85" s="489"/>
      <c r="K85" s="489"/>
      <c r="L85" s="490"/>
      <c r="M85" s="491"/>
      <c r="N85" s="2504"/>
      <c r="O85" s="2504"/>
      <c r="P85" s="2529"/>
      <c r="Q85" s="2496"/>
      <c r="R85" s="2474"/>
      <c r="S85" s="2474"/>
      <c r="T85" s="2474"/>
      <c r="U85" s="2474"/>
      <c r="V85" s="2474"/>
      <c r="W85" s="2474"/>
      <c r="X85" s="2474"/>
      <c r="Y85" s="2474"/>
      <c r="Z85" s="2474"/>
      <c r="AA85" s="2474"/>
      <c r="AB85" s="2474"/>
      <c r="AC85" s="2474"/>
    </row>
    <row r="86" spans="1:29" s="402" customFormat="1" ht="15.75" thickBot="1">
      <c r="A86" s="493"/>
      <c r="B86" s="494"/>
      <c r="C86" s="495"/>
      <c r="D86" s="495"/>
      <c r="E86" s="495"/>
      <c r="F86" s="495"/>
      <c r="G86" s="495"/>
      <c r="H86" s="496"/>
      <c r="I86" s="496"/>
      <c r="J86" s="496"/>
      <c r="K86" s="496"/>
      <c r="L86" s="496"/>
      <c r="M86" s="497"/>
      <c r="N86" s="2504"/>
      <c r="O86" s="2504"/>
      <c r="P86" s="2504"/>
      <c r="Q86" s="2496"/>
      <c r="R86" s="2474"/>
      <c r="S86" s="2474"/>
      <c r="T86" s="2474"/>
      <c r="U86" s="2474"/>
      <c r="V86" s="2474"/>
      <c r="W86" s="2474"/>
      <c r="X86" s="2474"/>
      <c r="Y86" s="2474"/>
      <c r="Z86" s="2474"/>
      <c r="AA86" s="2474"/>
      <c r="AB86" s="2474"/>
      <c r="AC86" s="2474"/>
    </row>
    <row r="87" spans="1:29">
      <c r="A87" s="373" t="s">
        <v>1684</v>
      </c>
      <c r="B87" s="454" t="s">
        <v>1714</v>
      </c>
      <c r="C87" s="498" t="s">
        <v>1715</v>
      </c>
      <c r="D87" s="498" t="s">
        <v>1716</v>
      </c>
      <c r="E87" s="498" t="s">
        <v>1717</v>
      </c>
      <c r="F87" s="498" t="s">
        <v>1718</v>
      </c>
      <c r="G87" s="498" t="s">
        <v>1719</v>
      </c>
      <c r="H87" s="455"/>
      <c r="I87" s="455"/>
      <c r="J87" s="455"/>
      <c r="K87" s="499"/>
      <c r="L87" s="500"/>
      <c r="M87" s="501"/>
      <c r="N87" s="2502"/>
      <c r="O87" s="2502"/>
      <c r="P87" s="2526"/>
      <c r="Q87" s="2489"/>
      <c r="R87" s="2468"/>
      <c r="S87" s="2468"/>
      <c r="T87" s="2468"/>
      <c r="U87" s="2468"/>
      <c r="V87" s="2468"/>
      <c r="W87" s="2468"/>
      <c r="X87" s="2468"/>
      <c r="Y87" s="2468"/>
      <c r="Z87" s="2468"/>
      <c r="AA87" s="2468"/>
      <c r="AB87" s="2468"/>
      <c r="AC87" s="2468"/>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03"/>
      <c r="O88" s="2503"/>
      <c r="P88" s="2501"/>
      <c r="Q88" s="2489"/>
      <c r="R88" s="2468"/>
      <c r="S88" s="2468"/>
      <c r="T88" s="2468"/>
      <c r="U88" s="2468"/>
      <c r="V88" s="2468"/>
      <c r="W88" s="2468"/>
      <c r="X88" s="2468"/>
      <c r="Y88" s="2468"/>
      <c r="Z88" s="2468"/>
      <c r="AA88" s="2468"/>
      <c r="AB88" s="2468"/>
      <c r="AC88" s="2468"/>
    </row>
    <row r="89" spans="1:29" ht="15.75" thickTop="1">
      <c r="A89" s="361"/>
      <c r="B89" s="463" t="s">
        <v>1900</v>
      </c>
      <c r="C89" s="503" t="s">
        <v>1715</v>
      </c>
      <c r="D89" s="503" t="s">
        <v>1716</v>
      </c>
      <c r="E89" s="503" t="s">
        <v>1717</v>
      </c>
      <c r="F89" s="503" t="s">
        <v>1718</v>
      </c>
      <c r="G89" s="503" t="s">
        <v>1719</v>
      </c>
      <c r="H89" s="464"/>
      <c r="I89" s="464"/>
      <c r="J89" s="464"/>
      <c r="K89" s="465"/>
      <c r="L89" s="466"/>
      <c r="M89" s="467"/>
      <c r="N89" s="2502"/>
      <c r="O89" s="2502"/>
      <c r="P89" s="2501"/>
      <c r="Q89" s="2489"/>
      <c r="R89" s="2468"/>
      <c r="S89" s="2468"/>
      <c r="T89" s="2468"/>
      <c r="U89" s="2468"/>
      <c r="V89" s="2468"/>
      <c r="W89" s="2468"/>
      <c r="X89" s="2468"/>
      <c r="Y89" s="2468"/>
      <c r="Z89" s="2468"/>
      <c r="AA89" s="2468"/>
      <c r="AB89" s="2468"/>
      <c r="AC89" s="2468"/>
    </row>
    <row r="90" spans="1:29" ht="15.75" thickBot="1">
      <c r="A90" s="361"/>
      <c r="B90" s="468"/>
      <c r="C90" s="469">
        <v>100</v>
      </c>
      <c r="D90" s="469">
        <f>C90-$K17</f>
        <v>100</v>
      </c>
      <c r="E90" s="469">
        <f>D90-$K17</f>
        <v>100</v>
      </c>
      <c r="F90" s="469">
        <f>E90-$K17</f>
        <v>100</v>
      </c>
      <c r="G90" s="469">
        <f>F90-$K17</f>
        <v>100</v>
      </c>
      <c r="H90" s="469"/>
      <c r="I90" s="469"/>
      <c r="J90" s="469"/>
      <c r="K90" s="469"/>
      <c r="L90" s="469"/>
      <c r="M90" s="470"/>
      <c r="N90" s="2503"/>
      <c r="O90" s="2503"/>
      <c r="P90" s="2501"/>
      <c r="Q90" s="2489"/>
      <c r="R90" s="2468"/>
      <c r="S90" s="2468"/>
      <c r="T90" s="2468"/>
      <c r="U90" s="2468"/>
      <c r="V90" s="2468"/>
      <c r="W90" s="2468"/>
      <c r="X90" s="2468"/>
      <c r="Y90" s="2468"/>
      <c r="Z90" s="2468"/>
      <c r="AA90" s="2468"/>
      <c r="AB90" s="2468"/>
      <c r="AC90" s="2468"/>
    </row>
    <row r="91" spans="1:29" ht="15.75" thickTop="1">
      <c r="A91" s="361"/>
      <c r="B91" s="463" t="s">
        <v>1815</v>
      </c>
      <c r="C91" s="503" t="s">
        <v>1715</v>
      </c>
      <c r="D91" s="503" t="s">
        <v>1716</v>
      </c>
      <c r="E91" s="503" t="s">
        <v>1717</v>
      </c>
      <c r="F91" s="503" t="s">
        <v>1718</v>
      </c>
      <c r="G91" s="503" t="s">
        <v>1719</v>
      </c>
      <c r="H91" s="464"/>
      <c r="I91" s="464"/>
      <c r="J91" s="464"/>
      <c r="K91" s="465"/>
      <c r="L91" s="466"/>
      <c r="M91" s="467"/>
      <c r="N91" s="2502"/>
      <c r="O91" s="2502"/>
      <c r="P91" s="2501"/>
      <c r="Q91" s="2489"/>
      <c r="R91" s="2468"/>
      <c r="S91" s="2468"/>
      <c r="T91" s="2468"/>
      <c r="U91" s="2468"/>
      <c r="V91" s="2468"/>
      <c r="W91" s="2468"/>
      <c r="X91" s="2468"/>
      <c r="Y91" s="2468"/>
      <c r="Z91" s="2468"/>
      <c r="AA91" s="2468"/>
      <c r="AB91" s="2468"/>
      <c r="AC91" s="2468"/>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03"/>
      <c r="O92" s="2503"/>
      <c r="P92" s="2501"/>
      <c r="Q92" s="2489"/>
      <c r="R92" s="2468"/>
      <c r="S92" s="2468"/>
      <c r="T92" s="2468"/>
      <c r="U92" s="2468"/>
      <c r="V92" s="2468"/>
      <c r="W92" s="2468"/>
      <c r="X92" s="2468"/>
      <c r="Y92" s="2468"/>
      <c r="Z92" s="2468"/>
      <c r="AA92" s="2468"/>
      <c r="AB92" s="2468"/>
      <c r="AC92" s="2468"/>
    </row>
    <row r="93" spans="1:29" ht="15.75" thickTop="1">
      <c r="A93" s="361"/>
      <c r="B93" s="463" t="s">
        <v>1720</v>
      </c>
      <c r="C93" s="503" t="s">
        <v>1715</v>
      </c>
      <c r="D93" s="503" t="s">
        <v>1716</v>
      </c>
      <c r="E93" s="503" t="s">
        <v>1717</v>
      </c>
      <c r="F93" s="503" t="s">
        <v>1718</v>
      </c>
      <c r="G93" s="503" t="s">
        <v>1719</v>
      </c>
      <c r="H93" s="464"/>
      <c r="I93" s="464"/>
      <c r="J93" s="464"/>
      <c r="K93" s="465"/>
      <c r="L93" s="466"/>
      <c r="M93" s="467"/>
      <c r="N93" s="2502"/>
      <c r="O93" s="2502"/>
      <c r="P93" s="2501"/>
      <c r="Q93" s="2489"/>
      <c r="R93" s="2468"/>
      <c r="S93" s="2468"/>
      <c r="T93" s="2468"/>
      <c r="U93" s="2468"/>
      <c r="V93" s="2468"/>
      <c r="W93" s="2468"/>
      <c r="X93" s="2468"/>
      <c r="Y93" s="2468"/>
      <c r="Z93" s="2468"/>
      <c r="AA93" s="2468"/>
      <c r="AB93" s="2468"/>
      <c r="AC93" s="2468"/>
    </row>
    <row r="94" spans="1:29" ht="15.75" thickBot="1">
      <c r="A94" s="361"/>
      <c r="B94" s="468"/>
      <c r="C94" s="469">
        <v>100</v>
      </c>
      <c r="D94" s="469">
        <f>C94-$K21</f>
        <v>100</v>
      </c>
      <c r="E94" s="469">
        <f>D94-$K21</f>
        <v>100</v>
      </c>
      <c r="F94" s="469">
        <f>E94-$K21</f>
        <v>100</v>
      </c>
      <c r="G94" s="469">
        <f>F94-$K21</f>
        <v>100</v>
      </c>
      <c r="H94" s="469"/>
      <c r="I94" s="469"/>
      <c r="J94" s="469"/>
      <c r="K94" s="469"/>
      <c r="L94" s="469"/>
      <c r="M94" s="470"/>
      <c r="N94" s="2503"/>
      <c r="O94" s="2503"/>
      <c r="P94" s="2501"/>
      <c r="Q94" s="2489"/>
      <c r="R94" s="2468"/>
      <c r="S94" s="2468"/>
      <c r="T94" s="2468"/>
      <c r="U94" s="2468"/>
      <c r="V94" s="2468"/>
      <c r="W94" s="2468"/>
      <c r="X94" s="2468"/>
      <c r="Y94" s="2468"/>
      <c r="Z94" s="2468"/>
      <c r="AA94" s="2468"/>
      <c r="AB94" s="2468"/>
      <c r="AC94" s="2468"/>
    </row>
    <row r="95" spans="1:29" s="101" customFormat="1" ht="15.75" thickTop="1">
      <c r="A95" s="364"/>
      <c r="B95" s="463" t="s">
        <v>1901</v>
      </c>
      <c r="C95" s="503" t="s">
        <v>1715</v>
      </c>
      <c r="D95" s="503" t="s">
        <v>1716</v>
      </c>
      <c r="E95" s="503" t="s">
        <v>1717</v>
      </c>
      <c r="F95" s="503" t="s">
        <v>1718</v>
      </c>
      <c r="G95" s="503" t="s">
        <v>1719</v>
      </c>
      <c r="H95" s="503"/>
      <c r="I95" s="503"/>
      <c r="J95" s="503"/>
      <c r="K95" s="503"/>
      <c r="L95" s="612"/>
      <c r="M95" s="541"/>
      <c r="N95" s="2501"/>
      <c r="O95" s="2501"/>
      <c r="P95" s="2501"/>
      <c r="Q95" s="2489"/>
      <c r="R95" s="2423"/>
      <c r="S95" s="2423"/>
      <c r="T95" s="2423"/>
      <c r="U95" s="2423"/>
      <c r="V95" s="2423"/>
      <c r="W95" s="2423"/>
      <c r="X95" s="2423"/>
      <c r="Y95" s="2423"/>
      <c r="Z95" s="2423"/>
      <c r="AA95" s="2423"/>
      <c r="AB95" s="2423"/>
      <c r="AC95" s="2423"/>
    </row>
    <row r="96" spans="1:29" s="101" customFormat="1" ht="15.75" thickBot="1">
      <c r="A96" s="364"/>
      <c r="B96" s="468"/>
      <c r="C96" s="506">
        <v>100</v>
      </c>
      <c r="D96" s="469">
        <f>C96-$K23</f>
        <v>100</v>
      </c>
      <c r="E96" s="469">
        <f>D96-$K23</f>
        <v>100</v>
      </c>
      <c r="F96" s="469">
        <f>E96-$K23</f>
        <v>100</v>
      </c>
      <c r="G96" s="469">
        <f>F96-$K23</f>
        <v>100</v>
      </c>
      <c r="H96" s="469"/>
      <c r="I96" s="469"/>
      <c r="J96" s="469"/>
      <c r="K96" s="469"/>
      <c r="L96" s="469"/>
      <c r="M96" s="470"/>
      <c r="N96" s="2503"/>
      <c r="O96" s="2503"/>
      <c r="P96" s="2501"/>
      <c r="Q96" s="2489"/>
      <c r="R96" s="2423"/>
      <c r="S96" s="2423"/>
      <c r="T96" s="2423"/>
      <c r="U96" s="2423"/>
      <c r="V96" s="2423"/>
      <c r="W96" s="2423"/>
      <c r="X96" s="2423"/>
      <c r="Y96" s="2423"/>
      <c r="Z96" s="2423"/>
      <c r="AA96" s="2423"/>
      <c r="AB96" s="2423"/>
      <c r="AC96" s="2423"/>
    </row>
    <row r="97" spans="1:29" s="101" customFormat="1" ht="27.75" thickTop="1">
      <c r="A97" s="364"/>
      <c r="B97" s="463" t="s">
        <v>1902</v>
      </c>
      <c r="C97" s="498" t="s">
        <v>1715</v>
      </c>
      <c r="D97" s="498" t="s">
        <v>1716</v>
      </c>
      <c r="E97" s="498" t="s">
        <v>1717</v>
      </c>
      <c r="F97" s="498" t="s">
        <v>1718</v>
      </c>
      <c r="G97" s="498" t="s">
        <v>1719</v>
      </c>
      <c r="H97" s="503"/>
      <c r="I97" s="503"/>
      <c r="J97" s="503"/>
      <c r="K97" s="503"/>
      <c r="L97" s="503"/>
      <c r="M97" s="541"/>
      <c r="N97" s="2501"/>
      <c r="O97" s="2501"/>
      <c r="P97" s="2501"/>
      <c r="Q97" s="2489"/>
      <c r="R97" s="2423"/>
      <c r="S97" s="2423"/>
      <c r="T97" s="2423"/>
      <c r="U97" s="2423"/>
      <c r="V97" s="2423"/>
      <c r="W97" s="2423"/>
      <c r="X97" s="2423"/>
      <c r="Y97" s="2423"/>
      <c r="Z97" s="2423"/>
      <c r="AA97" s="2423"/>
      <c r="AB97" s="2423"/>
      <c r="AC97" s="2423"/>
    </row>
    <row r="98" spans="1:29" s="101" customFormat="1" ht="15.75" thickBot="1">
      <c r="A98" s="364"/>
      <c r="B98" s="468"/>
      <c r="C98" s="469">
        <v>100</v>
      </c>
      <c r="D98" s="469">
        <f>C98-$K25</f>
        <v>100</v>
      </c>
      <c r="E98" s="469">
        <f>D98-$K25</f>
        <v>100</v>
      </c>
      <c r="F98" s="469">
        <f>E98-$K25</f>
        <v>100</v>
      </c>
      <c r="G98" s="469">
        <f>F98-$K25</f>
        <v>100</v>
      </c>
      <c r="H98" s="469"/>
      <c r="I98" s="469"/>
      <c r="J98" s="469"/>
      <c r="K98" s="469"/>
      <c r="L98" s="469"/>
      <c r="M98" s="470"/>
      <c r="N98" s="2503"/>
      <c r="O98" s="2503"/>
      <c r="P98" s="2501"/>
      <c r="Q98" s="2489"/>
      <c r="R98" s="2423"/>
      <c r="S98" s="2423"/>
      <c r="T98" s="2423"/>
      <c r="U98" s="2423"/>
      <c r="V98" s="2423"/>
      <c r="W98" s="2423"/>
      <c r="X98" s="2423"/>
      <c r="Y98" s="2423"/>
      <c r="Z98" s="2423"/>
      <c r="AA98" s="2423"/>
      <c r="AB98" s="2423"/>
      <c r="AC98" s="2423"/>
    </row>
    <row r="99" spans="1:29" s="402" customFormat="1" ht="15.75" thickTop="1">
      <c r="A99" s="478"/>
      <c r="B99" s="463" t="s">
        <v>1772</v>
      </c>
      <c r="C99" s="498" t="s">
        <v>1715</v>
      </c>
      <c r="D99" s="498" t="s">
        <v>1716</v>
      </c>
      <c r="E99" s="498" t="s">
        <v>1717</v>
      </c>
      <c r="F99" s="498" t="s">
        <v>1718</v>
      </c>
      <c r="G99" s="498" t="s">
        <v>1719</v>
      </c>
      <c r="H99" s="521"/>
      <c r="I99" s="521"/>
      <c r="J99" s="521"/>
      <c r="K99" s="521"/>
      <c r="L99" s="522"/>
      <c r="M99" s="523"/>
      <c r="N99" s="2504"/>
      <c r="O99" s="2504"/>
      <c r="P99" s="2504"/>
      <c r="Q99" s="2496"/>
      <c r="R99" s="2474"/>
      <c r="S99" s="2474"/>
      <c r="T99" s="2474"/>
      <c r="U99" s="2474"/>
      <c r="V99" s="2474"/>
      <c r="W99" s="2474"/>
      <c r="X99" s="2474"/>
      <c r="Y99" s="2474"/>
      <c r="Z99" s="2474"/>
      <c r="AA99" s="2474"/>
      <c r="AB99" s="2474"/>
      <c r="AC99" s="2474"/>
    </row>
    <row r="100" spans="1:29" s="402" customFormat="1" ht="15.75" thickBot="1">
      <c r="A100" s="478"/>
      <c r="B100" s="468"/>
      <c r="C100" s="469">
        <v>100</v>
      </c>
      <c r="D100" s="469">
        <f>C100-$K27</f>
        <v>100</v>
      </c>
      <c r="E100" s="469">
        <f>D100-$K27</f>
        <v>100</v>
      </c>
      <c r="F100" s="469">
        <f>E100-$K27</f>
        <v>100</v>
      </c>
      <c r="G100" s="469">
        <f>F100-$K27</f>
        <v>100</v>
      </c>
      <c r="H100" s="528"/>
      <c r="I100" s="528"/>
      <c r="J100" s="528"/>
      <c r="K100" s="528"/>
      <c r="L100" s="528"/>
      <c r="M100" s="529"/>
      <c r="N100" s="2504"/>
      <c r="O100" s="2504"/>
      <c r="P100" s="2504"/>
      <c r="Q100" s="2496"/>
      <c r="R100" s="2474"/>
      <c r="S100" s="2474"/>
      <c r="T100" s="2474"/>
      <c r="U100" s="2474"/>
      <c r="V100" s="2474"/>
      <c r="W100" s="2474"/>
      <c r="X100" s="2474"/>
      <c r="Y100" s="2474"/>
      <c r="Z100" s="2474"/>
      <c r="AA100" s="2474"/>
      <c r="AB100" s="2474"/>
      <c r="AC100" s="2474"/>
    </row>
    <row r="101" spans="1:29" s="402" customFormat="1" ht="15.75" thickTop="1">
      <c r="A101" s="478"/>
      <c r="B101" s="471" t="s">
        <v>1773</v>
      </c>
      <c r="C101" s="575" t="s">
        <v>1793</v>
      </c>
      <c r="D101" s="575" t="s">
        <v>1794</v>
      </c>
      <c r="E101" s="575" t="s">
        <v>1795</v>
      </c>
      <c r="F101" s="575" t="s">
        <v>1796</v>
      </c>
      <c r="G101" s="575" t="s">
        <v>1797</v>
      </c>
      <c r="H101" s="521"/>
      <c r="I101" s="521"/>
      <c r="J101" s="521"/>
      <c r="K101" s="521"/>
      <c r="L101" s="521"/>
      <c r="M101" s="1058"/>
      <c r="N101" s="2504"/>
      <c r="O101" s="2504"/>
      <c r="P101" s="2504"/>
      <c r="Q101" s="2496"/>
      <c r="R101" s="2474"/>
      <c r="S101" s="2474"/>
      <c r="T101" s="2474"/>
      <c r="U101" s="2474"/>
      <c r="V101" s="2474"/>
      <c r="W101" s="2474"/>
      <c r="X101" s="2474"/>
      <c r="Y101" s="2474"/>
      <c r="Z101" s="2474"/>
      <c r="AA101" s="2474"/>
      <c r="AB101" s="2474"/>
      <c r="AC101" s="2474"/>
    </row>
    <row r="102" spans="1:29" s="402" customFormat="1" ht="15.75" thickBot="1">
      <c r="A102" s="478"/>
      <c r="B102" s="471"/>
      <c r="C102" s="469">
        <v>100</v>
      </c>
      <c r="D102" s="469">
        <f>C102-$K29</f>
        <v>100</v>
      </c>
      <c r="E102" s="469">
        <f>D102-$K29</f>
        <v>100</v>
      </c>
      <c r="F102" s="469">
        <f>E102-$K29</f>
        <v>100</v>
      </c>
      <c r="G102" s="469">
        <f>F102-$K29</f>
        <v>100</v>
      </c>
      <c r="H102" s="473"/>
      <c r="I102" s="473"/>
      <c r="J102" s="473"/>
      <c r="K102" s="473"/>
      <c r="L102" s="473"/>
      <c r="M102" s="1058"/>
      <c r="N102" s="2504"/>
      <c r="O102" s="2504"/>
      <c r="P102" s="2504"/>
      <c r="Q102" s="2496"/>
      <c r="R102" s="2474"/>
      <c r="S102" s="2474"/>
      <c r="T102" s="2474"/>
      <c r="U102" s="2474"/>
      <c r="V102" s="2474"/>
      <c r="W102" s="2474"/>
      <c r="X102" s="2474"/>
      <c r="Y102" s="2474"/>
      <c r="Z102" s="2474"/>
      <c r="AA102" s="2474"/>
      <c r="AB102" s="2474"/>
      <c r="AC102" s="2474"/>
    </row>
    <row r="103" spans="1:29" ht="15.75" thickTop="1">
      <c r="A103" s="361"/>
      <c r="B103" s="463" t="str">
        <f>B31</f>
        <v>临街状况</v>
      </c>
      <c r="C103" s="464" t="s">
        <v>1903</v>
      </c>
      <c r="D103" s="464" t="s">
        <v>1904</v>
      </c>
      <c r="E103" s="464" t="s">
        <v>1905</v>
      </c>
      <c r="F103" s="464" t="s">
        <v>1906</v>
      </c>
      <c r="G103" s="464"/>
      <c r="H103" s="464"/>
      <c r="I103" s="464"/>
      <c r="J103" s="464"/>
      <c r="K103" s="465"/>
      <c r="L103" s="466"/>
      <c r="M103" s="467"/>
      <c r="N103" s="2502"/>
      <c r="O103" s="2502"/>
      <c r="P103" s="2501"/>
      <c r="Q103" s="2489"/>
      <c r="R103" s="2468"/>
      <c r="S103" s="2468"/>
      <c r="T103" s="2468"/>
      <c r="U103" s="2468"/>
      <c r="V103" s="2468"/>
      <c r="W103" s="2468"/>
      <c r="X103" s="2468"/>
      <c r="Y103" s="2468"/>
      <c r="Z103" s="2468"/>
      <c r="AA103" s="2468"/>
      <c r="AB103" s="2468"/>
      <c r="AC103" s="2468"/>
    </row>
    <row r="104" spans="1:29" ht="15.75" thickBot="1">
      <c r="A104" s="361"/>
      <c r="B104" s="468"/>
      <c r="C104" s="469">
        <v>100</v>
      </c>
      <c r="D104" s="469">
        <f t="shared" ref="D104:M104" si="22">C104-$K31</f>
        <v>100</v>
      </c>
      <c r="E104" s="469">
        <f t="shared" si="22"/>
        <v>100</v>
      </c>
      <c r="F104" s="469">
        <f t="shared" si="22"/>
        <v>100</v>
      </c>
      <c r="G104" s="469">
        <f t="shared" si="22"/>
        <v>100</v>
      </c>
      <c r="H104" s="469">
        <f t="shared" si="22"/>
        <v>100</v>
      </c>
      <c r="I104" s="469">
        <f t="shared" si="22"/>
        <v>100</v>
      </c>
      <c r="J104" s="469">
        <f t="shared" si="22"/>
        <v>100</v>
      </c>
      <c r="K104" s="469">
        <f t="shared" si="22"/>
        <v>100</v>
      </c>
      <c r="L104" s="469">
        <f t="shared" si="22"/>
        <v>100</v>
      </c>
      <c r="M104" s="469">
        <f t="shared" si="22"/>
        <v>100</v>
      </c>
      <c r="N104" s="2503"/>
      <c r="O104" s="2503"/>
      <c r="P104" s="2501"/>
      <c r="Q104" s="2489"/>
      <c r="R104" s="2468"/>
      <c r="S104" s="2468"/>
      <c r="T104" s="2468"/>
      <c r="U104" s="2468"/>
      <c r="V104" s="2468"/>
      <c r="W104" s="2468"/>
      <c r="X104" s="2468"/>
      <c r="Y104" s="2468"/>
      <c r="Z104" s="2468"/>
      <c r="AA104" s="2468"/>
      <c r="AB104" s="2468"/>
      <c r="AC104" s="2468"/>
    </row>
    <row r="105" spans="1:29" ht="27.75" thickTop="1">
      <c r="A105" s="361"/>
      <c r="B105" s="463" t="s">
        <v>1809</v>
      </c>
      <c r="C105" s="479"/>
      <c r="D105" s="479"/>
      <c r="E105" s="479"/>
      <c r="F105" s="479"/>
      <c r="G105" s="479"/>
      <c r="H105" s="507"/>
      <c r="I105" s="507"/>
      <c r="J105" s="507"/>
      <c r="K105" s="508"/>
      <c r="L105" s="509"/>
      <c r="M105" s="510"/>
      <c r="N105" s="2502"/>
      <c r="O105" s="2502"/>
      <c r="P105" s="2501"/>
      <c r="Q105" s="2489"/>
      <c r="R105" s="2468"/>
      <c r="S105" s="2468"/>
      <c r="T105" s="2468"/>
      <c r="U105" s="2468"/>
      <c r="V105" s="2468"/>
      <c r="W105" s="2468"/>
      <c r="X105" s="2468"/>
      <c r="Y105" s="2468"/>
      <c r="Z105" s="2468"/>
      <c r="AA105" s="2468"/>
      <c r="AB105" s="2468"/>
      <c r="AC105" s="2468"/>
    </row>
    <row r="106" spans="1:29" ht="15.75" thickBot="1">
      <c r="A106" s="361"/>
      <c r="B106" s="468"/>
      <c r="C106" s="469">
        <v>100</v>
      </c>
      <c r="D106" s="469">
        <f t="shared" ref="D106:M106" si="23">C106-$K32</f>
        <v>100</v>
      </c>
      <c r="E106" s="469">
        <f t="shared" si="23"/>
        <v>100</v>
      </c>
      <c r="F106" s="469">
        <f t="shared" si="23"/>
        <v>100</v>
      </c>
      <c r="G106" s="469">
        <f t="shared" si="23"/>
        <v>100</v>
      </c>
      <c r="H106" s="469">
        <f t="shared" si="23"/>
        <v>100</v>
      </c>
      <c r="I106" s="469">
        <f t="shared" si="23"/>
        <v>100</v>
      </c>
      <c r="J106" s="469">
        <f t="shared" si="23"/>
        <v>100</v>
      </c>
      <c r="K106" s="469">
        <f t="shared" si="23"/>
        <v>100</v>
      </c>
      <c r="L106" s="469">
        <f t="shared" si="23"/>
        <v>100</v>
      </c>
      <c r="M106" s="469">
        <f t="shared" si="23"/>
        <v>100</v>
      </c>
      <c r="N106" s="2503"/>
      <c r="O106" s="2503"/>
      <c r="P106" s="2501"/>
      <c r="Q106" s="2489"/>
      <c r="R106" s="2468"/>
      <c r="S106" s="2468"/>
      <c r="T106" s="2468"/>
      <c r="U106" s="2468"/>
      <c r="V106" s="2468"/>
      <c r="W106" s="2468"/>
      <c r="X106" s="2468"/>
      <c r="Y106" s="2468"/>
      <c r="Z106" s="2468"/>
      <c r="AA106" s="2468"/>
      <c r="AB106" s="2468"/>
      <c r="AC106" s="2468"/>
    </row>
    <row r="107" spans="1:29" ht="15.75" thickTop="1">
      <c r="A107" s="361"/>
      <c r="B107" s="463" t="s">
        <v>1867</v>
      </c>
      <c r="C107" s="507"/>
      <c r="D107" s="507"/>
      <c r="E107" s="507"/>
      <c r="F107" s="507"/>
      <c r="G107" s="507"/>
      <c r="H107" s="507"/>
      <c r="I107" s="507"/>
      <c r="J107" s="507"/>
      <c r="K107" s="508"/>
      <c r="L107" s="509"/>
      <c r="M107" s="510"/>
      <c r="N107" s="2502"/>
      <c r="O107" s="2502"/>
      <c r="P107" s="2501"/>
      <c r="Q107" s="2489"/>
      <c r="R107" s="2468"/>
      <c r="S107" s="2468"/>
      <c r="T107" s="2468"/>
      <c r="U107" s="2468"/>
      <c r="V107" s="2468"/>
      <c r="W107" s="2468"/>
      <c r="X107" s="2468"/>
      <c r="Y107" s="2468"/>
      <c r="Z107" s="2468"/>
      <c r="AA107" s="2468"/>
      <c r="AB107" s="2468"/>
      <c r="AC107" s="2468"/>
    </row>
    <row r="108" spans="1:29" ht="15.75" thickBot="1">
      <c r="A108" s="361"/>
      <c r="B108" s="468"/>
      <c r="C108" s="469">
        <v>100</v>
      </c>
      <c r="D108" s="469">
        <f t="shared" ref="D108:M108" si="24">C108-$K34</f>
        <v>100</v>
      </c>
      <c r="E108" s="469">
        <f t="shared" si="24"/>
        <v>100</v>
      </c>
      <c r="F108" s="469">
        <f t="shared" si="24"/>
        <v>100</v>
      </c>
      <c r="G108" s="469">
        <f t="shared" si="24"/>
        <v>100</v>
      </c>
      <c r="H108" s="469">
        <f t="shared" si="24"/>
        <v>100</v>
      </c>
      <c r="I108" s="469">
        <f t="shared" si="24"/>
        <v>100</v>
      </c>
      <c r="J108" s="469">
        <f t="shared" si="24"/>
        <v>100</v>
      </c>
      <c r="K108" s="469">
        <f t="shared" si="24"/>
        <v>100</v>
      </c>
      <c r="L108" s="469">
        <f t="shared" si="24"/>
        <v>100</v>
      </c>
      <c r="M108" s="469">
        <f t="shared" si="24"/>
        <v>100</v>
      </c>
      <c r="N108" s="2503"/>
      <c r="O108" s="2503"/>
      <c r="P108" s="2501"/>
      <c r="Q108" s="2489"/>
      <c r="R108" s="2468"/>
      <c r="S108" s="2468"/>
      <c r="T108" s="2468"/>
      <c r="U108" s="2468"/>
      <c r="V108" s="2468"/>
      <c r="W108" s="2468"/>
      <c r="X108" s="2468"/>
      <c r="Y108" s="2468"/>
      <c r="Z108" s="2468"/>
      <c r="AA108" s="2468"/>
      <c r="AB108" s="2468"/>
      <c r="AC108" s="2468"/>
    </row>
    <row r="109" spans="1:29" ht="15.75" thickTop="1">
      <c r="A109" s="361"/>
      <c r="B109" s="471">
        <f>B35</f>
        <v>111</v>
      </c>
      <c r="C109" s="479"/>
      <c r="D109" s="479"/>
      <c r="E109" s="479"/>
      <c r="F109" s="479"/>
      <c r="G109" s="511"/>
      <c r="H109" s="511"/>
      <c r="I109" s="511"/>
      <c r="J109" s="511"/>
      <c r="K109" s="512"/>
      <c r="L109" s="513"/>
      <c r="M109" s="514"/>
      <c r="N109" s="2502"/>
      <c r="O109" s="2502"/>
      <c r="P109" s="2501"/>
      <c r="Q109" s="2489"/>
      <c r="R109" s="2468"/>
      <c r="S109" s="2468"/>
      <c r="T109" s="2468"/>
      <c r="U109" s="2468"/>
      <c r="V109" s="2468"/>
      <c r="W109" s="2468"/>
      <c r="X109" s="2468"/>
      <c r="Y109" s="2468"/>
      <c r="Z109" s="2468"/>
      <c r="AA109" s="2468"/>
      <c r="AB109" s="2468"/>
      <c r="AC109" s="2468"/>
    </row>
    <row r="110" spans="1:29" ht="15.75" thickBot="1">
      <c r="A110" s="361"/>
      <c r="B110" s="494"/>
      <c r="C110" s="485"/>
      <c r="D110" s="485"/>
      <c r="E110" s="485"/>
      <c r="F110" s="485"/>
      <c r="G110" s="515"/>
      <c r="H110" s="515"/>
      <c r="I110" s="515"/>
      <c r="J110" s="515"/>
      <c r="K110" s="515"/>
      <c r="L110" s="515"/>
      <c r="M110" s="516"/>
      <c r="N110" s="2503"/>
      <c r="O110" s="2503"/>
      <c r="P110" s="2501"/>
      <c r="Q110" s="2489"/>
      <c r="R110" s="2468"/>
      <c r="S110" s="2468"/>
      <c r="T110" s="2468"/>
      <c r="U110" s="2468"/>
      <c r="V110" s="2468"/>
      <c r="W110" s="2468"/>
      <c r="X110" s="2468"/>
      <c r="Y110" s="2468"/>
      <c r="Z110" s="2468"/>
      <c r="AA110" s="2468"/>
      <c r="AB110" s="2468"/>
      <c r="AC110" s="2468"/>
    </row>
    <row r="111" spans="1:29" ht="15" thickTop="1">
      <c r="A111" s="589"/>
      <c r="B111" s="463">
        <f>B36</f>
        <v>111</v>
      </c>
      <c r="C111" s="31"/>
      <c r="D111" s="31"/>
      <c r="E111" s="31"/>
      <c r="F111" s="31"/>
      <c r="G111" s="507"/>
      <c r="H111" s="507"/>
      <c r="I111" s="507"/>
      <c r="J111" s="507"/>
      <c r="K111" s="508"/>
      <c r="L111" s="509"/>
      <c r="M111" s="510"/>
      <c r="N111" s="2502"/>
      <c r="O111" s="2502"/>
      <c r="P111" s="2501"/>
      <c r="Q111" s="2489"/>
      <c r="R111" s="2468"/>
      <c r="S111" s="2468"/>
      <c r="T111" s="2468"/>
      <c r="U111" s="2468"/>
      <c r="V111" s="2468"/>
      <c r="W111" s="2468"/>
      <c r="X111" s="2468"/>
      <c r="Y111" s="2468"/>
      <c r="Z111" s="2468"/>
      <c r="AA111" s="2468"/>
      <c r="AB111" s="2468"/>
      <c r="AC111" s="2468"/>
    </row>
    <row r="112" spans="1:29" ht="15.75" thickBot="1">
      <c r="A112" s="361"/>
      <c r="B112" s="468"/>
      <c r="C112" s="495"/>
      <c r="D112" s="495"/>
      <c r="E112" s="495"/>
      <c r="F112" s="495"/>
      <c r="G112" s="461"/>
      <c r="H112" s="461"/>
      <c r="I112" s="461"/>
      <c r="J112" s="461"/>
      <c r="K112" s="461"/>
      <c r="L112" s="461"/>
      <c r="M112" s="462"/>
      <c r="N112" s="2503"/>
      <c r="O112" s="2503"/>
      <c r="P112" s="2501"/>
      <c r="Q112" s="2489"/>
      <c r="R112" s="2468"/>
      <c r="S112" s="2468"/>
      <c r="T112" s="2468"/>
      <c r="U112" s="2468"/>
      <c r="V112" s="2468"/>
      <c r="W112" s="2468"/>
      <c r="X112" s="2468"/>
      <c r="Y112" s="2468"/>
      <c r="Z112" s="2468"/>
      <c r="AA112" s="2468"/>
      <c r="AB112" s="2468"/>
      <c r="AC112" s="2468"/>
    </row>
    <row r="113" spans="1:29" s="402" customFormat="1" ht="15" thickTop="1">
      <c r="A113" s="400"/>
      <c r="B113" s="517">
        <f>B37</f>
        <v>111</v>
      </c>
      <c r="C113" s="6"/>
      <c r="D113" s="6"/>
      <c r="E113" s="6"/>
      <c r="F113" s="6"/>
      <c r="G113" s="6"/>
      <c r="H113" s="6"/>
      <c r="I113" s="6"/>
      <c r="J113" s="518"/>
      <c r="K113" s="518"/>
      <c r="L113" s="519"/>
      <c r="M113" s="520"/>
      <c r="N113" s="2504"/>
      <c r="O113" s="2504"/>
      <c r="P113" s="2504"/>
      <c r="Q113" s="2496"/>
      <c r="R113" s="2474"/>
      <c r="S113" s="2474"/>
      <c r="T113" s="2474"/>
      <c r="U113" s="2474"/>
      <c r="V113" s="2474"/>
      <c r="W113" s="2474"/>
      <c r="X113" s="2474"/>
      <c r="Y113" s="2474"/>
      <c r="Z113" s="2474"/>
      <c r="AA113" s="2474"/>
      <c r="AB113" s="2474"/>
      <c r="AC113" s="2474"/>
    </row>
    <row r="114" spans="1:29" s="402" customFormat="1" ht="15.75" thickBot="1">
      <c r="A114" s="478"/>
      <c r="B114" s="471"/>
      <c r="C114" s="440"/>
      <c r="D114" s="591"/>
      <c r="E114" s="591"/>
      <c r="F114" s="591"/>
      <c r="G114" s="591"/>
      <c r="H114" s="591"/>
      <c r="I114" s="591"/>
      <c r="J114" s="591"/>
      <c r="K114" s="591"/>
      <c r="L114" s="591"/>
      <c r="M114" s="613"/>
      <c r="N114" s="2503"/>
      <c r="O114" s="2503"/>
      <c r="P114" s="2504"/>
      <c r="Q114" s="2496"/>
      <c r="R114" s="2474"/>
      <c r="S114" s="2474"/>
      <c r="T114" s="2474"/>
      <c r="U114" s="2474"/>
      <c r="V114" s="2474"/>
      <c r="W114" s="2474"/>
      <c r="X114" s="2474"/>
      <c r="Y114" s="2474"/>
      <c r="Z114" s="2474"/>
      <c r="AA114" s="2474"/>
      <c r="AB114" s="2474"/>
      <c r="AC114" s="2474"/>
    </row>
    <row r="115" spans="1:29">
      <c r="A115" s="373" t="s">
        <v>1688</v>
      </c>
      <c r="B115" s="454" t="s">
        <v>1907</v>
      </c>
      <c r="C115" s="455" t="str">
        <f>C116&amp;"(含)"&amp;"-"&amp;D116</f>
        <v>(含)-</v>
      </c>
      <c r="D115" s="455" t="str">
        <f t="shared" ref="D115:M115" si="25">D116&amp;"(含)"&amp;"-"&amp;E116</f>
        <v>(含)-</v>
      </c>
      <c r="E115" s="455" t="str">
        <f t="shared" si="25"/>
        <v>(含)-</v>
      </c>
      <c r="F115" s="455" t="str">
        <f t="shared" si="25"/>
        <v>(含)-</v>
      </c>
      <c r="G115" s="455" t="str">
        <f t="shared" si="25"/>
        <v>(含)-</v>
      </c>
      <c r="H115" s="455" t="str">
        <f t="shared" si="25"/>
        <v>(含)-</v>
      </c>
      <c r="I115" s="455" t="str">
        <f t="shared" si="25"/>
        <v>(含)-</v>
      </c>
      <c r="J115" s="455" t="str">
        <f t="shared" si="25"/>
        <v>(含)-</v>
      </c>
      <c r="K115" s="455" t="str">
        <f t="shared" si="25"/>
        <v>(含)-</v>
      </c>
      <c r="L115" s="455" t="str">
        <f t="shared" si="25"/>
        <v>(含)-</v>
      </c>
      <c r="M115" s="455" t="str">
        <f t="shared" si="25"/>
        <v>(含)-</v>
      </c>
      <c r="N115" s="2502"/>
      <c r="O115" s="2502"/>
      <c r="P115" s="2501"/>
      <c r="Q115" s="2489"/>
      <c r="R115" s="2468"/>
      <c r="S115" s="2468"/>
      <c r="T115" s="2468"/>
      <c r="U115" s="2468"/>
      <c r="V115" s="2468"/>
      <c r="W115" s="2468"/>
      <c r="X115" s="2468"/>
      <c r="Y115" s="2468"/>
      <c r="Z115" s="2468"/>
      <c r="AA115" s="2468"/>
      <c r="AB115" s="2468"/>
      <c r="AC115" s="2468"/>
    </row>
    <row r="116" spans="1:29" ht="15">
      <c r="A116" s="361"/>
      <c r="B116" s="471"/>
      <c r="C116" s="6"/>
      <c r="D116" s="6"/>
      <c r="E116" s="6"/>
      <c r="F116" s="6"/>
      <c r="G116" s="6"/>
      <c r="H116" s="6"/>
      <c r="I116" s="6"/>
      <c r="J116" s="518"/>
      <c r="K116" s="518"/>
      <c r="L116" s="519"/>
      <c r="M116" s="520"/>
      <c r="N116" s="2502"/>
      <c r="O116" s="2502"/>
      <c r="P116" s="2501"/>
      <c r="Q116" s="2489"/>
      <c r="R116" s="2468"/>
      <c r="S116" s="2468"/>
      <c r="T116" s="2468"/>
      <c r="U116" s="2468"/>
      <c r="V116" s="2468"/>
      <c r="W116" s="2468"/>
      <c r="X116" s="2468"/>
      <c r="Y116" s="2468"/>
      <c r="Z116" s="2468"/>
      <c r="AA116" s="2468"/>
      <c r="AB116" s="2468"/>
      <c r="AC116" s="2468"/>
    </row>
    <row r="117" spans="1:29" ht="15.75" thickBot="1">
      <c r="A117" s="361"/>
      <c r="B117" s="468"/>
      <c r="C117" s="495"/>
      <c r="D117" s="515"/>
      <c r="E117" s="515"/>
      <c r="F117" s="515"/>
      <c r="G117" s="515"/>
      <c r="H117" s="515"/>
      <c r="I117" s="515"/>
      <c r="J117" s="515"/>
      <c r="K117" s="515"/>
      <c r="L117" s="515"/>
      <c r="M117" s="516"/>
      <c r="N117" s="2503"/>
      <c r="O117" s="2503"/>
      <c r="P117" s="2501"/>
      <c r="Q117" s="2489"/>
      <c r="R117" s="2468"/>
      <c r="S117" s="2468"/>
      <c r="T117" s="2468"/>
      <c r="U117" s="2468"/>
      <c r="V117" s="2468"/>
      <c r="W117" s="2468"/>
      <c r="X117" s="2468"/>
      <c r="Y117" s="2468"/>
      <c r="Z117" s="2468"/>
      <c r="AA117" s="2468"/>
      <c r="AB117" s="2468"/>
      <c r="AC117" s="2468"/>
    </row>
    <row r="118" spans="1:29" ht="15" thickTop="1">
      <c r="A118" s="403"/>
      <c r="B118" s="463" t="s">
        <v>1908</v>
      </c>
      <c r="C118" s="507"/>
      <c r="D118" s="507"/>
      <c r="E118" s="507"/>
      <c r="F118" s="507"/>
      <c r="G118" s="507"/>
      <c r="H118" s="507"/>
      <c r="I118" s="507"/>
      <c r="J118" s="507"/>
      <c r="K118" s="508"/>
      <c r="L118" s="509"/>
      <c r="M118" s="510"/>
      <c r="N118" s="2502"/>
      <c r="O118" s="2502"/>
      <c r="P118" s="2501"/>
      <c r="Q118" s="2489"/>
      <c r="R118" s="2468"/>
      <c r="S118" s="2468"/>
      <c r="T118" s="2468"/>
      <c r="U118" s="2468"/>
      <c r="V118" s="2468"/>
      <c r="W118" s="2468"/>
      <c r="X118" s="2468"/>
      <c r="Y118" s="2468"/>
      <c r="Z118" s="2468"/>
      <c r="AA118" s="2468"/>
      <c r="AB118" s="2468"/>
      <c r="AC118" s="2468"/>
    </row>
    <row r="119" spans="1:29" ht="15.75" thickBot="1">
      <c r="A119" s="361"/>
      <c r="B119" s="468"/>
      <c r="C119" s="469">
        <v>100</v>
      </c>
      <c r="D119" s="469">
        <f t="shared" ref="D119:M119" si="26">C119-$K39</f>
        <v>100</v>
      </c>
      <c r="E119" s="469">
        <f t="shared" si="26"/>
        <v>100</v>
      </c>
      <c r="F119" s="469">
        <f t="shared" si="26"/>
        <v>100</v>
      </c>
      <c r="G119" s="469">
        <f t="shared" si="26"/>
        <v>100</v>
      </c>
      <c r="H119" s="469">
        <f t="shared" si="26"/>
        <v>100</v>
      </c>
      <c r="I119" s="469">
        <f t="shared" si="26"/>
        <v>100</v>
      </c>
      <c r="J119" s="469">
        <f t="shared" si="26"/>
        <v>100</v>
      </c>
      <c r="K119" s="469">
        <f t="shared" si="26"/>
        <v>100</v>
      </c>
      <c r="L119" s="469">
        <f t="shared" si="26"/>
        <v>100</v>
      </c>
      <c r="M119" s="470">
        <f t="shared" si="26"/>
        <v>100</v>
      </c>
      <c r="N119" s="2503"/>
      <c r="O119" s="2503"/>
      <c r="P119" s="2501"/>
      <c r="Q119" s="2489"/>
      <c r="R119" s="2468"/>
      <c r="S119" s="2468"/>
      <c r="T119" s="2468"/>
      <c r="U119" s="2468"/>
      <c r="V119" s="2468"/>
      <c r="W119" s="2468"/>
      <c r="X119" s="2468"/>
      <c r="Y119" s="2468"/>
      <c r="Z119" s="2468"/>
      <c r="AA119" s="2468"/>
      <c r="AB119" s="2468"/>
      <c r="AC119" s="2468"/>
    </row>
    <row r="120" spans="1:29" ht="15" thickTop="1">
      <c r="A120" s="403"/>
      <c r="B120" s="463" t="s">
        <v>1909</v>
      </c>
      <c r="C120" s="479"/>
      <c r="D120" s="479"/>
      <c r="E120" s="479"/>
      <c r="F120" s="507"/>
      <c r="G120" s="507"/>
      <c r="H120" s="507"/>
      <c r="I120" s="507"/>
      <c r="J120" s="507"/>
      <c r="K120" s="508"/>
      <c r="L120" s="509"/>
      <c r="M120" s="510"/>
      <c r="N120" s="2502"/>
      <c r="O120" s="2502"/>
      <c r="P120" s="2501"/>
      <c r="Q120" s="2489"/>
      <c r="R120" s="2468"/>
      <c r="S120" s="2468"/>
      <c r="T120" s="2468"/>
      <c r="U120" s="2468"/>
      <c r="V120" s="2468"/>
      <c r="W120" s="2468"/>
      <c r="X120" s="2468"/>
      <c r="Y120" s="2468"/>
      <c r="Z120" s="2468"/>
      <c r="AA120" s="2468"/>
      <c r="AB120" s="2468"/>
      <c r="AC120" s="2468"/>
    </row>
    <row r="121" spans="1:29" ht="15.75" thickBot="1">
      <c r="A121" s="361"/>
      <c r="B121" s="468"/>
      <c r="C121" s="469">
        <v>100</v>
      </c>
      <c r="D121" s="469">
        <f t="shared" ref="D121:M121" si="27">C121-$K40</f>
        <v>100</v>
      </c>
      <c r="E121" s="469">
        <f t="shared" si="27"/>
        <v>100</v>
      </c>
      <c r="F121" s="469">
        <f t="shared" si="27"/>
        <v>100</v>
      </c>
      <c r="G121" s="469">
        <f t="shared" si="27"/>
        <v>100</v>
      </c>
      <c r="H121" s="469">
        <f t="shared" si="27"/>
        <v>100</v>
      </c>
      <c r="I121" s="469">
        <f t="shared" si="27"/>
        <v>100</v>
      </c>
      <c r="J121" s="469">
        <f t="shared" si="27"/>
        <v>100</v>
      </c>
      <c r="K121" s="469">
        <f t="shared" si="27"/>
        <v>100</v>
      </c>
      <c r="L121" s="469">
        <f t="shared" si="27"/>
        <v>100</v>
      </c>
      <c r="M121" s="470">
        <f t="shared" si="27"/>
        <v>100</v>
      </c>
      <c r="N121" s="2503"/>
      <c r="O121" s="2503"/>
      <c r="P121" s="2501"/>
      <c r="Q121" s="2489"/>
      <c r="R121" s="2468"/>
      <c r="S121" s="2468"/>
      <c r="T121" s="2468"/>
      <c r="U121" s="2468"/>
      <c r="V121" s="2468"/>
      <c r="W121" s="2468"/>
      <c r="X121" s="2468"/>
      <c r="Y121" s="2468"/>
      <c r="Z121" s="2468"/>
      <c r="AA121" s="2468"/>
      <c r="AB121" s="2468"/>
      <c r="AC121" s="2468"/>
    </row>
    <row r="122" spans="1:29" s="402" customFormat="1" ht="15" thickTop="1">
      <c r="A122" s="400"/>
      <c r="B122" s="463" t="s">
        <v>1910</v>
      </c>
      <c r="C122" s="479"/>
      <c r="D122" s="479"/>
      <c r="E122" s="479"/>
      <c r="F122" s="479"/>
      <c r="G122" s="479"/>
      <c r="H122" s="507"/>
      <c r="I122" s="507"/>
      <c r="J122" s="507"/>
      <c r="K122" s="508"/>
      <c r="L122" s="509"/>
      <c r="M122" s="510"/>
      <c r="N122" s="2504"/>
      <c r="O122" s="2504"/>
      <c r="P122" s="2504"/>
      <c r="Q122" s="2496"/>
      <c r="R122" s="2474"/>
      <c r="S122" s="2474"/>
      <c r="T122" s="2474"/>
      <c r="U122" s="2474"/>
      <c r="V122" s="2474"/>
      <c r="W122" s="2474"/>
      <c r="X122" s="2474"/>
      <c r="Y122" s="2474"/>
      <c r="Z122" s="2474"/>
      <c r="AA122" s="2474"/>
      <c r="AB122" s="2474"/>
      <c r="AC122" s="2474"/>
    </row>
    <row r="123" spans="1:29" s="402" customFormat="1" ht="15.75" thickBot="1">
      <c r="A123" s="478"/>
      <c r="B123" s="468"/>
      <c r="C123" s="469">
        <v>100</v>
      </c>
      <c r="D123" s="469">
        <f t="shared" ref="D123:M123" si="28">C123-$K41</f>
        <v>100</v>
      </c>
      <c r="E123" s="469">
        <f t="shared" si="28"/>
        <v>100</v>
      </c>
      <c r="F123" s="469">
        <f t="shared" si="28"/>
        <v>100</v>
      </c>
      <c r="G123" s="469">
        <f t="shared" si="28"/>
        <v>100</v>
      </c>
      <c r="H123" s="469">
        <f t="shared" si="28"/>
        <v>100</v>
      </c>
      <c r="I123" s="469">
        <f t="shared" si="28"/>
        <v>100</v>
      </c>
      <c r="J123" s="469">
        <f t="shared" si="28"/>
        <v>100</v>
      </c>
      <c r="K123" s="469">
        <f t="shared" si="28"/>
        <v>100</v>
      </c>
      <c r="L123" s="469">
        <f t="shared" si="28"/>
        <v>100</v>
      </c>
      <c r="M123" s="470">
        <f t="shared" si="28"/>
        <v>100</v>
      </c>
      <c r="N123" s="2504"/>
      <c r="O123" s="2504"/>
      <c r="P123" s="2504"/>
      <c r="Q123" s="2496"/>
      <c r="R123" s="2474"/>
      <c r="S123" s="2474"/>
      <c r="T123" s="2474"/>
      <c r="U123" s="2474"/>
      <c r="V123" s="2474"/>
      <c r="W123" s="2474"/>
      <c r="X123" s="2474"/>
      <c r="Y123" s="2474"/>
      <c r="Z123" s="2474"/>
      <c r="AA123" s="2474"/>
      <c r="AB123" s="2474"/>
      <c r="AC123" s="2474"/>
    </row>
    <row r="124" spans="1:29" ht="15" thickTop="1">
      <c r="A124" s="403"/>
      <c r="B124" s="463" t="s">
        <v>1911</v>
      </c>
      <c r="C124" s="479"/>
      <c r="D124" s="479"/>
      <c r="E124" s="507"/>
      <c r="F124" s="507"/>
      <c r="G124" s="507"/>
      <c r="H124" s="507"/>
      <c r="I124" s="507"/>
      <c r="J124" s="507"/>
      <c r="K124" s="508"/>
      <c r="L124" s="509"/>
      <c r="M124" s="510"/>
      <c r="N124" s="2502"/>
      <c r="O124" s="2502"/>
      <c r="P124" s="2501"/>
      <c r="Q124" s="2489"/>
      <c r="R124" s="2468"/>
      <c r="S124" s="2468"/>
      <c r="T124" s="2468"/>
      <c r="U124" s="2468"/>
      <c r="V124" s="2468"/>
      <c r="W124" s="2468"/>
      <c r="X124" s="2468"/>
      <c r="Y124" s="2468"/>
      <c r="Z124" s="2468"/>
      <c r="AA124" s="2468"/>
      <c r="AB124" s="2468"/>
      <c r="AC124" s="2468"/>
    </row>
    <row r="125" spans="1:29" ht="15.75" thickBot="1">
      <c r="A125" s="361"/>
      <c r="B125" s="468"/>
      <c r="C125" s="469">
        <v>100</v>
      </c>
      <c r="D125" s="469">
        <f t="shared" ref="D125:M125" si="29">C125-$K42</f>
        <v>100</v>
      </c>
      <c r="E125" s="469">
        <f t="shared" si="29"/>
        <v>100</v>
      </c>
      <c r="F125" s="469">
        <f t="shared" si="29"/>
        <v>100</v>
      </c>
      <c r="G125" s="469">
        <f t="shared" si="29"/>
        <v>100</v>
      </c>
      <c r="H125" s="469">
        <f t="shared" si="29"/>
        <v>100</v>
      </c>
      <c r="I125" s="469">
        <f t="shared" si="29"/>
        <v>100</v>
      </c>
      <c r="J125" s="469">
        <f t="shared" si="29"/>
        <v>100</v>
      </c>
      <c r="K125" s="469">
        <f t="shared" si="29"/>
        <v>100</v>
      </c>
      <c r="L125" s="469">
        <f t="shared" si="29"/>
        <v>100</v>
      </c>
      <c r="M125" s="470">
        <f t="shared" si="29"/>
        <v>100</v>
      </c>
      <c r="N125" s="2503"/>
      <c r="O125" s="2503"/>
      <c r="P125" s="2501"/>
      <c r="Q125" s="2489"/>
      <c r="R125" s="2468"/>
      <c r="S125" s="2468"/>
      <c r="T125" s="2468"/>
      <c r="U125" s="2468"/>
      <c r="V125" s="2468"/>
      <c r="W125" s="2468"/>
      <c r="X125" s="2468"/>
      <c r="Y125" s="2468"/>
      <c r="Z125" s="2468"/>
      <c r="AA125" s="2468"/>
      <c r="AB125" s="2468"/>
      <c r="AC125" s="2468"/>
    </row>
    <row r="126" spans="1:29" ht="15" thickTop="1">
      <c r="A126" s="403"/>
      <c r="B126" s="463">
        <f>B43</f>
        <v>111</v>
      </c>
      <c r="C126" s="479"/>
      <c r="D126" s="479"/>
      <c r="E126" s="479"/>
      <c r="F126" s="479"/>
      <c r="G126" s="479"/>
      <c r="H126" s="507"/>
      <c r="I126" s="507"/>
      <c r="J126" s="507"/>
      <c r="K126" s="508"/>
      <c r="L126" s="509"/>
      <c r="M126" s="510"/>
      <c r="N126" s="2502"/>
      <c r="O126" s="2502"/>
      <c r="P126" s="2501"/>
      <c r="Q126" s="2489"/>
      <c r="R126" s="2468"/>
      <c r="S126" s="2468"/>
      <c r="T126" s="2468"/>
      <c r="U126" s="2468"/>
      <c r="V126" s="2468"/>
      <c r="W126" s="2468"/>
      <c r="X126" s="2468"/>
      <c r="Y126" s="2468"/>
      <c r="Z126" s="2468"/>
      <c r="AA126" s="2468"/>
      <c r="AB126" s="2468"/>
      <c r="AC126" s="2468"/>
    </row>
    <row r="127" spans="1:29" ht="15.75" thickBot="1">
      <c r="A127" s="361"/>
      <c r="B127" s="468"/>
      <c r="C127" s="485"/>
      <c r="D127" s="485"/>
      <c r="E127" s="485"/>
      <c r="F127" s="485"/>
      <c r="G127" s="461"/>
      <c r="H127" s="461"/>
      <c r="I127" s="461"/>
      <c r="J127" s="461"/>
      <c r="K127" s="461"/>
      <c r="L127" s="461"/>
      <c r="M127" s="462"/>
      <c r="N127" s="2503"/>
      <c r="O127" s="2503"/>
      <c r="P127" s="2501"/>
      <c r="Q127" s="2489"/>
      <c r="R127" s="2468"/>
      <c r="S127" s="2468"/>
      <c r="T127" s="2468"/>
      <c r="U127" s="2468"/>
      <c r="V127" s="2468"/>
      <c r="W127" s="2468"/>
      <c r="X127" s="2468"/>
      <c r="Y127" s="2468"/>
      <c r="Z127" s="2468"/>
      <c r="AA127" s="2468"/>
      <c r="AB127" s="2468"/>
      <c r="AC127" s="2468"/>
    </row>
    <row r="128" spans="1:29" ht="15" thickTop="1">
      <c r="A128" s="403"/>
      <c r="B128" s="463">
        <f>B44</f>
        <v>111</v>
      </c>
      <c r="C128" s="31"/>
      <c r="D128" s="31"/>
      <c r="E128" s="31"/>
      <c r="F128" s="31"/>
      <c r="G128" s="507"/>
      <c r="H128" s="507"/>
      <c r="I128" s="507"/>
      <c r="J128" s="507"/>
      <c r="K128" s="508"/>
      <c r="L128" s="509"/>
      <c r="M128" s="510"/>
      <c r="N128" s="2502"/>
      <c r="O128" s="2502"/>
      <c r="P128" s="2501"/>
      <c r="Q128" s="2489"/>
      <c r="R128" s="2468"/>
      <c r="S128" s="2468"/>
      <c r="T128" s="2468"/>
      <c r="U128" s="2468"/>
      <c r="V128" s="2468"/>
      <c r="W128" s="2468"/>
      <c r="X128" s="2468"/>
      <c r="Y128" s="2468"/>
      <c r="Z128" s="2468"/>
      <c r="AA128" s="2468"/>
      <c r="AB128" s="2468"/>
      <c r="AC128" s="2468"/>
    </row>
    <row r="129" spans="1:29" ht="15.75" thickBot="1">
      <c r="A129" s="361"/>
      <c r="B129" s="468"/>
      <c r="C129" s="495"/>
      <c r="D129" s="495"/>
      <c r="E129" s="495"/>
      <c r="F129" s="495"/>
      <c r="G129" s="461"/>
      <c r="H129" s="461"/>
      <c r="I129" s="461"/>
      <c r="J129" s="461"/>
      <c r="K129" s="461"/>
      <c r="L129" s="461"/>
      <c r="M129" s="462"/>
      <c r="N129" s="2503"/>
      <c r="O129" s="2503"/>
      <c r="P129" s="2501"/>
      <c r="Q129" s="2489"/>
      <c r="R129" s="2468"/>
      <c r="S129" s="2468"/>
      <c r="T129" s="2468"/>
      <c r="U129" s="2468"/>
      <c r="V129" s="2468"/>
      <c r="W129" s="2468"/>
      <c r="X129" s="2468"/>
      <c r="Y129" s="2468"/>
      <c r="Z129" s="2468"/>
      <c r="AA129" s="2468"/>
      <c r="AB129" s="2468"/>
      <c r="AC129" s="2468"/>
    </row>
    <row r="130" spans="1:29" s="402" customFormat="1" ht="15" thickTop="1">
      <c r="A130" s="400"/>
      <c r="B130" s="463">
        <f>B45</f>
        <v>111</v>
      </c>
      <c r="C130" s="31"/>
      <c r="D130" s="31"/>
      <c r="E130" s="31"/>
      <c r="F130" s="31"/>
      <c r="G130" s="480"/>
      <c r="H130" s="480"/>
      <c r="I130" s="480"/>
      <c r="J130" s="480"/>
      <c r="K130" s="480"/>
      <c r="L130" s="481"/>
      <c r="M130" s="482"/>
      <c r="N130" s="2504"/>
      <c r="O130" s="2504"/>
      <c r="P130" s="2504"/>
      <c r="Q130" s="2496"/>
      <c r="R130" s="2474"/>
      <c r="S130" s="2474"/>
      <c r="T130" s="2474"/>
      <c r="U130" s="2474"/>
      <c r="V130" s="2474"/>
      <c r="W130" s="2474"/>
      <c r="X130" s="2474"/>
      <c r="Y130" s="2474"/>
      <c r="Z130" s="2474"/>
      <c r="AA130" s="2474"/>
      <c r="AB130" s="2474"/>
      <c r="AC130" s="2474"/>
    </row>
    <row r="131" spans="1:29" s="402" customFormat="1" ht="15.75" thickBot="1">
      <c r="A131" s="493"/>
      <c r="B131" s="614"/>
      <c r="C131" s="495"/>
      <c r="D131" s="495"/>
      <c r="E131" s="495"/>
      <c r="F131" s="495"/>
      <c r="G131" s="515"/>
      <c r="H131" s="515"/>
      <c r="I131" s="515"/>
      <c r="J131" s="515"/>
      <c r="K131" s="515"/>
      <c r="L131" s="515"/>
      <c r="M131" s="516"/>
      <c r="N131" s="2504"/>
      <c r="O131" s="2504"/>
      <c r="P131" s="2504"/>
      <c r="Q131" s="2496"/>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1861</v>
      </c>
      <c r="B1" s="334"/>
      <c r="C1" s="335" t="s">
        <v>1912</v>
      </c>
      <c r="D1" s="643"/>
      <c r="E1" s="643"/>
      <c r="F1" s="642" t="s">
        <v>1761</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1456</v>
      </c>
      <c r="B2" s="585" t="e">
        <f>F61</f>
        <v>#DIV/0!</v>
      </c>
      <c r="C2" s="848"/>
      <c r="D2" s="848"/>
      <c r="E2" s="848"/>
      <c r="F2" s="849"/>
      <c r="G2" s="848"/>
      <c r="H2" s="848"/>
      <c r="I2" s="848"/>
      <c r="J2" s="848"/>
      <c r="K2" s="850"/>
      <c r="L2" s="2484"/>
      <c r="M2" s="2485"/>
      <c r="N2" s="2485"/>
      <c r="O2" s="2485"/>
      <c r="P2" s="335"/>
      <c r="Q2" s="335"/>
      <c r="R2" s="335"/>
      <c r="S2" s="335"/>
      <c r="T2" s="335"/>
      <c r="U2" s="335"/>
      <c r="V2" s="335"/>
      <c r="W2" s="335"/>
      <c r="X2" s="335"/>
      <c r="Y2" s="335"/>
      <c r="Z2" s="335"/>
      <c r="AA2" s="335"/>
      <c r="AB2" s="335"/>
      <c r="AC2" s="655"/>
    </row>
    <row r="3" spans="1:29" s="336" customFormat="1" ht="28.5" customHeight="1" thickBot="1">
      <c r="A3" s="189" t="s">
        <v>1458</v>
      </c>
      <c r="B3" s="530" t="e">
        <f>ROUND(IF(D3="",B2*10000/'数据-汇总表'!E3,B2*10000/D3),0)</f>
        <v>#DIV/0!</v>
      </c>
      <c r="C3" s="189" t="s">
        <v>1863</v>
      </c>
      <c r="D3" s="1104"/>
      <c r="E3" s="848"/>
      <c r="F3" s="849"/>
      <c r="G3" s="848"/>
      <c r="H3" s="848"/>
      <c r="I3" s="848"/>
      <c r="J3" s="848"/>
      <c r="K3" s="850"/>
      <c r="L3" s="2484"/>
      <c r="M3" s="2485"/>
      <c r="N3" s="2485"/>
      <c r="O3" s="2485"/>
      <c r="P3" s="335"/>
      <c r="Q3" s="335"/>
      <c r="R3" s="335"/>
      <c r="S3" s="335"/>
      <c r="T3" s="335"/>
      <c r="U3" s="335"/>
      <c r="V3" s="335"/>
      <c r="W3" s="335"/>
      <c r="X3" s="335"/>
      <c r="Y3" s="335"/>
      <c r="Z3" s="335"/>
      <c r="AA3" s="335"/>
      <c r="AB3" s="668"/>
      <c r="AC3" s="655"/>
    </row>
    <row r="4" spans="1:29" ht="15">
      <c r="A4" s="339" t="s">
        <v>1763</v>
      </c>
      <c r="B4" s="340"/>
      <c r="C4" s="3530" t="s">
        <v>1764</v>
      </c>
      <c r="D4" s="3531"/>
      <c r="E4" s="3532" t="s">
        <v>1765</v>
      </c>
      <c r="F4" s="3533"/>
      <c r="G4" s="3530" t="s">
        <v>1766</v>
      </c>
      <c r="H4" s="3531"/>
      <c r="I4" s="3530" t="s">
        <v>1767</v>
      </c>
      <c r="J4" s="3531"/>
      <c r="K4" s="531" t="s">
        <v>1768</v>
      </c>
      <c r="L4" s="2467"/>
      <c r="M4" s="2468"/>
      <c r="N4" s="2468"/>
      <c r="O4" s="2468"/>
      <c r="P4" s="3534" t="s">
        <v>1769</v>
      </c>
      <c r="Q4" s="3535"/>
      <c r="R4" s="3540" t="s">
        <v>1765</v>
      </c>
      <c r="S4" s="3541"/>
      <c r="T4" s="3540" t="s">
        <v>1766</v>
      </c>
      <c r="U4" s="3541"/>
      <c r="V4" s="3516" t="s">
        <v>1767</v>
      </c>
      <c r="W4" s="3516"/>
      <c r="X4" s="1257"/>
      <c r="Y4" s="3540" t="s">
        <v>1769</v>
      </c>
      <c r="Z4" s="3541"/>
      <c r="AA4" s="3527" t="s">
        <v>1765</v>
      </c>
      <c r="AB4" s="3528" t="s">
        <v>1766</v>
      </c>
      <c r="AC4" s="3527" t="s">
        <v>1767</v>
      </c>
    </row>
    <row r="5" spans="1:29" ht="15">
      <c r="A5" s="342"/>
      <c r="B5" s="343"/>
      <c r="C5" s="3548" t="s">
        <v>1667</v>
      </c>
      <c r="D5" s="3549"/>
      <c r="E5" s="3555" t="s">
        <v>1668</v>
      </c>
      <c r="F5" s="3556"/>
      <c r="G5" s="3548" t="s">
        <v>1669</v>
      </c>
      <c r="H5" s="3549"/>
      <c r="I5" s="3548" t="s">
        <v>1670</v>
      </c>
      <c r="J5" s="3549"/>
      <c r="K5" s="531"/>
      <c r="L5" s="2467"/>
      <c r="M5" s="2468"/>
      <c r="N5" s="2468"/>
      <c r="O5" s="2468"/>
      <c r="P5" s="3536"/>
      <c r="Q5" s="3537"/>
      <c r="R5" s="3542"/>
      <c r="S5" s="3543"/>
      <c r="T5" s="3542"/>
      <c r="U5" s="3543"/>
      <c r="V5" s="3516"/>
      <c r="W5" s="3516"/>
      <c r="X5" s="1257"/>
      <c r="Y5" s="3542"/>
      <c r="Z5" s="3543"/>
      <c r="AA5" s="3528"/>
      <c r="AB5" s="3528"/>
      <c r="AC5" s="3528"/>
    </row>
    <row r="6" spans="1:29" ht="15.75" thickBot="1">
      <c r="A6" s="344"/>
      <c r="B6" s="345"/>
      <c r="C6" s="3577" t="s">
        <v>1913</v>
      </c>
      <c r="D6" s="3578"/>
      <c r="E6" s="3579" t="s">
        <v>1913</v>
      </c>
      <c r="F6" s="3580"/>
      <c r="G6" s="3577" t="s">
        <v>1913</v>
      </c>
      <c r="H6" s="3578"/>
      <c r="I6" s="3577" t="s">
        <v>1913</v>
      </c>
      <c r="J6" s="3578"/>
      <c r="K6" s="531" t="s">
        <v>1672</v>
      </c>
      <c r="L6" s="2467"/>
      <c r="M6" s="2468"/>
      <c r="N6" s="2468"/>
      <c r="O6" s="2468"/>
      <c r="P6" s="3538"/>
      <c r="Q6" s="3539"/>
      <c r="R6" s="3542"/>
      <c r="S6" s="3543"/>
      <c r="T6" s="3544"/>
      <c r="U6" s="3545"/>
      <c r="V6" s="3516"/>
      <c r="W6" s="3516"/>
      <c r="X6" s="1257"/>
      <c r="Y6" s="3544"/>
      <c r="Z6" s="3545"/>
      <c r="AA6" s="3529"/>
      <c r="AB6" s="3529"/>
      <c r="AC6" s="3529"/>
    </row>
    <row r="7" spans="1:29" s="101" customFormat="1" ht="15.75" thickBot="1">
      <c r="A7" s="346" t="s">
        <v>1673</v>
      </c>
      <c r="B7" s="347"/>
      <c r="C7" s="348">
        <f>'数据-取费表'!B2</f>
        <v>45418</v>
      </c>
      <c r="D7" s="349">
        <v>100</v>
      </c>
      <c r="E7" s="350"/>
      <c r="F7" s="351">
        <f>SUMIF(65:65,YEAR(E7)&amp;"-"&amp;INT((MONTH(E7)+2)/3),66:66)</f>
        <v>0</v>
      </c>
      <c r="G7" s="1814"/>
      <c r="H7" s="349">
        <f>SUMIF(65:65,YEAR(G7)&amp;"-"&amp;INT((MONTH(G7)+2)/3),66:66)</f>
        <v>0</v>
      </c>
      <c r="I7" s="1814"/>
      <c r="J7" s="349">
        <f>SUMIF(65:65,YEAR(I7)&amp;"-"&amp;INT((MONTH(I7)+2)/3),66:66)</f>
        <v>0</v>
      </c>
      <c r="K7" s="38"/>
      <c r="L7" s="2469"/>
      <c r="M7" s="2423"/>
      <c r="N7" s="2423"/>
      <c r="O7" s="2423"/>
      <c r="P7" s="3550" t="s">
        <v>1674</v>
      </c>
      <c r="Q7" s="3552"/>
      <c r="R7" s="656" t="s">
        <v>14</v>
      </c>
      <c r="S7" s="657">
        <f t="shared" ref="S7:S15" si="0">F7</f>
        <v>0</v>
      </c>
      <c r="T7" s="656" t="s">
        <v>14</v>
      </c>
      <c r="U7" s="657">
        <f t="shared" ref="U7:U15" si="1">H7</f>
        <v>0</v>
      </c>
      <c r="V7" s="656" t="s">
        <v>14</v>
      </c>
      <c r="W7" s="657">
        <f t="shared" ref="W7:W15" si="2">J7</f>
        <v>0</v>
      </c>
      <c r="X7" s="658"/>
      <c r="Y7" s="3550" t="s">
        <v>1674</v>
      </c>
      <c r="Z7" s="3551"/>
      <c r="AA7" s="50" t="e">
        <f>D7/F7</f>
        <v>#DIV/0!</v>
      </c>
      <c r="AB7" s="50" t="e">
        <f>D7/H7</f>
        <v>#DIV/0!</v>
      </c>
      <c r="AC7" s="50" t="e">
        <f>D7/J7</f>
        <v>#DIV/0!</v>
      </c>
    </row>
    <row r="8" spans="1:29" s="101" customFormat="1" ht="15.75" thickBot="1">
      <c r="A8" s="346" t="s">
        <v>1675</v>
      </c>
      <c r="B8" s="347"/>
      <c r="C8" s="352" t="s">
        <v>1676</v>
      </c>
      <c r="D8" s="349">
        <v>100</v>
      </c>
      <c r="E8" s="352"/>
      <c r="F8" s="351">
        <f>SUMIF(68:68,E8,69:69)-SUMIF(68:68,C8,69:69)+100</f>
        <v>0</v>
      </c>
      <c r="G8" s="352"/>
      <c r="H8" s="349">
        <f>SUMIF(68:68,G8,69:69)-SUMIF(68:68,C8,69:69)+100</f>
        <v>0</v>
      </c>
      <c r="I8" s="352"/>
      <c r="J8" s="349">
        <f>SUMIF(68:68,I8,69:69)-SUMIF(68:68,C8,69:69)+100</f>
        <v>0</v>
      </c>
      <c r="K8" s="38"/>
      <c r="L8" s="2469"/>
      <c r="M8" s="2423"/>
      <c r="N8" s="2423"/>
      <c r="O8" s="2423"/>
      <c r="P8" s="3550" t="s">
        <v>1677</v>
      </c>
      <c r="Q8" s="3551"/>
      <c r="R8" s="656" t="s">
        <v>14</v>
      </c>
      <c r="S8" s="657">
        <f t="shared" si="0"/>
        <v>0</v>
      </c>
      <c r="T8" s="656" t="s">
        <v>14</v>
      </c>
      <c r="U8" s="657">
        <f t="shared" si="1"/>
        <v>0</v>
      </c>
      <c r="V8" s="656" t="s">
        <v>14</v>
      </c>
      <c r="W8" s="657">
        <f t="shared" si="2"/>
        <v>0</v>
      </c>
      <c r="X8" s="658"/>
      <c r="Y8" s="3550" t="s">
        <v>1677</v>
      </c>
      <c r="Z8" s="3551"/>
      <c r="AA8" s="50" t="e">
        <f t="shared" ref="AA8:AA40" si="3">D8/F8</f>
        <v>#DIV/0!</v>
      </c>
      <c r="AB8" s="50" t="e">
        <f t="shared" ref="AB8:AB40" si="4">D8/H8</f>
        <v>#DIV/0!</v>
      </c>
      <c r="AC8" s="50" t="e">
        <f t="shared" ref="AC8:AC40" si="5">D8/J8</f>
        <v>#DIV/0!</v>
      </c>
    </row>
    <row r="9" spans="1:29" s="101" customFormat="1">
      <c r="A9" s="353" t="s">
        <v>1678</v>
      </c>
      <c r="B9" s="60" t="s">
        <v>1679</v>
      </c>
      <c r="C9" s="1817"/>
      <c r="D9" s="59">
        <v>100</v>
      </c>
      <c r="E9" s="1817"/>
      <c r="F9" s="59">
        <f>SUMIF(70:70,E9,71:71)-SUMIF(70:70,C9,71:71)+100</f>
        <v>100</v>
      </c>
      <c r="G9" s="1817"/>
      <c r="H9" s="59">
        <f>SUMIF(70:70,G9,71:71)-SUMIF(70:70,C9,71:71)+100</f>
        <v>100</v>
      </c>
      <c r="I9" s="1817"/>
      <c r="J9" s="59">
        <f>SUMIF(70:70,I9,71:71)-SUMIF(70:70,C9,71:71)+100</f>
        <v>100</v>
      </c>
      <c r="K9" s="38"/>
      <c r="L9" s="2469"/>
      <c r="M9" s="2423"/>
      <c r="N9" s="2423"/>
      <c r="O9" s="2521"/>
      <c r="P9" s="3515" t="s">
        <v>1680</v>
      </c>
      <c r="Q9" s="524" t="str">
        <f t="shared" ref="Q9:Q15" si="6">B9</f>
        <v>用途</v>
      </c>
      <c r="R9" s="656" t="s">
        <v>14</v>
      </c>
      <c r="S9" s="657">
        <f t="shared" si="0"/>
        <v>100</v>
      </c>
      <c r="T9" s="656" t="s">
        <v>14</v>
      </c>
      <c r="U9" s="657">
        <f t="shared" si="1"/>
        <v>100</v>
      </c>
      <c r="V9" s="656" t="s">
        <v>14</v>
      </c>
      <c r="W9" s="657">
        <f t="shared" si="2"/>
        <v>100</v>
      </c>
      <c r="X9" s="658"/>
      <c r="Y9" s="3367" t="s">
        <v>1681</v>
      </c>
      <c r="Z9" s="50" t="str">
        <f t="shared" ref="Z9:Z15" si="7">Q9</f>
        <v>用途</v>
      </c>
      <c r="AA9" s="50">
        <f t="shared" si="3"/>
        <v>1</v>
      </c>
      <c r="AB9" s="50">
        <f t="shared" si="4"/>
        <v>1</v>
      </c>
      <c r="AC9" s="50">
        <f t="shared" si="5"/>
        <v>1</v>
      </c>
    </row>
    <row r="10" spans="1:29" s="360" customFormat="1" ht="27">
      <c r="A10" s="357"/>
      <c r="B10" s="358" t="s">
        <v>1682</v>
      </c>
      <c r="C10" s="365"/>
      <c r="D10" s="113">
        <v>100</v>
      </c>
      <c r="E10" s="365"/>
      <c r="F10" s="113">
        <f>ROUND(100/'数据-取费表'!G16,0)</f>
        <v>118</v>
      </c>
      <c r="G10" s="365"/>
      <c r="H10" s="113">
        <f>ROUND(100/'数据-取费表'!G16,0)</f>
        <v>118</v>
      </c>
      <c r="I10" s="365"/>
      <c r="J10" s="113">
        <f>ROUND(100/'数据-取费表'!G16,0)</f>
        <v>118</v>
      </c>
      <c r="K10" s="586"/>
      <c r="L10" s="2470"/>
      <c r="M10" s="2471"/>
      <c r="N10" s="2471"/>
      <c r="O10" s="2522"/>
      <c r="P10" s="3515"/>
      <c r="Q10" s="524" t="str">
        <f t="shared" si="6"/>
        <v>土地使用年限（年）</v>
      </c>
      <c r="R10" s="656" t="s">
        <v>14</v>
      </c>
      <c r="S10" s="657">
        <f t="shared" si="0"/>
        <v>118</v>
      </c>
      <c r="T10" s="656" t="s">
        <v>14</v>
      </c>
      <c r="U10" s="657">
        <f t="shared" si="1"/>
        <v>118</v>
      </c>
      <c r="V10" s="656" t="s">
        <v>14</v>
      </c>
      <c r="W10" s="657">
        <f t="shared" si="2"/>
        <v>118</v>
      </c>
      <c r="X10" s="658"/>
      <c r="Y10" s="3367"/>
      <c r="Z10" s="50" t="str">
        <f t="shared" si="7"/>
        <v>土地使用年限（年）</v>
      </c>
      <c r="AA10" s="50">
        <f t="shared" si="3"/>
        <v>0.84745762711864403</v>
      </c>
      <c r="AB10" s="50">
        <f t="shared" si="4"/>
        <v>0.84745762711864403</v>
      </c>
      <c r="AC10" s="50">
        <f t="shared" si="5"/>
        <v>0.84745762711864403</v>
      </c>
    </row>
    <row r="11" spans="1:29" ht="15">
      <c r="A11" s="361"/>
      <c r="B11" s="358" t="s">
        <v>1683</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72"/>
      <c r="M11" s="2468"/>
      <c r="N11" s="2468"/>
      <c r="O11" s="2523"/>
      <c r="P11" s="3515"/>
      <c r="Q11" s="524" t="str">
        <f t="shared" si="6"/>
        <v>容积率</v>
      </c>
      <c r="R11" s="656" t="s">
        <v>14</v>
      </c>
      <c r="S11" s="657" t="e">
        <f t="shared" si="0"/>
        <v>#N/A</v>
      </c>
      <c r="T11" s="656" t="s">
        <v>14</v>
      </c>
      <c r="U11" s="657" t="e">
        <f t="shared" si="1"/>
        <v>#N/A</v>
      </c>
      <c r="V11" s="656" t="s">
        <v>14</v>
      </c>
      <c r="W11" s="657" t="e">
        <f t="shared" si="2"/>
        <v>#N/A</v>
      </c>
      <c r="X11" s="658"/>
      <c r="Y11" s="3367"/>
      <c r="Z11" s="50" t="str">
        <f t="shared" si="7"/>
        <v>容积率</v>
      </c>
      <c r="AA11" s="50" t="e">
        <f t="shared" si="3"/>
        <v>#N/A</v>
      </c>
      <c r="AB11" s="50" t="e">
        <f t="shared" si="4"/>
        <v>#N/A</v>
      </c>
      <c r="AC11" s="50" t="e">
        <f t="shared" si="5"/>
        <v>#N/A</v>
      </c>
    </row>
    <row r="12" spans="1:29" s="101"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69"/>
      <c r="M12" s="2423"/>
      <c r="N12" s="2423"/>
      <c r="O12" s="2521"/>
      <c r="P12" s="3515"/>
      <c r="Q12" s="524">
        <f t="shared" si="6"/>
        <v>111</v>
      </c>
      <c r="R12" s="656" t="s">
        <v>14</v>
      </c>
      <c r="S12" s="657">
        <f t="shared" si="0"/>
        <v>100</v>
      </c>
      <c r="T12" s="656" t="s">
        <v>14</v>
      </c>
      <c r="U12" s="657">
        <f t="shared" si="1"/>
        <v>100</v>
      </c>
      <c r="V12" s="656" t="s">
        <v>14</v>
      </c>
      <c r="W12" s="657">
        <f t="shared" si="2"/>
        <v>100</v>
      </c>
      <c r="X12" s="658"/>
      <c r="Y12" s="3367"/>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73"/>
      <c r="M13" s="2468"/>
      <c r="N13" s="2468"/>
      <c r="O13" s="2523"/>
      <c r="P13" s="3515"/>
      <c r="Q13" s="524">
        <f t="shared" si="6"/>
        <v>111</v>
      </c>
      <c r="R13" s="656" t="s">
        <v>14</v>
      </c>
      <c r="S13" s="657">
        <f t="shared" si="0"/>
        <v>100</v>
      </c>
      <c r="T13" s="656" t="s">
        <v>14</v>
      </c>
      <c r="U13" s="657">
        <f t="shared" si="1"/>
        <v>100</v>
      </c>
      <c r="V13" s="656" t="s">
        <v>14</v>
      </c>
      <c r="W13" s="657">
        <f t="shared" si="2"/>
        <v>100</v>
      </c>
      <c r="X13" s="658"/>
      <c r="Y13" s="3367"/>
      <c r="Z13" s="50">
        <f t="shared" si="7"/>
        <v>111</v>
      </c>
      <c r="AA13" s="50">
        <f t="shared" si="3"/>
        <v>1</v>
      </c>
      <c r="AB13" s="50">
        <f t="shared" si="4"/>
        <v>1</v>
      </c>
      <c r="AC13" s="50">
        <f t="shared" si="5"/>
        <v>1</v>
      </c>
    </row>
    <row r="14" spans="1:29" ht="15.75" thickBot="1">
      <c r="A14" s="369"/>
      <c r="B14" s="1741">
        <v>111</v>
      </c>
      <c r="C14" s="370"/>
      <c r="D14" s="371">
        <v>100</v>
      </c>
      <c r="E14" s="474"/>
      <c r="F14" s="371">
        <f>SUMIF(81:81,E14,82:82)-SUMIF(81:81,C14,82:82)+100</f>
        <v>100</v>
      </c>
      <c r="G14" s="588"/>
      <c r="H14" s="371">
        <f>SUMIF(81:81,G14,82:82)-SUMIF(81:81,C14,82:82)+100</f>
        <v>100</v>
      </c>
      <c r="I14" s="474"/>
      <c r="J14" s="371">
        <f>SUMIF(81:81,I14,82:82)-SUMIF(81:81,C14,82:82)+100</f>
        <v>100</v>
      </c>
      <c r="K14" s="586"/>
      <c r="L14" s="2473"/>
      <c r="M14" s="2468"/>
      <c r="N14" s="2468"/>
      <c r="O14" s="2523"/>
      <c r="P14" s="3515"/>
      <c r="Q14" s="524">
        <f t="shared" si="6"/>
        <v>111</v>
      </c>
      <c r="R14" s="656" t="s">
        <v>14</v>
      </c>
      <c r="S14" s="657">
        <f t="shared" si="0"/>
        <v>100</v>
      </c>
      <c r="T14" s="656" t="s">
        <v>14</v>
      </c>
      <c r="U14" s="657">
        <f t="shared" si="1"/>
        <v>100</v>
      </c>
      <c r="V14" s="656" t="s">
        <v>14</v>
      </c>
      <c r="W14" s="657">
        <f t="shared" si="2"/>
        <v>100</v>
      </c>
      <c r="X14" s="658"/>
      <c r="Y14" s="3367"/>
      <c r="Z14" s="50">
        <f t="shared" si="7"/>
        <v>111</v>
      </c>
      <c r="AA14" s="50">
        <f t="shared" si="3"/>
        <v>1</v>
      </c>
      <c r="AB14" s="50">
        <f t="shared" si="4"/>
        <v>1</v>
      </c>
      <c r="AC14" s="50">
        <f t="shared" si="5"/>
        <v>1</v>
      </c>
    </row>
    <row r="15" spans="1:29" ht="57">
      <c r="A15" s="373" t="s">
        <v>1684</v>
      </c>
      <c r="B15" s="548" t="s">
        <v>1914</v>
      </c>
      <c r="C15" s="1811" t="str">
        <f>估价对象房地状况!G15</f>
        <v>估价对象位于XX开发区，园区建设成熟度XX，产业集聚程度XX</v>
      </c>
      <c r="D15" s="374">
        <v>100</v>
      </c>
      <c r="E15" s="375"/>
      <c r="F15" s="374">
        <f>SUMIF(83:83,E16,84:84)-SUMIF(83:83,C16,84:84)+100</f>
        <v>100</v>
      </c>
      <c r="G15" s="375"/>
      <c r="H15" s="374">
        <f>SUMIF(83:83,G16,84:84)-SUMIF(83:83,C16,84:84)+100</f>
        <v>100</v>
      </c>
      <c r="I15" s="377"/>
      <c r="J15" s="374">
        <f>SUMIF(83:83,I16,84:84)-SUMIF(83:83,C16,84:84)+100</f>
        <v>100</v>
      </c>
      <c r="K15" s="587"/>
      <c r="L15" s="2473"/>
      <c r="M15" s="2468"/>
      <c r="N15" s="2468"/>
      <c r="O15" s="2523"/>
      <c r="P15" s="3517" t="s">
        <v>1685</v>
      </c>
      <c r="Q15" s="1255" t="str">
        <f t="shared" si="6"/>
        <v>产业集聚程度</v>
      </c>
      <c r="R15" s="659" t="s">
        <v>14</v>
      </c>
      <c r="S15" s="660">
        <f t="shared" si="0"/>
        <v>100</v>
      </c>
      <c r="T15" s="659" t="s">
        <v>14</v>
      </c>
      <c r="U15" s="660">
        <f t="shared" si="1"/>
        <v>100</v>
      </c>
      <c r="V15" s="659" t="s">
        <v>14</v>
      </c>
      <c r="W15" s="660">
        <f t="shared" si="2"/>
        <v>100</v>
      </c>
      <c r="X15" s="1257"/>
      <c r="Y15" s="3517" t="s">
        <v>1685</v>
      </c>
      <c r="Z15" s="1256" t="str">
        <f t="shared" si="7"/>
        <v>产业集聚程度</v>
      </c>
      <c r="AA15" s="1256">
        <f t="shared" si="3"/>
        <v>1</v>
      </c>
      <c r="AB15" s="1256">
        <f t="shared" si="4"/>
        <v>1</v>
      </c>
      <c r="AC15" s="1256">
        <f t="shared" si="5"/>
        <v>1</v>
      </c>
    </row>
    <row r="16" spans="1:29" ht="15">
      <c r="A16" s="361"/>
      <c r="B16" s="549"/>
      <c r="C16" s="380"/>
      <c r="D16" s="381"/>
      <c r="E16" s="1750"/>
      <c r="F16" s="381"/>
      <c r="G16" s="1750"/>
      <c r="H16" s="383"/>
      <c r="I16" s="1750"/>
      <c r="J16" s="381"/>
      <c r="K16" s="586"/>
      <c r="L16" s="2473"/>
      <c r="M16" s="2468"/>
      <c r="N16" s="2468"/>
      <c r="O16" s="2523"/>
      <c r="P16" s="3518"/>
      <c r="Q16" s="1255"/>
      <c r="R16" s="659"/>
      <c r="S16" s="660"/>
      <c r="T16" s="659"/>
      <c r="U16" s="660"/>
      <c r="V16" s="659"/>
      <c r="W16" s="660"/>
      <c r="X16" s="1257"/>
      <c r="Y16" s="3518"/>
      <c r="Z16" s="1256"/>
      <c r="AA16" s="1256">
        <v>1</v>
      </c>
      <c r="AB16" s="1256">
        <v>1</v>
      </c>
      <c r="AC16" s="1256">
        <v>1</v>
      </c>
    </row>
    <row r="17" spans="1:29" ht="85.5">
      <c r="A17" s="361"/>
      <c r="B17" s="550" t="s">
        <v>1827</v>
      </c>
      <c r="C17" s="1746" t="str">
        <f>估价对象房地状况!G16</f>
        <v>估价对象周边道路状况、公共交通通达情况、停车便捷程度，综合评价交通便捷度较好</v>
      </c>
      <c r="D17" s="383">
        <v>100</v>
      </c>
      <c r="E17" s="385"/>
      <c r="F17" s="388">
        <f>SUMIF(85:85,E18,86:86)-SUMIF(85:85,C18,86:86)+100</f>
        <v>100</v>
      </c>
      <c r="G17" s="385"/>
      <c r="H17" s="388">
        <f>SUMIF(85:85,G18,86:86)-SUMIF(85:85,C18,86:86)+100</f>
        <v>100</v>
      </c>
      <c r="I17" s="387"/>
      <c r="J17" s="383">
        <f>SUMIF(85:85,I18,86:86)-SUMIF(85:85,C18,86:86)+100</f>
        <v>100</v>
      </c>
      <c r="K17" s="587"/>
      <c r="L17" s="2473"/>
      <c r="M17" s="2468"/>
      <c r="N17" s="2468"/>
      <c r="O17" s="2523"/>
      <c r="P17" s="3518"/>
      <c r="Q17" s="1255" t="str">
        <f>B17</f>
        <v>交通便捷度</v>
      </c>
      <c r="R17" s="659" t="s">
        <v>14</v>
      </c>
      <c r="S17" s="660">
        <f>F17</f>
        <v>100</v>
      </c>
      <c r="T17" s="659" t="s">
        <v>14</v>
      </c>
      <c r="U17" s="660">
        <f>H17</f>
        <v>100</v>
      </c>
      <c r="V17" s="659" t="s">
        <v>14</v>
      </c>
      <c r="W17" s="660">
        <f>J17</f>
        <v>100</v>
      </c>
      <c r="X17" s="1257"/>
      <c r="Y17" s="3518"/>
      <c r="Z17" s="1256" t="str">
        <f>Q17</f>
        <v>交通便捷度</v>
      </c>
      <c r="AA17" s="1256">
        <f t="shared" si="3"/>
        <v>1</v>
      </c>
      <c r="AB17" s="1256">
        <f t="shared" si="4"/>
        <v>1</v>
      </c>
      <c r="AC17" s="1256">
        <f t="shared" si="5"/>
        <v>1</v>
      </c>
    </row>
    <row r="18" spans="1:29" ht="15">
      <c r="A18" s="361"/>
      <c r="B18" s="395"/>
      <c r="C18" s="380"/>
      <c r="D18" s="381"/>
      <c r="E18" s="1744"/>
      <c r="F18" s="381"/>
      <c r="G18" s="1744"/>
      <c r="H18" s="381"/>
      <c r="I18" s="1743"/>
      <c r="J18" s="381"/>
      <c r="K18" s="586"/>
      <c r="L18" s="2473"/>
      <c r="M18" s="2468"/>
      <c r="N18" s="2468"/>
      <c r="O18" s="2523"/>
      <c r="P18" s="3518"/>
      <c r="Q18" s="1255"/>
      <c r="R18" s="659"/>
      <c r="S18" s="660"/>
      <c r="T18" s="659"/>
      <c r="U18" s="660"/>
      <c r="V18" s="659"/>
      <c r="W18" s="660"/>
      <c r="X18" s="1257"/>
      <c r="Y18" s="3518"/>
      <c r="Z18" s="1256"/>
      <c r="AA18" s="1256">
        <v>1</v>
      </c>
      <c r="AB18" s="1256">
        <v>1</v>
      </c>
      <c r="AC18" s="1256">
        <v>1</v>
      </c>
    </row>
    <row r="19" spans="1:29" ht="15">
      <c r="A19" s="361"/>
      <c r="B19" s="550" t="s">
        <v>1865</v>
      </c>
      <c r="C19" s="1746">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73"/>
      <c r="M19" s="2468"/>
      <c r="N19" s="2468"/>
      <c r="O19" s="2523"/>
      <c r="P19" s="3518"/>
      <c r="Q19" s="1255" t="str">
        <f t="shared" ref="Q19:Q33" si="8">B19</f>
        <v>区域土地利用方向</v>
      </c>
      <c r="R19" s="659" t="s">
        <v>14</v>
      </c>
      <c r="S19" s="660">
        <f>F19</f>
        <v>100</v>
      </c>
      <c r="T19" s="659" t="s">
        <v>14</v>
      </c>
      <c r="U19" s="660">
        <f>H19</f>
        <v>100</v>
      </c>
      <c r="V19" s="659" t="s">
        <v>14</v>
      </c>
      <c r="W19" s="660">
        <f>J19</f>
        <v>100</v>
      </c>
      <c r="X19" s="1257"/>
      <c r="Y19" s="3518"/>
      <c r="Z19" s="1256" t="str">
        <f>Q19</f>
        <v>区域土地利用方向</v>
      </c>
      <c r="AA19" s="1256">
        <f t="shared" si="3"/>
        <v>1</v>
      </c>
      <c r="AB19" s="1256">
        <f t="shared" si="4"/>
        <v>1</v>
      </c>
      <c r="AC19" s="1256">
        <f t="shared" si="5"/>
        <v>1</v>
      </c>
    </row>
    <row r="20" spans="1:29" ht="15">
      <c r="A20" s="342"/>
      <c r="B20" s="395"/>
      <c r="C20" s="380"/>
      <c r="D20" s="381"/>
      <c r="E20" s="1744"/>
      <c r="F20" s="381"/>
      <c r="G20" s="1744"/>
      <c r="H20" s="381"/>
      <c r="I20" s="1744"/>
      <c r="J20" s="381"/>
      <c r="K20" s="691"/>
      <c r="L20" s="2473"/>
      <c r="M20" s="2468"/>
      <c r="N20" s="2468"/>
      <c r="O20" s="2523"/>
      <c r="P20" s="3518"/>
      <c r="Q20" s="1255"/>
      <c r="R20" s="659"/>
      <c r="S20" s="660"/>
      <c r="T20" s="659"/>
      <c r="U20" s="660"/>
      <c r="V20" s="659"/>
      <c r="W20" s="660"/>
      <c r="X20" s="1257"/>
      <c r="Y20" s="3518"/>
      <c r="Z20" s="1256"/>
      <c r="AA20" s="1256"/>
      <c r="AB20" s="1256"/>
      <c r="AC20" s="1256"/>
    </row>
    <row r="21" spans="1:29" ht="71.25">
      <c r="A21" s="342"/>
      <c r="B21" s="550" t="s">
        <v>1915</v>
      </c>
      <c r="C21" s="1746" t="str">
        <f>估价对象房地状况!G18</f>
        <v>该园区内是否有污染型企业，绿化情况，卫生条件，整体环境状况判断</v>
      </c>
      <c r="D21" s="383">
        <v>100</v>
      </c>
      <c r="E21" s="385"/>
      <c r="F21" s="383">
        <f>SUMIF(89:89,E22,90:90)-SUMIF(89:89,C22,90:90)+100</f>
        <v>100</v>
      </c>
      <c r="G21" s="385"/>
      <c r="H21" s="383">
        <f>SUMIF(89:89,G22,90:90)-SUMIF(89:89,C22,90:90)+100</f>
        <v>100</v>
      </c>
      <c r="I21" s="387"/>
      <c r="J21" s="383">
        <f>SUMIF(89:89,I22,90:90)-SUMIF(89:89,C22,90:90)+100</f>
        <v>100</v>
      </c>
      <c r="K21" s="587"/>
      <c r="L21" s="2473"/>
      <c r="M21" s="2468"/>
      <c r="N21" s="2468"/>
      <c r="O21" s="2523"/>
      <c r="P21" s="3518"/>
      <c r="Q21" s="1255" t="str">
        <f t="shared" si="8"/>
        <v>环境状况</v>
      </c>
      <c r="R21" s="659" t="s">
        <v>14</v>
      </c>
      <c r="S21" s="660">
        <f>F21</f>
        <v>100</v>
      </c>
      <c r="T21" s="659" t="s">
        <v>14</v>
      </c>
      <c r="U21" s="660">
        <f>H21</f>
        <v>100</v>
      </c>
      <c r="V21" s="659" t="s">
        <v>14</v>
      </c>
      <c r="W21" s="660">
        <f>J21</f>
        <v>100</v>
      </c>
      <c r="X21" s="1257"/>
      <c r="Y21" s="3518"/>
      <c r="Z21" s="1256" t="str">
        <f>Q21</f>
        <v>环境状况</v>
      </c>
      <c r="AA21" s="1256">
        <f t="shared" si="3"/>
        <v>1</v>
      </c>
      <c r="AB21" s="1256">
        <f t="shared" si="4"/>
        <v>1</v>
      </c>
      <c r="AC21" s="1256">
        <f t="shared" si="5"/>
        <v>1</v>
      </c>
    </row>
    <row r="22" spans="1:29" ht="15">
      <c r="A22" s="342"/>
      <c r="B22" s="395"/>
      <c r="C22" s="380"/>
      <c r="D22" s="381"/>
      <c r="E22" s="1750"/>
      <c r="F22" s="381"/>
      <c r="G22" s="1750"/>
      <c r="H22" s="381"/>
      <c r="I22" s="380"/>
      <c r="J22" s="381"/>
      <c r="K22" s="586"/>
      <c r="L22" s="2473"/>
      <c r="M22" s="2468"/>
      <c r="N22" s="2468"/>
      <c r="O22" s="2523"/>
      <c r="P22" s="3518"/>
      <c r="Q22" s="1255"/>
      <c r="R22" s="659"/>
      <c r="S22" s="660"/>
      <c r="T22" s="659"/>
      <c r="U22" s="660"/>
      <c r="V22" s="659"/>
      <c r="W22" s="660"/>
      <c r="X22" s="1257"/>
      <c r="Y22" s="3518"/>
      <c r="Z22" s="1256"/>
      <c r="AA22" s="1256">
        <v>1</v>
      </c>
      <c r="AB22" s="1256">
        <v>1</v>
      </c>
      <c r="AC22" s="1256">
        <v>1</v>
      </c>
    </row>
    <row r="23" spans="1:29" s="101" customFormat="1" ht="42.75">
      <c r="A23" s="437"/>
      <c r="B23" s="551" t="s">
        <v>1772</v>
      </c>
      <c r="C23" s="1746" t="str">
        <f>估价对象房地状况!G19</f>
        <v>估价对象所在区域公共配套设施齐备情况</v>
      </c>
      <c r="D23" s="383">
        <v>100</v>
      </c>
      <c r="E23" s="385"/>
      <c r="F23" s="383">
        <f>SUMIF(91:91,E24,92:92)-SUMIF(91:91,C24,92:92)+100</f>
        <v>100</v>
      </c>
      <c r="G23" s="385"/>
      <c r="H23" s="383">
        <f>SUMIF(91:91,G24,92:92)-SUMIF(91:91,C24,92:92)+100</f>
        <v>100</v>
      </c>
      <c r="I23" s="387"/>
      <c r="J23" s="383">
        <f>SUMIF(91:91,I24,92:92)-SUMIF(91:91,C24,92:92)+100</f>
        <v>100</v>
      </c>
      <c r="K23" s="587"/>
      <c r="L23" s="2469"/>
      <c r="M23" s="2423"/>
      <c r="N23" s="2423"/>
      <c r="O23" s="2521"/>
      <c r="P23" s="3518"/>
      <c r="Q23" s="524" t="str">
        <f t="shared" si="8"/>
        <v>公共配套设施</v>
      </c>
      <c r="R23" s="656" t="s">
        <v>14</v>
      </c>
      <c r="S23" s="657">
        <f>F23</f>
        <v>100</v>
      </c>
      <c r="T23" s="656" t="s">
        <v>14</v>
      </c>
      <c r="U23" s="657">
        <f>H23</f>
        <v>100</v>
      </c>
      <c r="V23" s="656" t="s">
        <v>14</v>
      </c>
      <c r="W23" s="657">
        <f>J23</f>
        <v>100</v>
      </c>
      <c r="X23" s="658"/>
      <c r="Y23" s="3518"/>
      <c r="Z23" s="50" t="str">
        <f>Q23</f>
        <v>公共配套设施</v>
      </c>
      <c r="AA23" s="1256">
        <f>D23/F23</f>
        <v>1</v>
      </c>
      <c r="AB23" s="1256">
        <f>D23/H23</f>
        <v>1</v>
      </c>
      <c r="AC23" s="1256">
        <f>D23/J23</f>
        <v>1</v>
      </c>
    </row>
    <row r="24" spans="1:29" s="101" customFormat="1" ht="15">
      <c r="A24" s="437"/>
      <c r="B24" s="395"/>
      <c r="C24" s="1818"/>
      <c r="D24" s="381"/>
      <c r="E24" s="1750"/>
      <c r="F24" s="381"/>
      <c r="G24" s="1750"/>
      <c r="H24" s="381"/>
      <c r="I24" s="380"/>
      <c r="J24" s="381"/>
      <c r="K24" s="586"/>
      <c r="L24" s="2469"/>
      <c r="M24" s="2423"/>
      <c r="N24" s="2423"/>
      <c r="O24" s="2521"/>
      <c r="P24" s="3518"/>
      <c r="Q24" s="524"/>
      <c r="R24" s="656"/>
      <c r="S24" s="657"/>
      <c r="T24" s="656"/>
      <c r="U24" s="657"/>
      <c r="V24" s="656"/>
      <c r="W24" s="657"/>
      <c r="X24" s="658"/>
      <c r="Y24" s="3518"/>
      <c r="Z24" s="50"/>
      <c r="AA24" s="50">
        <v>1</v>
      </c>
      <c r="AB24" s="50">
        <v>1</v>
      </c>
      <c r="AC24" s="50">
        <v>1</v>
      </c>
    </row>
    <row r="25" spans="1:29" s="101" customFormat="1" ht="28.5">
      <c r="A25" s="437"/>
      <c r="B25" s="551" t="s">
        <v>1773</v>
      </c>
      <c r="C25" s="1746" t="str">
        <f>估价对象房地状况!G20</f>
        <v>估价对象所在区域基础设施水平</v>
      </c>
      <c r="D25" s="383">
        <v>100</v>
      </c>
      <c r="E25" s="385"/>
      <c r="F25" s="383">
        <f>SUMIF(93:93,E26,94:94)-SUMIF(93:93,C26,94:94)+100</f>
        <v>100</v>
      </c>
      <c r="G25" s="385"/>
      <c r="H25" s="383">
        <f>SUMIF(93:93,G26,94:94)-SUMIF(93:93,C26,94:94)+100</f>
        <v>100</v>
      </c>
      <c r="I25" s="387"/>
      <c r="J25" s="383">
        <f>SUMIF(93:93,I26,94:94)-SUMIF(93:93,C26,94:94)+100</f>
        <v>100</v>
      </c>
      <c r="K25" s="587"/>
      <c r="L25" s="2469"/>
      <c r="M25" s="2423"/>
      <c r="N25" s="2423"/>
      <c r="O25" s="2521"/>
      <c r="P25" s="3518"/>
      <c r="Q25" s="524" t="str">
        <f t="shared" ref="Q25" si="9">B25</f>
        <v>基础设施水平</v>
      </c>
      <c r="R25" s="656" t="s">
        <v>14</v>
      </c>
      <c r="S25" s="657">
        <f>F25</f>
        <v>100</v>
      </c>
      <c r="T25" s="656" t="s">
        <v>14</v>
      </c>
      <c r="U25" s="657">
        <f>H25</f>
        <v>100</v>
      </c>
      <c r="V25" s="656" t="s">
        <v>14</v>
      </c>
      <c r="W25" s="657">
        <f>J25</f>
        <v>100</v>
      </c>
      <c r="X25" s="658"/>
      <c r="Y25" s="3518"/>
      <c r="Z25" s="50" t="str">
        <f>Q25</f>
        <v>基础设施水平</v>
      </c>
      <c r="AA25" s="1256">
        <f>D25/F25</f>
        <v>1</v>
      </c>
      <c r="AB25" s="1256">
        <f>D25/H25</f>
        <v>1</v>
      </c>
      <c r="AC25" s="1256">
        <f>D25/J25</f>
        <v>1</v>
      </c>
    </row>
    <row r="26" spans="1:29" s="101" customFormat="1" ht="15">
      <c r="A26" s="437"/>
      <c r="B26" s="395"/>
      <c r="C26" s="1818"/>
      <c r="D26" s="381"/>
      <c r="E26" s="1819"/>
      <c r="F26" s="381"/>
      <c r="G26" s="1819"/>
      <c r="H26" s="381"/>
      <c r="I26" s="1819"/>
      <c r="J26" s="381"/>
      <c r="K26" s="586"/>
      <c r="L26" s="2469"/>
      <c r="M26" s="2423"/>
      <c r="N26" s="2423"/>
      <c r="O26" s="2521"/>
      <c r="P26" s="3518"/>
      <c r="Q26" s="524"/>
      <c r="R26" s="656"/>
      <c r="S26" s="657"/>
      <c r="T26" s="656"/>
      <c r="U26" s="657"/>
      <c r="V26" s="656"/>
      <c r="W26" s="657"/>
      <c r="X26" s="658"/>
      <c r="Y26" s="3518"/>
      <c r="Z26" s="50"/>
      <c r="AA26" s="50">
        <v>1</v>
      </c>
      <c r="AB26" s="50">
        <v>1</v>
      </c>
      <c r="AC26" s="50">
        <v>1</v>
      </c>
    </row>
    <row r="27" spans="1:29" ht="15">
      <c r="A27" s="361"/>
      <c r="B27" s="395" t="s">
        <v>1774</v>
      </c>
      <c r="C27" s="536"/>
      <c r="D27" s="368">
        <v>100</v>
      </c>
      <c r="E27" s="552"/>
      <c r="F27" s="368">
        <f>SUMIF(95:95,E27,96:96)-SUMIF(95:95,C27,96:96)+100</f>
        <v>100</v>
      </c>
      <c r="G27" s="552"/>
      <c r="H27" s="368">
        <f>SUMIF(95:95,G27,96:96)-SUMIF(95:95,C27,96:96)+100</f>
        <v>100</v>
      </c>
      <c r="I27" s="552"/>
      <c r="J27" s="368">
        <f>SUMIF(95:95,I27,96:96)-SUMIF(95:95,C27,96:96)+100</f>
        <v>100</v>
      </c>
      <c r="K27" s="587"/>
      <c r="L27" s="2473"/>
      <c r="M27" s="2468"/>
      <c r="N27" s="2468"/>
      <c r="O27" s="2523"/>
      <c r="P27" s="3518"/>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518"/>
      <c r="Z27" s="1256" t="str">
        <f t="shared" ref="Z27:Z40" si="13">Q27</f>
        <v>临街状况</v>
      </c>
      <c r="AA27" s="1256">
        <f t="shared" si="3"/>
        <v>1</v>
      </c>
      <c r="AB27" s="1256">
        <f t="shared" si="4"/>
        <v>1</v>
      </c>
      <c r="AC27" s="1256">
        <f t="shared" si="5"/>
        <v>1</v>
      </c>
    </row>
    <row r="28" spans="1:29" ht="27">
      <c r="A28" s="361"/>
      <c r="B28" s="551" t="s">
        <v>1809</v>
      </c>
      <c r="C28" s="1830">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73"/>
      <c r="M28" s="2468"/>
      <c r="N28" s="2468"/>
      <c r="O28" s="2523"/>
      <c r="P28" s="3518"/>
      <c r="Q28" s="1255" t="str">
        <f t="shared" si="8"/>
        <v>毗邻道路的类型与等级</v>
      </c>
      <c r="R28" s="659" t="s">
        <v>14</v>
      </c>
      <c r="S28" s="660">
        <f t="shared" si="10"/>
        <v>100</v>
      </c>
      <c r="T28" s="659" t="s">
        <v>14</v>
      </c>
      <c r="U28" s="660">
        <f t="shared" si="11"/>
        <v>100</v>
      </c>
      <c r="V28" s="659" t="s">
        <v>14</v>
      </c>
      <c r="W28" s="660">
        <f t="shared" si="12"/>
        <v>100</v>
      </c>
      <c r="X28" s="1257"/>
      <c r="Y28" s="3518"/>
      <c r="Z28" s="1256" t="str">
        <f t="shared" si="13"/>
        <v>毗邻道路的类型与等级</v>
      </c>
      <c r="AA28" s="1256">
        <f t="shared" si="3"/>
        <v>1</v>
      </c>
      <c r="AB28" s="1256">
        <f t="shared" si="4"/>
        <v>1</v>
      </c>
      <c r="AC28" s="1256">
        <f t="shared" si="5"/>
        <v>1</v>
      </c>
    </row>
    <row r="29" spans="1:29" ht="15">
      <c r="A29" s="361"/>
      <c r="B29" s="395"/>
      <c r="C29" s="380"/>
      <c r="D29" s="381"/>
      <c r="E29" s="1750"/>
      <c r="F29" s="381"/>
      <c r="G29" s="1750"/>
      <c r="H29" s="381"/>
      <c r="I29" s="1750"/>
      <c r="J29" s="381"/>
      <c r="K29" s="533"/>
      <c r="L29" s="2473"/>
      <c r="M29" s="2468"/>
      <c r="N29" s="2468"/>
      <c r="O29" s="2523"/>
      <c r="P29" s="3518"/>
      <c r="Q29" s="1255"/>
      <c r="R29" s="659"/>
      <c r="S29" s="660"/>
      <c r="T29" s="659"/>
      <c r="U29" s="660"/>
      <c r="V29" s="659"/>
      <c r="W29" s="660"/>
      <c r="X29" s="1257"/>
      <c r="Y29" s="3518"/>
      <c r="Z29" s="1256"/>
      <c r="AA29" s="1256">
        <v>1</v>
      </c>
      <c r="AB29" s="1256">
        <v>1</v>
      </c>
      <c r="AC29" s="1256">
        <v>1</v>
      </c>
    </row>
    <row r="30" spans="1:29" ht="15">
      <c r="A30" s="361"/>
      <c r="B30" s="113" t="s">
        <v>1867</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73"/>
      <c r="M30" s="2468"/>
      <c r="N30" s="2468"/>
      <c r="O30" s="2523"/>
      <c r="P30" s="3518"/>
      <c r="Q30" s="1255" t="str">
        <f t="shared" si="8"/>
        <v>土地级别</v>
      </c>
      <c r="R30" s="659" t="s">
        <v>14</v>
      </c>
      <c r="S30" s="660">
        <f t="shared" si="10"/>
        <v>100</v>
      </c>
      <c r="T30" s="659" t="s">
        <v>14</v>
      </c>
      <c r="U30" s="660">
        <f t="shared" si="11"/>
        <v>100</v>
      </c>
      <c r="V30" s="659" t="s">
        <v>14</v>
      </c>
      <c r="W30" s="660">
        <f t="shared" si="12"/>
        <v>100</v>
      </c>
      <c r="X30" s="1257"/>
      <c r="Y30" s="3518"/>
      <c r="Z30" s="1256" t="str">
        <f t="shared" si="13"/>
        <v>土地级别</v>
      </c>
      <c r="AA30" s="1256">
        <f t="shared" si="3"/>
        <v>1</v>
      </c>
      <c r="AB30" s="1256">
        <f t="shared" si="4"/>
        <v>1</v>
      </c>
      <c r="AC30" s="1256">
        <f t="shared" si="5"/>
        <v>1</v>
      </c>
    </row>
    <row r="31" spans="1:29" ht="15">
      <c r="A31" s="342"/>
      <c r="B31" s="1092">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73"/>
      <c r="M31" s="2468"/>
      <c r="N31" s="2468"/>
      <c r="O31" s="2523"/>
      <c r="P31" s="3518"/>
      <c r="Q31" s="1255">
        <f t="shared" si="8"/>
        <v>111</v>
      </c>
      <c r="R31" s="659" t="s">
        <v>14</v>
      </c>
      <c r="S31" s="660">
        <f t="shared" si="10"/>
        <v>100</v>
      </c>
      <c r="T31" s="659" t="s">
        <v>14</v>
      </c>
      <c r="U31" s="660">
        <f t="shared" si="11"/>
        <v>100</v>
      </c>
      <c r="V31" s="659" t="s">
        <v>14</v>
      </c>
      <c r="W31" s="660">
        <f t="shared" si="12"/>
        <v>100</v>
      </c>
      <c r="X31" s="1257"/>
      <c r="Y31" s="3518"/>
      <c r="Z31" s="1256">
        <f t="shared" si="13"/>
        <v>111</v>
      </c>
      <c r="AA31" s="1256">
        <f t="shared" si="3"/>
        <v>1</v>
      </c>
      <c r="AB31" s="1256">
        <f t="shared" si="4"/>
        <v>1</v>
      </c>
      <c r="AC31" s="1256">
        <f t="shared" si="5"/>
        <v>1</v>
      </c>
    </row>
    <row r="32" spans="1:29" ht="15">
      <c r="A32" s="589"/>
      <c r="B32" s="1831">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73"/>
      <c r="M32" s="2468"/>
      <c r="N32" s="2468"/>
      <c r="O32" s="2523"/>
      <c r="P32" s="3572" t="s">
        <v>1690</v>
      </c>
      <c r="Q32" s="1255">
        <f t="shared" si="8"/>
        <v>111</v>
      </c>
      <c r="R32" s="659" t="s">
        <v>14</v>
      </c>
      <c r="S32" s="660">
        <f t="shared" si="10"/>
        <v>100</v>
      </c>
      <c r="T32" s="659" t="s">
        <v>14</v>
      </c>
      <c r="U32" s="660">
        <f t="shared" si="11"/>
        <v>100</v>
      </c>
      <c r="V32" s="659" t="s">
        <v>14</v>
      </c>
      <c r="W32" s="660">
        <f t="shared" si="12"/>
        <v>100</v>
      </c>
      <c r="X32" s="1257"/>
      <c r="Y32" s="3522" t="s">
        <v>1690</v>
      </c>
      <c r="Z32" s="1256">
        <f t="shared" si="13"/>
        <v>111</v>
      </c>
      <c r="AA32" s="1256">
        <f t="shared" si="3"/>
        <v>1</v>
      </c>
      <c r="AB32" s="1256">
        <f t="shared" si="4"/>
        <v>1</v>
      </c>
      <c r="AC32" s="1256">
        <f t="shared" si="5"/>
        <v>1</v>
      </c>
    </row>
    <row r="33" spans="1:31" s="402" customFormat="1" ht="15.75" thickBot="1">
      <c r="A33" s="590"/>
      <c r="B33" s="1832">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72"/>
      <c r="M33" s="2474"/>
      <c r="N33" s="2474"/>
      <c r="O33" s="2524"/>
      <c r="P33" s="3522"/>
      <c r="Q33" s="1255">
        <f t="shared" si="8"/>
        <v>111</v>
      </c>
      <c r="R33" s="661" t="s">
        <v>14</v>
      </c>
      <c r="S33" s="662">
        <f t="shared" si="10"/>
        <v>100</v>
      </c>
      <c r="T33" s="661" t="s">
        <v>14</v>
      </c>
      <c r="U33" s="662">
        <f t="shared" si="11"/>
        <v>100</v>
      </c>
      <c r="V33" s="661" t="s">
        <v>14</v>
      </c>
      <c r="W33" s="662">
        <f t="shared" si="12"/>
        <v>100</v>
      </c>
      <c r="X33" s="663"/>
      <c r="Y33" s="3522"/>
      <c r="Z33" s="664">
        <f t="shared" si="13"/>
        <v>111</v>
      </c>
      <c r="AA33" s="1256">
        <f t="shared" si="3"/>
        <v>1</v>
      </c>
      <c r="AB33" s="1256">
        <f t="shared" si="4"/>
        <v>1</v>
      </c>
      <c r="AC33" s="1256">
        <f t="shared" si="5"/>
        <v>1</v>
      </c>
    </row>
    <row r="34" spans="1:31" ht="15">
      <c r="A34" s="373" t="s">
        <v>1688</v>
      </c>
      <c r="B34" s="389" t="s">
        <v>1868</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73"/>
      <c r="M34" s="2468"/>
      <c r="N34" s="2468"/>
      <c r="O34" s="2523"/>
      <c r="P34" s="3522"/>
      <c r="Q34" s="1255" t="str">
        <f>B34</f>
        <v>宗地面积</v>
      </c>
      <c r="R34" s="659" t="s">
        <v>14</v>
      </c>
      <c r="S34" s="660" t="e">
        <f t="shared" si="10"/>
        <v>#N/A</v>
      </c>
      <c r="T34" s="659" t="s">
        <v>14</v>
      </c>
      <c r="U34" s="660" t="e">
        <f t="shared" si="11"/>
        <v>#N/A</v>
      </c>
      <c r="V34" s="659" t="s">
        <v>14</v>
      </c>
      <c r="W34" s="660" t="e">
        <f t="shared" si="12"/>
        <v>#N/A</v>
      </c>
      <c r="X34" s="1257"/>
      <c r="Y34" s="3522"/>
      <c r="Z34" s="1256" t="str">
        <f t="shared" si="13"/>
        <v>宗地面积</v>
      </c>
      <c r="AA34" s="1256" t="e">
        <f t="shared" si="3"/>
        <v>#N/A</v>
      </c>
      <c r="AB34" s="1256" t="e">
        <f t="shared" si="4"/>
        <v>#N/A</v>
      </c>
      <c r="AC34" s="1256" t="e">
        <f t="shared" si="5"/>
        <v>#N/A</v>
      </c>
    </row>
    <row r="35" spans="1:31" ht="15">
      <c r="A35" s="403"/>
      <c r="B35" s="358" t="s">
        <v>1869</v>
      </c>
      <c r="C35" s="1752"/>
      <c r="D35" s="368">
        <v>100</v>
      </c>
      <c r="E35" s="1752"/>
      <c r="F35" s="368">
        <f>SUMIF(110:110,E35,111:111)-SUMIF(110:110,C35,111:111)+100</f>
        <v>100</v>
      </c>
      <c r="G35" s="1752"/>
      <c r="H35" s="368">
        <f>SUMIF(110:110,G35,111:111)-SUMIF(110:110,C35,111:111)+100</f>
        <v>100</v>
      </c>
      <c r="I35" s="1752"/>
      <c r="J35" s="368">
        <f>SUMIF(110:110,I35,111:111)-SUMIF(110:110,C35,111:111)+100</f>
        <v>100</v>
      </c>
      <c r="K35" s="532"/>
      <c r="L35" s="2473"/>
      <c r="M35" s="2468"/>
      <c r="N35" s="2468"/>
      <c r="O35" s="2523"/>
      <c r="P35" s="3522"/>
      <c r="Q35" s="1255" t="str">
        <f t="shared" ref="Q35:Q40" si="14">B35</f>
        <v>宗地形状</v>
      </c>
      <c r="R35" s="659" t="s">
        <v>14</v>
      </c>
      <c r="S35" s="660">
        <f t="shared" si="10"/>
        <v>100</v>
      </c>
      <c r="T35" s="659" t="s">
        <v>14</v>
      </c>
      <c r="U35" s="660">
        <f t="shared" si="11"/>
        <v>100</v>
      </c>
      <c r="V35" s="659" t="s">
        <v>14</v>
      </c>
      <c r="W35" s="660">
        <f t="shared" si="12"/>
        <v>100</v>
      </c>
      <c r="X35" s="1257"/>
      <c r="Y35" s="3522"/>
      <c r="Z35" s="1256" t="str">
        <f t="shared" si="13"/>
        <v>宗地形状</v>
      </c>
      <c r="AA35" s="1256">
        <f t="shared" si="3"/>
        <v>1</v>
      </c>
      <c r="AB35" s="1256">
        <f t="shared" si="4"/>
        <v>1</v>
      </c>
      <c r="AC35" s="1256">
        <f t="shared" si="5"/>
        <v>1</v>
      </c>
    </row>
    <row r="36" spans="1:31" s="101" customFormat="1" ht="15">
      <c r="A36" s="404"/>
      <c r="B36" s="358" t="s">
        <v>1871</v>
      </c>
      <c r="C36" s="1820"/>
      <c r="D36" s="113">
        <v>100</v>
      </c>
      <c r="E36" s="1820"/>
      <c r="F36" s="368">
        <f>SUMIF(112:112,E36,113:113)-SUMIF(112:112,C36,113:113)+100</f>
        <v>100</v>
      </c>
      <c r="G36" s="1820"/>
      <c r="H36" s="368">
        <f>SUMIF(112:112,G36,113:113)-SUMIF(112:112,C36,113:113)+100</f>
        <v>100</v>
      </c>
      <c r="I36" s="1820"/>
      <c r="J36" s="368">
        <f>SUMIF(112:112,I36,113:113)-SUMIF(112:112,C36,113:113)+100</f>
        <v>100</v>
      </c>
      <c r="K36" s="532"/>
      <c r="L36" s="2469"/>
      <c r="M36" s="2423"/>
      <c r="N36" s="2423"/>
      <c r="O36" s="2521"/>
      <c r="P36" s="3522"/>
      <c r="Q36" s="1255" t="str">
        <f t="shared" si="14"/>
        <v>宗地开发程度</v>
      </c>
      <c r="R36" s="656" t="s">
        <v>14</v>
      </c>
      <c r="S36" s="657">
        <f t="shared" si="10"/>
        <v>100</v>
      </c>
      <c r="T36" s="656" t="s">
        <v>14</v>
      </c>
      <c r="U36" s="657">
        <f t="shared" si="11"/>
        <v>100</v>
      </c>
      <c r="V36" s="656" t="s">
        <v>14</v>
      </c>
      <c r="W36" s="657">
        <f t="shared" si="12"/>
        <v>100</v>
      </c>
      <c r="X36" s="658"/>
      <c r="Y36" s="3522"/>
      <c r="Z36" s="50" t="str">
        <f t="shared" si="13"/>
        <v>宗地开发程度</v>
      </c>
      <c r="AA36" s="50">
        <f t="shared" si="3"/>
        <v>1</v>
      </c>
      <c r="AB36" s="50">
        <f t="shared" si="4"/>
        <v>1</v>
      </c>
      <c r="AC36" s="50">
        <f t="shared" si="5"/>
        <v>1</v>
      </c>
    </row>
    <row r="37" spans="1:31" ht="15">
      <c r="A37" s="403"/>
      <c r="B37" s="358" t="s">
        <v>1872</v>
      </c>
      <c r="C37" s="1752"/>
      <c r="D37" s="368">
        <v>100</v>
      </c>
      <c r="E37" s="1752"/>
      <c r="F37" s="368">
        <f>SUMIF(114:114,E37,115:115)-SUMIF(114:114,C37,115:115)+100</f>
        <v>100</v>
      </c>
      <c r="G37" s="1752"/>
      <c r="H37" s="368">
        <f>SUMIF(114:114,G37,115:115)-SUMIF(114:114,C37,115:115)+100</f>
        <v>100</v>
      </c>
      <c r="I37" s="1752"/>
      <c r="J37" s="368">
        <f>SUMIF(114:114,I37,115:115)-SUMIF(114:114,C37,115:115)+100</f>
        <v>100</v>
      </c>
      <c r="K37" s="532"/>
      <c r="L37" s="2473"/>
      <c r="M37" s="2468"/>
      <c r="N37" s="2468"/>
      <c r="O37" s="2523"/>
      <c r="P37" s="3522" t="s">
        <v>1690</v>
      </c>
      <c r="Q37" s="1255" t="str">
        <f t="shared" si="14"/>
        <v>工程地质条件</v>
      </c>
      <c r="R37" s="659" t="s">
        <v>14</v>
      </c>
      <c r="S37" s="660">
        <f t="shared" si="10"/>
        <v>100</v>
      </c>
      <c r="T37" s="659" t="s">
        <v>14</v>
      </c>
      <c r="U37" s="660">
        <f t="shared" si="11"/>
        <v>100</v>
      </c>
      <c r="V37" s="659" t="s">
        <v>14</v>
      </c>
      <c r="W37" s="660">
        <f t="shared" si="12"/>
        <v>100</v>
      </c>
      <c r="X37" s="1257"/>
      <c r="Y37" s="3522" t="s">
        <v>1690</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73"/>
      <c r="M38" s="2468"/>
      <c r="N38" s="2468"/>
      <c r="O38" s="2523"/>
      <c r="P38" s="3522"/>
      <c r="Q38" s="1255">
        <f t="shared" si="14"/>
        <v>111</v>
      </c>
      <c r="R38" s="659" t="s">
        <v>14</v>
      </c>
      <c r="S38" s="660">
        <f t="shared" si="10"/>
        <v>100</v>
      </c>
      <c r="T38" s="659" t="s">
        <v>14</v>
      </c>
      <c r="U38" s="660">
        <f t="shared" si="11"/>
        <v>100</v>
      </c>
      <c r="V38" s="659" t="s">
        <v>14</v>
      </c>
      <c r="W38" s="660">
        <f t="shared" si="12"/>
        <v>100</v>
      </c>
      <c r="X38" s="1257"/>
      <c r="Y38" s="3522"/>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73"/>
      <c r="M39" s="2468"/>
      <c r="N39" s="2468"/>
      <c r="O39" s="2523"/>
      <c r="P39" s="3522"/>
      <c r="Q39" s="1255">
        <f t="shared" si="14"/>
        <v>111</v>
      </c>
      <c r="R39" s="659" t="s">
        <v>14</v>
      </c>
      <c r="S39" s="660">
        <f t="shared" si="10"/>
        <v>100</v>
      </c>
      <c r="T39" s="659" t="s">
        <v>14</v>
      </c>
      <c r="U39" s="660">
        <f t="shared" si="11"/>
        <v>100</v>
      </c>
      <c r="V39" s="659" t="s">
        <v>14</v>
      </c>
      <c r="W39" s="660">
        <f t="shared" si="12"/>
        <v>100</v>
      </c>
      <c r="X39" s="1257"/>
      <c r="Y39" s="3522"/>
      <c r="Z39" s="1256">
        <f t="shared" si="13"/>
        <v>111</v>
      </c>
      <c r="AA39" s="1256">
        <f t="shared" si="3"/>
        <v>1</v>
      </c>
      <c r="AB39" s="1256">
        <f t="shared" si="4"/>
        <v>1</v>
      </c>
      <c r="AC39" s="1256">
        <f t="shared" si="5"/>
        <v>1</v>
      </c>
    </row>
    <row r="40" spans="1:31" s="402" customFormat="1" ht="15.75" thickBot="1">
      <c r="A40" s="400"/>
      <c r="B40" s="1060">
        <v>111</v>
      </c>
      <c r="C40" s="1821"/>
      <c r="D40" s="114">
        <v>100</v>
      </c>
      <c r="E40" s="588"/>
      <c r="F40" s="371">
        <f>SUMIF(120:120,E40,121:121)-SUMIF(120:120,C40,121:121)+100</f>
        <v>100</v>
      </c>
      <c r="G40" s="588"/>
      <c r="H40" s="371">
        <f>SUMIF(120:120,G40,121:121)-SUMIF(120:120,C40,121:121)+100</f>
        <v>100</v>
      </c>
      <c r="I40" s="474"/>
      <c r="J40" s="371">
        <f>SUMIF(120:120,I40,121:121)-SUMIF(120:120,C40,121:121)+100</f>
        <v>100</v>
      </c>
      <c r="K40" s="595"/>
      <c r="L40" s="2472"/>
      <c r="M40" s="2474"/>
      <c r="N40" s="2474"/>
      <c r="O40" s="2524"/>
      <c r="P40" s="3522"/>
      <c r="Q40" s="1255">
        <f t="shared" si="14"/>
        <v>111</v>
      </c>
      <c r="R40" s="661" t="s">
        <v>14</v>
      </c>
      <c r="S40" s="662">
        <f t="shared" si="10"/>
        <v>100</v>
      </c>
      <c r="T40" s="661" t="s">
        <v>14</v>
      </c>
      <c r="U40" s="662">
        <f t="shared" si="11"/>
        <v>100</v>
      </c>
      <c r="V40" s="661" t="s">
        <v>14</v>
      </c>
      <c r="W40" s="662">
        <f t="shared" si="12"/>
        <v>100</v>
      </c>
      <c r="X40" s="663"/>
      <c r="Y40" s="3522"/>
      <c r="Z40" s="664">
        <f t="shared" si="13"/>
        <v>111</v>
      </c>
      <c r="AA40" s="1256">
        <f t="shared" si="3"/>
        <v>1</v>
      </c>
      <c r="AB40" s="1256">
        <f t="shared" si="4"/>
        <v>1</v>
      </c>
      <c r="AC40" s="1256">
        <f t="shared" si="5"/>
        <v>1</v>
      </c>
    </row>
    <row r="41" spans="1:31" ht="15">
      <c r="A41" s="410" t="s">
        <v>1838</v>
      </c>
      <c r="B41" s="1822" t="s">
        <v>1916</v>
      </c>
      <c r="C41" s="596" t="s">
        <v>0</v>
      </c>
      <c r="D41" s="412"/>
      <c r="E41" s="413"/>
      <c r="F41" s="414"/>
      <c r="G41" s="415"/>
      <c r="H41" s="416"/>
      <c r="I41" s="413"/>
      <c r="J41" s="416"/>
      <c r="K41" s="666"/>
      <c r="L41" s="2475"/>
      <c r="M41" s="2468"/>
      <c r="N41" s="2468"/>
      <c r="O41" s="2468"/>
      <c r="P41" s="3515" t="str">
        <f>A41</f>
        <v>成交单价</v>
      </c>
      <c r="Q41" s="3515"/>
      <c r="R41" s="3516">
        <f>E41</f>
        <v>0</v>
      </c>
      <c r="S41" s="3516"/>
      <c r="T41" s="3516">
        <f>G41</f>
        <v>0</v>
      </c>
      <c r="U41" s="3516"/>
      <c r="V41" s="3516">
        <f>I41</f>
        <v>0</v>
      </c>
      <c r="W41" s="3516"/>
      <c r="X41" s="379"/>
      <c r="Y41" s="665"/>
      <c r="Z41" s="379"/>
      <c r="AA41" s="379"/>
      <c r="AB41" s="379"/>
      <c r="AC41" s="379"/>
    </row>
    <row r="42" spans="1:31" ht="15.75" thickBot="1">
      <c r="A42" s="417" t="s">
        <v>1787</v>
      </c>
      <c r="B42" s="597"/>
      <c r="C42" s="420" t="e">
        <f>R43</f>
        <v>#DIV/0!</v>
      </c>
      <c r="D42" s="2133" t="s">
        <v>2132</v>
      </c>
      <c r="E42" s="420" t="e">
        <f>R42</f>
        <v>#DIV/0!</v>
      </c>
      <c r="F42" s="2134"/>
      <c r="G42" s="419" t="e">
        <f>T42</f>
        <v>#DIV/0!</v>
      </c>
      <c r="H42" s="2134"/>
      <c r="I42" s="420" t="e">
        <f>V42</f>
        <v>#DIV/0!</v>
      </c>
      <c r="J42" s="2134"/>
      <c r="K42" s="2136">
        <f>F42+H42+J42</f>
        <v>0</v>
      </c>
      <c r="L42" s="2475"/>
      <c r="M42" s="2468"/>
      <c r="N42" s="2468"/>
      <c r="O42" s="2468"/>
      <c r="P42" s="3515" t="str">
        <f>A42</f>
        <v>比较价值（元/平方米）</v>
      </c>
      <c r="Q42" s="3515"/>
      <c r="R42" s="3574" t="e">
        <f>ROUND(PRODUCT(R41,AA7:AA40),0)</f>
        <v>#DIV/0!</v>
      </c>
      <c r="S42" s="3574"/>
      <c r="T42" s="3574" t="e">
        <f>ROUND(PRODUCT(T41,AB7:AB40),0)</f>
        <v>#DIV/0!</v>
      </c>
      <c r="U42" s="3574"/>
      <c r="V42" s="3574" t="e">
        <f>ROUND(PRODUCT(V41,AC7:AC40),0)</f>
        <v>#DIV/0!</v>
      </c>
      <c r="W42" s="3574"/>
      <c r="X42" s="379"/>
      <c r="Y42" s="379"/>
      <c r="Z42" s="379"/>
      <c r="AA42" s="379"/>
      <c r="AB42" s="379"/>
      <c r="AC42" s="379"/>
    </row>
    <row r="43" spans="1:31" ht="15.75" thickBot="1">
      <c r="A43" s="421" t="s">
        <v>1788</v>
      </c>
      <c r="B43" s="422"/>
      <c r="C43" s="423" t="e">
        <f>R43</f>
        <v>#DIV/0!</v>
      </c>
      <c r="D43" s="423"/>
      <c r="E43" s="423"/>
      <c r="F43" s="423"/>
      <c r="G43" s="423"/>
      <c r="H43" s="423"/>
      <c r="I43" s="423"/>
      <c r="J43" s="423"/>
      <c r="K43" s="667"/>
      <c r="L43" s="2475"/>
      <c r="M43" s="2468"/>
      <c r="N43" s="2468"/>
      <c r="O43" s="2468"/>
      <c r="P43" s="3512" t="str">
        <f>A43</f>
        <v>估价对象XX用房的比较价值（楼面单价，元/平方米）</v>
      </c>
      <c r="Q43" s="3513"/>
      <c r="R43" s="3575" t="e">
        <f>ROUND(IF(D42="简单平均",AVERAGE(R42:W42),R42*F42+T42*H42+V42*J42),0)</f>
        <v>#DIV/0!</v>
      </c>
      <c r="S43" s="3575"/>
      <c r="T43" s="3575"/>
      <c r="U43" s="3575"/>
      <c r="V43" s="3575"/>
      <c r="W43" s="3575"/>
      <c r="X43" s="379"/>
      <c r="Y43" s="379"/>
      <c r="Z43" s="379"/>
      <c r="AA43" s="379"/>
      <c r="AB43" s="379"/>
      <c r="AC43" s="379"/>
    </row>
    <row r="44" spans="1:31">
      <c r="A44" s="2468"/>
      <c r="B44" s="2468"/>
      <c r="C44" s="2468"/>
      <c r="D44" s="2468"/>
      <c r="E44" s="2468"/>
      <c r="F44" s="2468"/>
      <c r="G44" s="2479"/>
      <c r="H44" s="2468"/>
      <c r="I44" s="2468"/>
      <c r="J44" s="2468"/>
      <c r="K44" s="2480"/>
      <c r="L44" s="2476"/>
      <c r="M44" s="2468"/>
      <c r="N44" s="2468"/>
      <c r="O44" s="2468"/>
      <c r="P44" s="2468"/>
      <c r="Q44" s="2468"/>
      <c r="R44" s="2468"/>
      <c r="S44" s="2468"/>
      <c r="T44" s="2468"/>
      <c r="U44" s="2468"/>
      <c r="V44" s="2468"/>
      <c r="W44" s="2468"/>
      <c r="X44" s="2468"/>
      <c r="Y44" s="2468"/>
      <c r="Z44" s="2468"/>
      <c r="AA44" s="2468"/>
      <c r="AB44" s="2468"/>
      <c r="AC44" s="2468"/>
      <c r="AD44" s="2468"/>
      <c r="AE44" s="2468"/>
    </row>
    <row r="45" spans="1:31">
      <c r="A45" s="2468"/>
      <c r="B45" s="2468"/>
      <c r="C45" s="2468"/>
      <c r="D45" s="2468"/>
      <c r="E45" s="2468"/>
      <c r="F45" s="2468"/>
      <c r="G45" s="2468"/>
      <c r="H45" s="2468"/>
      <c r="I45" s="2468"/>
      <c r="J45" s="2468"/>
      <c r="K45" s="2480"/>
      <c r="L45" s="2476"/>
      <c r="M45" s="2468"/>
      <c r="N45" s="2468"/>
      <c r="O45" s="2468"/>
      <c r="P45" s="2468"/>
      <c r="Q45" s="2468"/>
      <c r="R45" s="2468"/>
      <c r="S45" s="2468"/>
      <c r="T45" s="2468"/>
      <c r="U45" s="2468"/>
      <c r="V45" s="2468"/>
      <c r="W45" s="2468"/>
      <c r="X45" s="2468"/>
      <c r="Y45" s="2468"/>
      <c r="Z45" s="2468"/>
      <c r="AA45" s="2468"/>
      <c r="AB45" s="2468"/>
      <c r="AC45" s="2468"/>
      <c r="AD45" s="2468"/>
      <c r="AE45" s="2468"/>
    </row>
    <row r="46" spans="1:31" ht="13.5" customHeight="1">
      <c r="A46" s="2468"/>
      <c r="B46" s="2468"/>
      <c r="C46" s="426" t="s">
        <v>1789</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0"/>
      <c r="L46" s="2476"/>
      <c r="M46" s="2468"/>
      <c r="N46" s="2468"/>
      <c r="O46" s="2468"/>
      <c r="P46" s="2468"/>
      <c r="Q46" s="2468"/>
      <c r="R46" s="2468"/>
      <c r="S46" s="2468"/>
      <c r="T46" s="2468"/>
      <c r="U46" s="2468"/>
      <c r="V46" s="2468"/>
      <c r="W46" s="2468"/>
      <c r="X46" s="2468"/>
      <c r="Y46" s="2468"/>
      <c r="Z46" s="2468"/>
      <c r="AA46" s="2468"/>
      <c r="AB46" s="2468"/>
      <c r="AC46" s="2468"/>
      <c r="AD46" s="2468"/>
      <c r="AE46" s="2468"/>
    </row>
    <row r="47" spans="1:31" ht="13.5" customHeight="1">
      <c r="A47" s="2468"/>
      <c r="B47" s="2468"/>
      <c r="C47" s="426" t="s">
        <v>1790</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0"/>
      <c r="L47" s="2476"/>
      <c r="M47" s="2468"/>
      <c r="N47" s="2468"/>
      <c r="O47" s="2468"/>
      <c r="P47" s="2468"/>
      <c r="Q47" s="2468"/>
      <c r="R47" s="2468"/>
      <c r="S47" s="2468"/>
      <c r="T47" s="2468"/>
      <c r="U47" s="2468"/>
      <c r="V47" s="2468"/>
      <c r="W47" s="2468"/>
      <c r="X47" s="2468"/>
      <c r="Y47" s="2468"/>
      <c r="Z47" s="2468"/>
      <c r="AA47" s="2468"/>
      <c r="AB47" s="2468"/>
      <c r="AC47" s="2468"/>
      <c r="AD47" s="2468"/>
      <c r="AE47" s="2468"/>
    </row>
    <row r="48" spans="1:31" s="431" customFormat="1" ht="13.5" customHeight="1">
      <c r="A48" s="2478"/>
      <c r="B48" s="2478"/>
      <c r="C48" s="426" t="s">
        <v>1791</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3"/>
      <c r="L48" s="2477"/>
      <c r="M48" s="2478"/>
      <c r="N48" s="2478"/>
      <c r="O48" s="2478"/>
      <c r="P48" s="2478"/>
      <c r="Q48" s="2478"/>
      <c r="R48" s="2478"/>
      <c r="S48" s="2478"/>
      <c r="T48" s="2478"/>
      <c r="U48" s="2478"/>
      <c r="V48" s="2478"/>
      <c r="W48" s="2478"/>
      <c r="X48" s="2478"/>
      <c r="Y48" s="2478"/>
      <c r="Z48" s="2478"/>
      <c r="AA48" s="2478"/>
      <c r="AB48" s="2478"/>
      <c r="AC48" s="2478"/>
      <c r="AD48" s="2478"/>
      <c r="AE48" s="2478"/>
    </row>
    <row r="49" spans="1:31" s="431" customFormat="1" ht="15" thickBot="1">
      <c r="A49" s="2478"/>
      <c r="B49" s="2481"/>
      <c r="C49" s="649"/>
      <c r="D49" s="647"/>
      <c r="E49" s="647"/>
      <c r="F49" s="647"/>
      <c r="G49" s="647"/>
      <c r="H49" s="647"/>
      <c r="I49" s="647"/>
      <c r="J49" s="647"/>
      <c r="K49" s="2483"/>
      <c r="L49" s="2477"/>
      <c r="M49" s="2478"/>
      <c r="N49" s="2478"/>
      <c r="O49" s="2478"/>
      <c r="P49" s="2478"/>
      <c r="Q49" s="2478"/>
      <c r="R49" s="2478"/>
      <c r="S49" s="2478"/>
      <c r="T49" s="2478"/>
      <c r="U49" s="2478"/>
      <c r="V49" s="2478"/>
      <c r="W49" s="2478"/>
      <c r="X49" s="2478"/>
      <c r="Y49" s="2478"/>
      <c r="Z49" s="2478"/>
      <c r="AA49" s="2478"/>
      <c r="AB49" s="2478"/>
      <c r="AC49" s="2478"/>
      <c r="AD49" s="2478"/>
      <c r="AE49" s="2478"/>
    </row>
    <row r="50" spans="1:31" ht="27">
      <c r="A50" s="598" t="s">
        <v>1875</v>
      </c>
      <c r="B50" s="599" t="s">
        <v>1876</v>
      </c>
      <c r="C50" s="1823" t="s">
        <v>1877</v>
      </c>
      <c r="D50" s="1824" t="s">
        <v>1878</v>
      </c>
      <c r="E50" s="600" t="s">
        <v>1879</v>
      </c>
      <c r="F50" s="601" t="s">
        <v>1880</v>
      </c>
      <c r="G50" s="3530" t="s">
        <v>1881</v>
      </c>
      <c r="H50" s="3576"/>
      <c r="I50" s="1256" t="s">
        <v>1917</v>
      </c>
      <c r="J50" s="1256">
        <f>项目基本情况!F35</f>
        <v>0</v>
      </c>
      <c r="K50" s="1826" t="s">
        <v>1883</v>
      </c>
      <c r="L50" s="2476"/>
      <c r="M50" s="2468"/>
      <c r="N50" s="2468"/>
      <c r="O50" s="2468"/>
      <c r="P50" s="2468"/>
      <c r="Q50" s="2468"/>
      <c r="R50" s="2468"/>
      <c r="S50" s="2468"/>
      <c r="T50" s="2468"/>
      <c r="U50" s="2468"/>
      <c r="V50" s="2468"/>
      <c r="W50" s="2468"/>
      <c r="X50" s="2468"/>
      <c r="Y50" s="2468"/>
      <c r="Z50" s="2468"/>
      <c r="AA50" s="2468"/>
      <c r="AB50" s="2468"/>
      <c r="AC50" s="2468"/>
      <c r="AD50" s="2468"/>
      <c r="AE50" s="2468"/>
    </row>
    <row r="51" spans="1:31" s="606" customFormat="1">
      <c r="A51" s="602" t="s">
        <v>1884</v>
      </c>
      <c r="B51" s="603" t="e">
        <f>C43</f>
        <v>#DIV/0!</v>
      </c>
      <c r="C51" s="604">
        <v>1</v>
      </c>
      <c r="D51" s="883">
        <v>1</v>
      </c>
      <c r="E51" s="604">
        <f>'数据-汇总表'!E8+'数据-汇总表'!E9</f>
        <v>0</v>
      </c>
      <c r="F51" s="605" t="e">
        <f t="shared" ref="F51:F60" si="15">ROUND(B51*E51/10000,0)</f>
        <v>#DIV/0!</v>
      </c>
      <c r="G51" s="3526"/>
      <c r="H51" s="3515"/>
      <c r="I51" s="720">
        <v>1</v>
      </c>
      <c r="J51" s="720">
        <v>1</v>
      </c>
      <c r="K51" s="2478"/>
      <c r="L51" s="2527"/>
      <c r="M51" s="2527"/>
      <c r="N51" s="2527"/>
      <c r="O51" s="2527"/>
      <c r="P51" s="2527"/>
      <c r="Q51" s="2527"/>
      <c r="R51" s="2527"/>
      <c r="S51" s="2527"/>
      <c r="T51" s="2527"/>
      <c r="U51" s="2527"/>
      <c r="V51" s="2527"/>
      <c r="W51" s="2527"/>
      <c r="X51" s="2527"/>
      <c r="Y51" s="2527"/>
      <c r="Z51" s="2527"/>
      <c r="AA51" s="2527"/>
      <c r="AB51" s="2527"/>
      <c r="AC51" s="2527"/>
      <c r="AD51" s="2527"/>
      <c r="AE51" s="2527"/>
    </row>
    <row r="52" spans="1:31" s="606" customFormat="1">
      <c r="A52" s="607" t="s">
        <v>1885</v>
      </c>
      <c r="B52" s="204" t="e">
        <f>ROUND($C$43*C52*D52,0)</f>
        <v>#DIV/0!</v>
      </c>
      <c r="C52" s="157">
        <f t="shared" ref="C52:C60" si="16">IF($C$50="北京市系数",I52,J52)</f>
        <v>0.6</v>
      </c>
      <c r="D52" s="884">
        <v>0.25</v>
      </c>
      <c r="E52" s="608"/>
      <c r="F52" s="605" t="e">
        <f t="shared" si="15"/>
        <v>#DIV/0!</v>
      </c>
      <c r="G52" s="2731" t="s">
        <v>1886</v>
      </c>
      <c r="H52" s="827" t="str">
        <f>项目基本情况!B37</f>
        <v>五级</v>
      </c>
      <c r="I52" s="720">
        <f>SUMIF(修正!A57:A68,H52,修正!B57:B68)</f>
        <v>0.6</v>
      </c>
      <c r="J52" s="721"/>
      <c r="K52" s="2468"/>
      <c r="L52" s="2527"/>
      <c r="M52" s="2527"/>
      <c r="N52" s="2527"/>
      <c r="O52" s="2527"/>
      <c r="P52" s="2527"/>
      <c r="Q52" s="2527"/>
      <c r="R52" s="2527"/>
      <c r="S52" s="2527"/>
      <c r="T52" s="2527"/>
      <c r="U52" s="2527"/>
      <c r="V52" s="2527"/>
      <c r="W52" s="2527"/>
      <c r="X52" s="2527"/>
      <c r="Y52" s="2527"/>
      <c r="Z52" s="2527"/>
      <c r="AA52" s="2527"/>
      <c r="AB52" s="2527"/>
      <c r="AC52" s="2527"/>
      <c r="AD52" s="2527"/>
      <c r="AE52" s="2527"/>
    </row>
    <row r="53" spans="1:31" s="606" customFormat="1">
      <c r="A53" s="607" t="s">
        <v>1887</v>
      </c>
      <c r="B53" s="204" t="e">
        <f t="shared" ref="B53:B60" si="17">ROUND($C$43*C53*D53,0)</f>
        <v>#DIV/0!</v>
      </c>
      <c r="C53" s="157">
        <f t="shared" si="16"/>
        <v>0.3</v>
      </c>
      <c r="D53" s="884">
        <v>0.25</v>
      </c>
      <c r="E53" s="608"/>
      <c r="F53" s="605" t="e">
        <f t="shared" si="15"/>
        <v>#DIV/0!</v>
      </c>
      <c r="G53" s="2732"/>
      <c r="H53" s="827" t="str">
        <f>项目基本情况!B37</f>
        <v>五级</v>
      </c>
      <c r="I53" s="720">
        <f>SUMIF(修正!A57:A68,H53,修正!C57:C68)</f>
        <v>0.3</v>
      </c>
      <c r="J53" s="721"/>
      <c r="K53" s="2478"/>
      <c r="L53" s="2527"/>
      <c r="M53" s="2527"/>
      <c r="N53" s="2527"/>
      <c r="O53" s="2527"/>
      <c r="P53" s="2527"/>
      <c r="Q53" s="2527"/>
      <c r="R53" s="2527"/>
      <c r="S53" s="2527"/>
      <c r="T53" s="2527"/>
      <c r="U53" s="2527"/>
      <c r="V53" s="2527"/>
      <c r="W53" s="2527"/>
      <c r="X53" s="2527"/>
      <c r="Y53" s="2527"/>
      <c r="Z53" s="2527"/>
      <c r="AA53" s="2527"/>
      <c r="AB53" s="2527"/>
      <c r="AC53" s="2527"/>
      <c r="AD53" s="2527"/>
      <c r="AE53" s="2527"/>
    </row>
    <row r="54" spans="1:31" s="606" customFormat="1">
      <c r="A54" s="607" t="s">
        <v>1888</v>
      </c>
      <c r="B54" s="204" t="e">
        <f t="shared" si="17"/>
        <v>#DIV/0!</v>
      </c>
      <c r="C54" s="157">
        <f t="shared" si="16"/>
        <v>0.25</v>
      </c>
      <c r="D54" s="884">
        <v>0.25</v>
      </c>
      <c r="E54" s="608"/>
      <c r="F54" s="605" t="e">
        <f t="shared" si="15"/>
        <v>#DIV/0!</v>
      </c>
      <c r="G54" s="2732"/>
      <c r="H54" s="827" t="str">
        <f>项目基本情况!B37</f>
        <v>五级</v>
      </c>
      <c r="I54" s="720">
        <f>SUMIF(修正!A57:A68,H54,修正!D57:D68)</f>
        <v>0.25</v>
      </c>
      <c r="J54" s="721"/>
      <c r="K54" s="2468"/>
      <c r="L54" s="2527"/>
      <c r="M54" s="2527"/>
      <c r="N54" s="2527"/>
      <c r="O54" s="2527"/>
      <c r="P54" s="2527"/>
      <c r="Q54" s="2527"/>
      <c r="R54" s="2527"/>
      <c r="S54" s="2527"/>
      <c r="T54" s="2527"/>
      <c r="U54" s="2527"/>
      <c r="V54" s="2527"/>
      <c r="W54" s="2527"/>
      <c r="X54" s="2527"/>
      <c r="Y54" s="2527"/>
      <c r="Z54" s="2527"/>
      <c r="AA54" s="2527"/>
      <c r="AB54" s="2527"/>
      <c r="AC54" s="2527"/>
      <c r="AD54" s="2527"/>
      <c r="AE54" s="2527"/>
    </row>
    <row r="55" spans="1:31" s="606" customFormat="1" hidden="1">
      <c r="A55" s="607"/>
      <c r="B55" s="204"/>
      <c r="C55" s="157"/>
      <c r="D55" s="884"/>
      <c r="E55" s="608"/>
      <c r="F55" s="605"/>
      <c r="G55" s="2733"/>
      <c r="H55" s="827"/>
      <c r="I55" s="720"/>
      <c r="J55" s="721"/>
      <c r="K55" s="2478"/>
      <c r="L55" s="2527"/>
      <c r="M55" s="2527"/>
      <c r="N55" s="2527"/>
      <c r="O55" s="2527"/>
      <c r="P55" s="2527"/>
      <c r="Q55" s="2527"/>
      <c r="R55" s="2527"/>
      <c r="S55" s="2527"/>
      <c r="T55" s="2527"/>
      <c r="U55" s="2527"/>
      <c r="V55" s="2527"/>
      <c r="W55" s="2527"/>
      <c r="X55" s="2527"/>
      <c r="Y55" s="2527"/>
      <c r="Z55" s="2527"/>
      <c r="AA55" s="2527"/>
      <c r="AB55" s="2527"/>
      <c r="AC55" s="2527"/>
      <c r="AD55" s="2527"/>
      <c r="AE55" s="2527"/>
    </row>
    <row r="56" spans="1:31" s="606" customFormat="1">
      <c r="A56" s="607" t="s">
        <v>1889</v>
      </c>
      <c r="B56" s="204" t="e">
        <f t="shared" si="17"/>
        <v>#DIV/0!</v>
      </c>
      <c r="C56" s="157">
        <f t="shared" si="16"/>
        <v>0</v>
      </c>
      <c r="D56" s="884">
        <v>0.25</v>
      </c>
      <c r="E56" s="203">
        <f>'数据-汇总表'!E11</f>
        <v>0</v>
      </c>
      <c r="F56" s="605" t="e">
        <f t="shared" si="15"/>
        <v>#DIV/0!</v>
      </c>
      <c r="G56" s="1827" t="s">
        <v>1890</v>
      </c>
      <c r="H56" s="827">
        <f>项目基本情况!C37</f>
        <v>0</v>
      </c>
      <c r="I56" s="720">
        <f>SUMIF(修正!A57:A68,H56,修正!E57:E68)</f>
        <v>0</v>
      </c>
      <c r="J56" s="721"/>
      <c r="K56" s="2468"/>
      <c r="L56" s="2527"/>
      <c r="M56" s="2527"/>
      <c r="N56" s="2527"/>
      <c r="O56" s="2527"/>
      <c r="P56" s="2527"/>
      <c r="Q56" s="2527"/>
      <c r="R56" s="2527"/>
      <c r="S56" s="2527"/>
      <c r="T56" s="2527"/>
      <c r="U56" s="2527"/>
      <c r="V56" s="2527"/>
      <c r="W56" s="2527"/>
      <c r="X56" s="2527"/>
      <c r="Y56" s="2527"/>
      <c r="Z56" s="2527"/>
      <c r="AA56" s="2527"/>
      <c r="AB56" s="2527"/>
      <c r="AC56" s="2527"/>
      <c r="AD56" s="2527"/>
      <c r="AE56" s="2527"/>
    </row>
    <row r="57" spans="1:31" s="606" customFormat="1">
      <c r="A57" s="607" t="s">
        <v>1891</v>
      </c>
      <c r="B57" s="204" t="e">
        <f t="shared" si="17"/>
        <v>#DIV/0!</v>
      </c>
      <c r="C57" s="157">
        <f t="shared" si="16"/>
        <v>0</v>
      </c>
      <c r="D57" s="884">
        <v>0.25</v>
      </c>
      <c r="E57" s="203">
        <f>'数据-汇总表'!E12</f>
        <v>0</v>
      </c>
      <c r="F57" s="605" t="e">
        <f t="shared" si="15"/>
        <v>#DIV/0!</v>
      </c>
      <c r="G57" s="832" t="s">
        <v>1892</v>
      </c>
      <c r="H57" s="827">
        <f>IF(G57="商业",项目基本情况!B37,IF(G57="办公",项目基本情况!C37,IF(G57="住宅",项目基本情况!D37,项目基本情况!E37)))</f>
        <v>0</v>
      </c>
      <c r="I57" s="720">
        <f>SUMIF(修正!A57:A68,H57,修正!F57:F68)</f>
        <v>0</v>
      </c>
      <c r="J57" s="721"/>
      <c r="K57" s="2478"/>
      <c r="L57" s="2527"/>
      <c r="M57" s="2527"/>
      <c r="N57" s="2527"/>
      <c r="O57" s="2527"/>
      <c r="P57" s="2527"/>
      <c r="Q57" s="2527"/>
      <c r="R57" s="2527"/>
      <c r="S57" s="2527"/>
      <c r="T57" s="2527"/>
      <c r="U57" s="2527"/>
      <c r="V57" s="2527"/>
      <c r="W57" s="2527"/>
      <c r="X57" s="2527"/>
      <c r="Y57" s="2527"/>
      <c r="Z57" s="2527"/>
      <c r="AA57" s="2527"/>
      <c r="AB57" s="2527"/>
      <c r="AC57" s="2527"/>
      <c r="AD57" s="2527"/>
      <c r="AE57" s="2527"/>
    </row>
    <row r="58" spans="1:31" s="606" customFormat="1">
      <c r="A58" s="607" t="s">
        <v>1893</v>
      </c>
      <c r="B58" s="204" t="e">
        <f t="shared" si="17"/>
        <v>#DIV/0!</v>
      </c>
      <c r="C58" s="157">
        <f t="shared" si="16"/>
        <v>0</v>
      </c>
      <c r="D58" s="884">
        <v>0.25</v>
      </c>
      <c r="E58" s="203">
        <f>'数据-汇总表'!E13</f>
        <v>0</v>
      </c>
      <c r="F58" s="605" t="e">
        <f t="shared" si="15"/>
        <v>#DIV/0!</v>
      </c>
      <c r="G58" s="832" t="s">
        <v>1894</v>
      </c>
      <c r="H58" s="827">
        <f>IF(G58="商业",项目基本情况!B37,IF(G58="办公",项目基本情况!C37,IF(G58="住宅",项目基本情况!D37,项目基本情况!E37)))</f>
        <v>0</v>
      </c>
      <c r="I58" s="720">
        <f>SUMIF(修正!A57:A68,H58,修正!G57:G68)</f>
        <v>0</v>
      </c>
      <c r="J58" s="721"/>
      <c r="K58" s="2468"/>
      <c r="L58" s="2527"/>
      <c r="M58" s="2527"/>
      <c r="N58" s="2527"/>
      <c r="O58" s="2527"/>
      <c r="P58" s="2527"/>
      <c r="Q58" s="2527"/>
      <c r="R58" s="2527"/>
      <c r="S58" s="2527"/>
      <c r="T58" s="2527"/>
      <c r="U58" s="2527"/>
      <c r="V58" s="2527"/>
      <c r="W58" s="2527"/>
      <c r="X58" s="2527"/>
      <c r="Y58" s="2527"/>
      <c r="Z58" s="2527"/>
      <c r="AA58" s="2527"/>
      <c r="AB58" s="2527"/>
      <c r="AC58" s="2527"/>
      <c r="AD58" s="2527"/>
      <c r="AE58" s="2527"/>
    </row>
    <row r="59" spans="1:31" s="606" customFormat="1">
      <c r="A59" s="607" t="s">
        <v>1895</v>
      </c>
      <c r="B59" s="204" t="e">
        <f t="shared" si="17"/>
        <v>#DIV/0!</v>
      </c>
      <c r="C59" s="157">
        <f t="shared" si="16"/>
        <v>0.15</v>
      </c>
      <c r="D59" s="884">
        <v>0.25</v>
      </c>
      <c r="E59" s="203">
        <f>'数据-汇总表'!E14</f>
        <v>0</v>
      </c>
      <c r="F59" s="605" t="e">
        <f t="shared" si="15"/>
        <v>#DIV/0!</v>
      </c>
      <c r="G59" s="1827" t="s">
        <v>1886</v>
      </c>
      <c r="H59" s="827" t="str">
        <f>项目基本情况!B37</f>
        <v>五级</v>
      </c>
      <c r="I59" s="720">
        <f>SUMIF(修正!A57:A68,H59,修正!G57:G68)</f>
        <v>0.15</v>
      </c>
      <c r="J59" s="721"/>
      <c r="K59" s="2478"/>
      <c r="L59" s="2527"/>
      <c r="M59" s="2527"/>
      <c r="N59" s="2527"/>
      <c r="O59" s="2527"/>
      <c r="P59" s="2527"/>
      <c r="Q59" s="2527"/>
      <c r="R59" s="2527"/>
      <c r="S59" s="2527"/>
      <c r="T59" s="2527"/>
      <c r="U59" s="2527"/>
      <c r="V59" s="2527"/>
      <c r="W59" s="2527"/>
      <c r="X59" s="2527"/>
      <c r="Y59" s="2527"/>
      <c r="Z59" s="2527"/>
      <c r="AA59" s="2527"/>
      <c r="AB59" s="2527"/>
      <c r="AC59" s="2527"/>
      <c r="AD59" s="2527"/>
      <c r="AE59" s="2527"/>
    </row>
    <row r="60" spans="1:31" s="606" customFormat="1" ht="15" thickBot="1">
      <c r="A60" s="607" t="s">
        <v>1896</v>
      </c>
      <c r="B60" s="204" t="e">
        <f t="shared" si="17"/>
        <v>#DIV/0!</v>
      </c>
      <c r="C60" s="157">
        <f t="shared" si="16"/>
        <v>0</v>
      </c>
      <c r="D60" s="884">
        <v>0.25</v>
      </c>
      <c r="E60" s="203">
        <f>'数据-汇总表'!E15</f>
        <v>0</v>
      </c>
      <c r="F60" s="605" t="e">
        <f t="shared" si="15"/>
        <v>#DIV/0!</v>
      </c>
      <c r="G60" s="1828" t="s">
        <v>1890</v>
      </c>
      <c r="H60" s="837">
        <f>项目基本情况!C37</f>
        <v>0</v>
      </c>
      <c r="I60" s="720">
        <f>SUMIF(修正!A57:A68,H60,修正!G57:G68)</f>
        <v>0</v>
      </c>
      <c r="J60" s="721"/>
      <c r="K60" s="2468"/>
      <c r="L60" s="2527"/>
      <c r="M60" s="2527"/>
      <c r="N60" s="2527"/>
      <c r="O60" s="2527"/>
      <c r="P60" s="2527"/>
      <c r="Q60" s="2527"/>
      <c r="R60" s="2527"/>
      <c r="S60" s="2527"/>
      <c r="T60" s="2527"/>
      <c r="U60" s="2527"/>
      <c r="V60" s="2527"/>
      <c r="W60" s="2527"/>
      <c r="X60" s="2527"/>
      <c r="Y60" s="2527"/>
      <c r="Z60" s="2527"/>
      <c r="AA60" s="2527"/>
      <c r="AB60" s="2527"/>
      <c r="AC60" s="2527"/>
      <c r="AD60" s="2527"/>
      <c r="AE60" s="2527"/>
    </row>
    <row r="61" spans="1:31" s="606" customFormat="1" ht="15" thickBot="1">
      <c r="A61" s="609" t="s">
        <v>1897</v>
      </c>
      <c r="B61" s="610" t="s">
        <v>22</v>
      </c>
      <c r="C61" s="610" t="s">
        <v>23</v>
      </c>
      <c r="D61" s="610" t="s">
        <v>392</v>
      </c>
      <c r="E61" s="610">
        <f>IF(B41="楼面地价",SUM(E51:E60),'数据-汇总表'!D3)</f>
        <v>0</v>
      </c>
      <c r="F61" s="611" t="e">
        <f>IF(B41="楼面地价",SUM(F51:F60),ROUND(C43*E61/10000,0))</f>
        <v>#DIV/0!</v>
      </c>
      <c r="G61" s="878"/>
      <c r="H61" s="878"/>
      <c r="I61" s="878"/>
      <c r="J61" s="878"/>
      <c r="K61" s="2480"/>
      <c r="L61" s="2527"/>
      <c r="M61" s="2527"/>
      <c r="N61" s="2527"/>
      <c r="O61" s="2527"/>
      <c r="P61" s="2527"/>
      <c r="Q61" s="2527"/>
      <c r="R61" s="2527"/>
      <c r="S61" s="2527"/>
      <c r="T61" s="2527"/>
      <c r="U61" s="2527"/>
      <c r="V61" s="2527"/>
      <c r="W61" s="2527"/>
      <c r="X61" s="2527"/>
      <c r="Y61" s="2527"/>
      <c r="Z61" s="2527"/>
      <c r="AA61" s="2527"/>
      <c r="AB61" s="2527"/>
      <c r="AC61" s="2527"/>
      <c r="AD61" s="2527"/>
      <c r="AE61" s="2527"/>
    </row>
    <row r="62" spans="1:31">
      <c r="A62" s="854"/>
      <c r="B62" s="868"/>
      <c r="C62" s="870"/>
      <c r="D62" s="854"/>
      <c r="E62" s="854"/>
      <c r="F62" s="854"/>
      <c r="G62" s="854"/>
      <c r="H62" s="854"/>
      <c r="I62" s="854"/>
      <c r="J62" s="854"/>
      <c r="K62" s="828"/>
      <c r="L62" s="829"/>
      <c r="M62" s="854"/>
      <c r="N62" s="854"/>
      <c r="O62" s="854"/>
      <c r="P62" s="2468"/>
      <c r="Q62" s="2468"/>
      <c r="R62" s="2468"/>
      <c r="S62" s="2468"/>
      <c r="T62" s="2468"/>
      <c r="U62" s="2468"/>
      <c r="V62" s="2468"/>
      <c r="W62" s="2468"/>
      <c r="X62" s="2468"/>
      <c r="Y62" s="2468"/>
      <c r="Z62" s="2468"/>
      <c r="AA62" s="2468"/>
      <c r="AB62" s="2468"/>
      <c r="AC62" s="2468"/>
      <c r="AD62" s="2468"/>
      <c r="AE62" s="2468"/>
    </row>
    <row r="63" spans="1:31">
      <c r="A63" s="854"/>
      <c r="B63" s="868"/>
      <c r="C63" s="648" t="str">
        <f>YEAR(C7)&amp;"-"&amp;MONTH(C7)&amp;"-1"</f>
        <v>2024-5-1</v>
      </c>
      <c r="D63" s="648">
        <f>EDATE(C63,-3)</f>
        <v>45323</v>
      </c>
      <c r="E63" s="648">
        <f>EDATE(D63,-3)</f>
        <v>45231</v>
      </c>
      <c r="F63" s="648">
        <f t="shared" ref="F63:O63" si="18">EDATE(E63,-3)</f>
        <v>45139</v>
      </c>
      <c r="G63" s="648">
        <f t="shared" si="18"/>
        <v>45047</v>
      </c>
      <c r="H63" s="648">
        <f t="shared" si="18"/>
        <v>44958</v>
      </c>
      <c r="I63" s="648">
        <f t="shared" si="18"/>
        <v>44866</v>
      </c>
      <c r="J63" s="648">
        <f t="shared" si="18"/>
        <v>44774</v>
      </c>
      <c r="K63" s="648">
        <f t="shared" si="18"/>
        <v>44682</v>
      </c>
      <c r="L63" s="648">
        <f t="shared" si="18"/>
        <v>44593</v>
      </c>
      <c r="M63" s="648">
        <f t="shared" si="18"/>
        <v>44501</v>
      </c>
      <c r="N63" s="648">
        <f t="shared" si="18"/>
        <v>44409</v>
      </c>
      <c r="O63" s="648">
        <f t="shared" si="18"/>
        <v>44317</v>
      </c>
      <c r="P63" s="2468"/>
      <c r="Q63" s="2468"/>
      <c r="R63" s="2468"/>
      <c r="S63" s="2468"/>
      <c r="T63" s="2468"/>
      <c r="U63" s="2468"/>
      <c r="V63" s="2468"/>
      <c r="W63" s="2468"/>
      <c r="X63" s="2468"/>
      <c r="Y63" s="2468"/>
      <c r="Z63" s="2468"/>
      <c r="AA63" s="2468"/>
      <c r="AB63" s="2468"/>
      <c r="AC63" s="2468"/>
      <c r="AD63" s="2468"/>
      <c r="AE63" s="2468"/>
    </row>
    <row r="64" spans="1:31" ht="21.75" thickBot="1">
      <c r="A64" s="650" t="s">
        <v>1792</v>
      </c>
      <c r="B64" s="379"/>
      <c r="C64" s="651"/>
      <c r="D64" s="651"/>
      <c r="E64" s="651"/>
      <c r="F64" s="652"/>
      <c r="G64" s="652"/>
      <c r="H64" s="651"/>
      <c r="I64" s="651"/>
      <c r="J64" s="651"/>
      <c r="K64" s="653"/>
      <c r="L64" s="654"/>
      <c r="M64" s="651"/>
      <c r="N64" s="651"/>
      <c r="O64" s="879"/>
      <c r="P64" s="2518"/>
      <c r="Q64" s="2489"/>
      <c r="R64" s="2468"/>
      <c r="S64" s="2468"/>
      <c r="T64" s="2468"/>
      <c r="U64" s="2468"/>
      <c r="V64" s="2468"/>
      <c r="W64" s="2468"/>
      <c r="X64" s="2468"/>
      <c r="Y64" s="2468"/>
      <c r="Z64" s="2468"/>
      <c r="AA64" s="2468"/>
      <c r="AB64" s="2468"/>
      <c r="AC64" s="2468"/>
      <c r="AD64" s="2468"/>
      <c r="AE64" s="2468"/>
    </row>
    <row r="65" spans="1:31" s="436" customFormat="1" ht="15">
      <c r="A65" s="1622" t="s">
        <v>1898</v>
      </c>
      <c r="B65" s="1039"/>
      <c r="C65" s="1094" t="str">
        <f>YEAR(C63)&amp;"-"&amp;ROUNDUP(MONTH(C63)/3,0)</f>
        <v>2024-2</v>
      </c>
      <c r="D65" s="1094" t="str">
        <f t="shared" ref="D65:O65" si="19">YEAR(D63)&amp;"-"&amp;ROUNDUP(MONTH(D63)/3,0)</f>
        <v>2024-1</v>
      </c>
      <c r="E65" s="1094" t="str">
        <f t="shared" si="19"/>
        <v>2023-4</v>
      </c>
      <c r="F65" s="1094" t="str">
        <f t="shared" si="19"/>
        <v>2023-3</v>
      </c>
      <c r="G65" s="1094" t="str">
        <f t="shared" si="19"/>
        <v>2023-2</v>
      </c>
      <c r="H65" s="1094" t="str">
        <f t="shared" si="19"/>
        <v>2023-1</v>
      </c>
      <c r="I65" s="1094" t="str">
        <f t="shared" si="19"/>
        <v>2022-4</v>
      </c>
      <c r="J65" s="1094" t="str">
        <f t="shared" si="19"/>
        <v>2022-3</v>
      </c>
      <c r="K65" s="1094" t="str">
        <f t="shared" si="19"/>
        <v>2022-2</v>
      </c>
      <c r="L65" s="1094" t="str">
        <f t="shared" si="19"/>
        <v>2022-1</v>
      </c>
      <c r="M65" s="1094" t="str">
        <f t="shared" si="19"/>
        <v>2021-4</v>
      </c>
      <c r="N65" s="1094" t="str">
        <f t="shared" si="19"/>
        <v>2021-3</v>
      </c>
      <c r="O65" s="1094" t="str">
        <f t="shared" si="19"/>
        <v>2021-2</v>
      </c>
      <c r="P65" s="2491"/>
      <c r="Q65" s="2491"/>
      <c r="R65" s="2491"/>
      <c r="S65" s="2491"/>
      <c r="T65" s="2491"/>
      <c r="U65" s="2491"/>
      <c r="V65" s="2491"/>
      <c r="W65" s="2491"/>
      <c r="X65" s="2491"/>
      <c r="Y65" s="2491"/>
      <c r="Z65" s="2491"/>
      <c r="AA65" s="2491"/>
      <c r="AB65" s="2491"/>
      <c r="AC65" s="2491"/>
      <c r="AD65" s="2491"/>
      <c r="AE65" s="2491"/>
    </row>
    <row r="66" spans="1:31" s="101" customFormat="1" ht="30.75" customHeight="1">
      <c r="A66" s="1833" t="s">
        <v>1918</v>
      </c>
      <c r="B66" s="274" t="str">
        <f>"北京市平均增长率"&amp;TEXT(基准地价修正!P28,"0.00%")</f>
        <v>北京市平均增长率0.00%</v>
      </c>
      <c r="C66" s="524">
        <v>100</v>
      </c>
      <c r="D66" s="6"/>
      <c r="E66" s="6"/>
      <c r="F66" s="6"/>
      <c r="G66" s="6"/>
      <c r="H66" s="6"/>
      <c r="I66" s="6"/>
      <c r="J66" s="6"/>
      <c r="K66" s="6"/>
      <c r="L66" s="6"/>
      <c r="M66" s="1059"/>
      <c r="N66" s="1059"/>
      <c r="O66" s="1092"/>
      <c r="P66" s="2489"/>
      <c r="Q66" s="2423"/>
      <c r="R66" s="2423"/>
      <c r="S66" s="2423"/>
      <c r="T66" s="2423"/>
      <c r="U66" s="2423"/>
      <c r="V66" s="2423"/>
      <c r="W66" s="2423"/>
      <c r="X66" s="2423"/>
      <c r="Y66" s="2423"/>
      <c r="Z66" s="2423"/>
      <c r="AA66" s="2423"/>
      <c r="AB66" s="2423"/>
      <c r="AC66" s="2423"/>
      <c r="AD66" s="2423"/>
      <c r="AE66" s="2423"/>
    </row>
    <row r="67" spans="1:31" s="101" customFormat="1" ht="15.75" thickBot="1">
      <c r="A67" s="443" t="s">
        <v>1710</v>
      </c>
      <c r="B67" s="444"/>
      <c r="C67" s="445"/>
      <c r="D67" s="446"/>
      <c r="E67" s="446"/>
      <c r="F67" s="446"/>
      <c r="G67" s="446"/>
      <c r="H67" s="446"/>
      <c r="I67" s="446"/>
      <c r="J67" s="446"/>
      <c r="K67" s="446"/>
      <c r="L67" s="446"/>
      <c r="M67" s="447"/>
      <c r="N67" s="447"/>
      <c r="O67" s="448"/>
      <c r="P67" s="2489"/>
      <c r="Q67" s="2489"/>
      <c r="R67" s="2423"/>
      <c r="S67" s="2423"/>
      <c r="T67" s="2423"/>
      <c r="U67" s="2423"/>
      <c r="V67" s="2423"/>
      <c r="W67" s="2423"/>
      <c r="X67" s="2423"/>
      <c r="Y67" s="2423"/>
      <c r="Z67" s="2423"/>
      <c r="AA67" s="2423"/>
      <c r="AB67" s="2423"/>
      <c r="AC67" s="2423"/>
      <c r="AD67" s="2423"/>
      <c r="AE67" s="2423"/>
    </row>
    <row r="68" spans="1:31" s="101" customFormat="1" ht="15">
      <c r="A68" s="449" t="s">
        <v>1675</v>
      </c>
      <c r="B68" s="438"/>
      <c r="C68" s="450" t="s">
        <v>1770</v>
      </c>
      <c r="D68" s="31"/>
      <c r="E68" s="31"/>
      <c r="F68" s="31"/>
      <c r="G68" s="31"/>
      <c r="H68" s="31"/>
      <c r="I68" s="31"/>
      <c r="J68" s="31"/>
      <c r="K68" s="31"/>
      <c r="L68" s="451"/>
      <c r="M68" s="452"/>
      <c r="N68" s="2501"/>
      <c r="O68" s="2501"/>
      <c r="P68" s="2525"/>
      <c r="Q68" s="2489"/>
      <c r="R68" s="2423"/>
      <c r="S68" s="2423"/>
      <c r="T68" s="2423"/>
      <c r="U68" s="2423"/>
      <c r="V68" s="2423"/>
      <c r="W68" s="2423"/>
      <c r="X68" s="2423"/>
      <c r="Y68" s="2423"/>
      <c r="Z68" s="2423"/>
      <c r="AA68" s="2423"/>
      <c r="AB68" s="2423"/>
      <c r="AC68" s="2423"/>
      <c r="AD68" s="2423"/>
      <c r="AE68" s="2423"/>
    </row>
    <row r="69" spans="1:31" s="101" customFormat="1" ht="15.75" thickBot="1">
      <c r="A69" s="449"/>
      <c r="B69" s="438"/>
      <c r="C69" s="557">
        <v>100</v>
      </c>
      <c r="D69" s="440"/>
      <c r="E69" s="440"/>
      <c r="F69" s="440"/>
      <c r="G69" s="440"/>
      <c r="H69" s="440"/>
      <c r="I69" s="440"/>
      <c r="J69" s="440"/>
      <c r="K69" s="440"/>
      <c r="L69" s="440"/>
      <c r="M69" s="442"/>
      <c r="N69" s="2501"/>
      <c r="O69" s="2501"/>
      <c r="P69" s="2489"/>
      <c r="Q69" s="2489"/>
      <c r="R69" s="2423"/>
      <c r="S69" s="2423"/>
      <c r="T69" s="2423"/>
      <c r="U69" s="2423"/>
      <c r="V69" s="2423"/>
      <c r="W69" s="2423"/>
      <c r="X69" s="2423"/>
      <c r="Y69" s="2423"/>
      <c r="Z69" s="2423"/>
      <c r="AA69" s="2423"/>
      <c r="AB69" s="2423"/>
      <c r="AC69" s="2423"/>
      <c r="AD69" s="2423"/>
      <c r="AE69" s="2423"/>
    </row>
    <row r="70" spans="1:31">
      <c r="A70" s="373" t="s">
        <v>1713</v>
      </c>
      <c r="B70" s="454" t="s">
        <v>1679</v>
      </c>
      <c r="C70" s="456"/>
      <c r="D70" s="456"/>
      <c r="E70" s="456"/>
      <c r="F70" s="456"/>
      <c r="G70" s="456"/>
      <c r="H70" s="456"/>
      <c r="I70" s="456"/>
      <c r="J70" s="456"/>
      <c r="K70" s="457"/>
      <c r="L70" s="458"/>
      <c r="M70" s="459"/>
      <c r="N70" s="2502"/>
      <c r="O70" s="2502"/>
      <c r="P70" s="2501"/>
      <c r="Q70" s="2489"/>
      <c r="R70" s="2468"/>
      <c r="S70" s="2468"/>
      <c r="T70" s="2468"/>
      <c r="U70" s="2468"/>
      <c r="V70" s="2468"/>
      <c r="W70" s="2468"/>
      <c r="X70" s="2468"/>
      <c r="Y70" s="2468"/>
      <c r="Z70" s="2468"/>
      <c r="AA70" s="2468"/>
      <c r="AB70" s="2468"/>
      <c r="AC70" s="2468"/>
      <c r="AD70" s="2468"/>
      <c r="AE70" s="2468"/>
    </row>
    <row r="71" spans="1:31" ht="15.75" thickBot="1">
      <c r="A71" s="361"/>
      <c r="B71" s="460"/>
      <c r="C71" s="461"/>
      <c r="D71" s="461"/>
      <c r="E71" s="461"/>
      <c r="F71" s="461"/>
      <c r="G71" s="461"/>
      <c r="H71" s="461"/>
      <c r="I71" s="461"/>
      <c r="J71" s="461"/>
      <c r="K71" s="461"/>
      <c r="L71" s="461"/>
      <c r="M71" s="462"/>
      <c r="N71" s="2503"/>
      <c r="O71" s="2503"/>
      <c r="P71" s="2501"/>
      <c r="Q71" s="2489"/>
      <c r="R71" s="2468"/>
      <c r="S71" s="2468"/>
      <c r="T71" s="2468"/>
      <c r="U71" s="2468"/>
      <c r="V71" s="2468"/>
      <c r="W71" s="2468"/>
      <c r="X71" s="2468"/>
      <c r="Y71" s="2468"/>
      <c r="Z71" s="2468"/>
      <c r="AA71" s="2468"/>
      <c r="AB71" s="2468"/>
      <c r="AC71" s="2468"/>
      <c r="AD71" s="2468"/>
      <c r="AE71" s="2468"/>
    </row>
    <row r="72" spans="1:31" ht="27.75" thickTop="1">
      <c r="A72" s="361"/>
      <c r="B72" s="463" t="s">
        <v>1682</v>
      </c>
      <c r="C72" s="464"/>
      <c r="D72" s="464"/>
      <c r="E72" s="464"/>
      <c r="F72" s="464"/>
      <c r="G72" s="464"/>
      <c r="H72" s="464"/>
      <c r="I72" s="464"/>
      <c r="J72" s="464"/>
      <c r="K72" s="465"/>
      <c r="L72" s="466"/>
      <c r="M72" s="467"/>
      <c r="N72" s="2502"/>
      <c r="O72" s="2502"/>
      <c r="P72" s="2501"/>
      <c r="Q72" s="2489"/>
      <c r="R72" s="2468"/>
      <c r="S72" s="2468"/>
      <c r="T72" s="2468"/>
      <c r="U72" s="2468"/>
      <c r="V72" s="2468"/>
      <c r="W72" s="2468"/>
      <c r="X72" s="2468"/>
      <c r="Y72" s="2468"/>
      <c r="Z72" s="2468"/>
      <c r="AA72" s="2468"/>
      <c r="AB72" s="2468"/>
      <c r="AC72" s="2468"/>
      <c r="AD72" s="2468"/>
      <c r="AE72" s="2468"/>
    </row>
    <row r="73" spans="1:31" ht="15.75" thickBot="1">
      <c r="A73" s="361"/>
      <c r="B73" s="468"/>
      <c r="C73" s="469"/>
      <c r="D73" s="469"/>
      <c r="E73" s="469"/>
      <c r="F73" s="469"/>
      <c r="G73" s="469"/>
      <c r="H73" s="469"/>
      <c r="I73" s="469"/>
      <c r="J73" s="469"/>
      <c r="K73" s="469"/>
      <c r="L73" s="469"/>
      <c r="M73" s="470"/>
      <c r="N73" s="2503"/>
      <c r="O73" s="2503"/>
      <c r="P73" s="2501"/>
      <c r="Q73" s="2489"/>
      <c r="R73" s="2468"/>
      <c r="S73" s="2468"/>
      <c r="T73" s="2468"/>
      <c r="U73" s="2468"/>
      <c r="V73" s="2468"/>
      <c r="W73" s="2468"/>
      <c r="X73" s="2468"/>
      <c r="Y73" s="2468"/>
      <c r="Z73" s="2468"/>
      <c r="AA73" s="2468"/>
      <c r="AB73" s="2468"/>
      <c r="AC73" s="2468"/>
      <c r="AD73" s="2468"/>
      <c r="AE73" s="2468"/>
    </row>
    <row r="74" spans="1:31" ht="15.75" thickTop="1">
      <c r="A74" s="361"/>
      <c r="B74" s="471" t="s">
        <v>1683</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03"/>
      <c r="O74" s="2503"/>
      <c r="P74" s="2501"/>
      <c r="Q74" s="2489"/>
      <c r="R74" s="2468"/>
      <c r="S74" s="2468"/>
      <c r="T74" s="2468"/>
      <c r="U74" s="2468"/>
      <c r="V74" s="2468"/>
      <c r="W74" s="2468"/>
      <c r="X74" s="2468"/>
      <c r="Y74" s="2468"/>
      <c r="Z74" s="2468"/>
      <c r="AA74" s="2468"/>
      <c r="AB74" s="2468"/>
      <c r="AC74" s="2468"/>
      <c r="AD74" s="2468"/>
      <c r="AE74" s="2468"/>
    </row>
    <row r="75" spans="1:31" ht="15">
      <c r="A75" s="361"/>
      <c r="B75" s="473"/>
      <c r="C75" s="474"/>
      <c r="D75" s="474"/>
      <c r="E75" s="474"/>
      <c r="F75" s="474"/>
      <c r="G75" s="474"/>
      <c r="H75" s="474"/>
      <c r="I75" s="474"/>
      <c r="J75" s="474"/>
      <c r="K75" s="475"/>
      <c r="L75" s="476"/>
      <c r="M75" s="477"/>
      <c r="N75" s="2502"/>
      <c r="O75" s="2502"/>
      <c r="P75" s="2501"/>
      <c r="Q75" s="2489"/>
      <c r="R75" s="2468"/>
      <c r="S75" s="2468"/>
      <c r="T75" s="2468"/>
      <c r="U75" s="2468"/>
      <c r="V75" s="2468"/>
      <c r="W75" s="2468"/>
      <c r="X75" s="2468"/>
      <c r="Y75" s="2468"/>
      <c r="Z75" s="2468"/>
      <c r="AA75" s="2468"/>
      <c r="AB75" s="2468"/>
      <c r="AC75" s="2468"/>
      <c r="AD75" s="2468"/>
      <c r="AE75" s="2468"/>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03"/>
      <c r="O76" s="2503"/>
      <c r="P76" s="2501"/>
      <c r="Q76" s="2489"/>
      <c r="R76" s="2468"/>
      <c r="S76" s="2468"/>
      <c r="T76" s="2468"/>
      <c r="U76" s="2468"/>
      <c r="V76" s="2468"/>
      <c r="W76" s="2468"/>
      <c r="X76" s="2468"/>
      <c r="Y76" s="2468"/>
      <c r="Z76" s="2468"/>
      <c r="AA76" s="2468"/>
      <c r="AB76" s="2468"/>
      <c r="AC76" s="2468"/>
      <c r="AD76" s="2468"/>
      <c r="AE76" s="2468"/>
    </row>
    <row r="77" spans="1:31" s="402" customFormat="1" ht="15.75" thickTop="1">
      <c r="A77" s="478"/>
      <c r="B77" s="463">
        <f>B12</f>
        <v>111</v>
      </c>
      <c r="C77" s="479"/>
      <c r="D77" s="479"/>
      <c r="E77" s="479"/>
      <c r="F77" s="479"/>
      <c r="G77" s="479"/>
      <c r="H77" s="480"/>
      <c r="I77" s="480"/>
      <c r="J77" s="480"/>
      <c r="K77" s="480"/>
      <c r="L77" s="481"/>
      <c r="M77" s="482"/>
      <c r="N77" s="2504"/>
      <c r="O77" s="2504"/>
      <c r="P77" s="2504"/>
      <c r="Q77" s="2496"/>
      <c r="R77" s="2474"/>
      <c r="S77" s="2474"/>
      <c r="T77" s="2474"/>
      <c r="U77" s="2474"/>
      <c r="V77" s="2474"/>
      <c r="W77" s="2474"/>
      <c r="X77" s="2474"/>
      <c r="Y77" s="2474"/>
      <c r="Z77" s="2474"/>
      <c r="AA77" s="2474"/>
      <c r="AB77" s="2474"/>
      <c r="AC77" s="2474"/>
      <c r="AD77" s="2474"/>
      <c r="AE77" s="2474"/>
    </row>
    <row r="78" spans="1:31" s="402" customFormat="1" ht="15.75" thickBot="1">
      <c r="A78" s="478"/>
      <c r="B78" s="468"/>
      <c r="C78" s="485"/>
      <c r="D78" s="461"/>
      <c r="E78" s="461"/>
      <c r="F78" s="461"/>
      <c r="G78" s="461"/>
      <c r="H78" s="461"/>
      <c r="I78" s="461"/>
      <c r="J78" s="461"/>
      <c r="K78" s="461"/>
      <c r="L78" s="461"/>
      <c r="M78" s="462"/>
      <c r="N78" s="2503"/>
      <c r="O78" s="2503"/>
      <c r="P78" s="2504"/>
      <c r="Q78" s="2496"/>
      <c r="R78" s="2474"/>
      <c r="S78" s="2474"/>
      <c r="T78" s="2474"/>
      <c r="U78" s="2474"/>
      <c r="V78" s="2474"/>
      <c r="W78" s="2474"/>
      <c r="X78" s="2474"/>
      <c r="Y78" s="2474"/>
      <c r="Z78" s="2474"/>
      <c r="AA78" s="2474"/>
      <c r="AB78" s="2474"/>
      <c r="AC78" s="2474"/>
      <c r="AD78" s="2474"/>
      <c r="AE78" s="2474"/>
    </row>
    <row r="79" spans="1:31" s="402" customFormat="1" ht="15.75" thickTop="1">
      <c r="A79" s="478"/>
      <c r="B79" s="463">
        <f>B13</f>
        <v>111</v>
      </c>
      <c r="C79" s="479"/>
      <c r="D79" s="479"/>
      <c r="E79" s="479"/>
      <c r="F79" s="479"/>
      <c r="G79" s="479"/>
      <c r="H79" s="480"/>
      <c r="I79" s="480"/>
      <c r="J79" s="480"/>
      <c r="K79" s="480"/>
      <c r="L79" s="481"/>
      <c r="M79" s="482"/>
      <c r="N79" s="2504"/>
      <c r="O79" s="2504"/>
      <c r="P79" s="2474"/>
      <c r="Q79" s="2498"/>
      <c r="R79" s="2474"/>
      <c r="S79" s="2474"/>
      <c r="T79" s="2474"/>
      <c r="U79" s="2474"/>
      <c r="V79" s="2474"/>
      <c r="W79" s="2474"/>
      <c r="X79" s="2474"/>
      <c r="Y79" s="2474"/>
      <c r="Z79" s="2474"/>
      <c r="AA79" s="2474"/>
      <c r="AB79" s="2474"/>
      <c r="AC79" s="2474"/>
      <c r="AD79" s="2474"/>
      <c r="AE79" s="2474"/>
    </row>
    <row r="80" spans="1:31" s="402" customFormat="1" ht="15.75" thickBot="1">
      <c r="A80" s="478"/>
      <c r="B80" s="468"/>
      <c r="C80" s="485"/>
      <c r="D80" s="485"/>
      <c r="E80" s="485"/>
      <c r="F80" s="485"/>
      <c r="G80" s="485"/>
      <c r="H80" s="487"/>
      <c r="I80" s="487"/>
      <c r="J80" s="487"/>
      <c r="K80" s="487"/>
      <c r="L80" s="487"/>
      <c r="M80" s="488"/>
      <c r="N80" s="2504"/>
      <c r="O80" s="2504"/>
      <c r="P80" s="2504"/>
      <c r="Q80" s="2496"/>
      <c r="R80" s="2474"/>
      <c r="S80" s="2474"/>
      <c r="T80" s="2474"/>
      <c r="U80" s="2474"/>
      <c r="V80" s="2474"/>
      <c r="W80" s="2474"/>
      <c r="X80" s="2474"/>
      <c r="Y80" s="2474"/>
      <c r="Z80" s="2474"/>
      <c r="AA80" s="2474"/>
      <c r="AB80" s="2474"/>
      <c r="AC80" s="2474"/>
      <c r="AD80" s="2474"/>
      <c r="AE80" s="2474"/>
    </row>
    <row r="81" spans="1:31" s="402" customFormat="1" ht="15.75" thickTop="1">
      <c r="A81" s="478"/>
      <c r="B81" s="471">
        <f>B14</f>
        <v>111</v>
      </c>
      <c r="C81" s="31"/>
      <c r="D81" s="31"/>
      <c r="E81" s="31"/>
      <c r="F81" s="31"/>
      <c r="G81" s="31"/>
      <c r="H81" s="489"/>
      <c r="I81" s="489"/>
      <c r="J81" s="489"/>
      <c r="K81" s="489"/>
      <c r="L81" s="490"/>
      <c r="M81" s="491"/>
      <c r="N81" s="2504"/>
      <c r="O81" s="2504"/>
      <c r="P81" s="2529"/>
      <c r="Q81" s="2496"/>
      <c r="R81" s="2474"/>
      <c r="S81" s="2474"/>
      <c r="T81" s="2474"/>
      <c r="U81" s="2474"/>
      <c r="V81" s="2474"/>
      <c r="W81" s="2474"/>
      <c r="X81" s="2474"/>
      <c r="Y81" s="2474"/>
      <c r="Z81" s="2474"/>
      <c r="AA81" s="2474"/>
      <c r="AB81" s="2474"/>
      <c r="AC81" s="2474"/>
      <c r="AD81" s="2474"/>
      <c r="AE81" s="2474"/>
    </row>
    <row r="82" spans="1:31" s="402" customFormat="1" ht="15.75" thickBot="1">
      <c r="A82" s="493"/>
      <c r="B82" s="494"/>
      <c r="C82" s="495"/>
      <c r="D82" s="495"/>
      <c r="E82" s="495"/>
      <c r="F82" s="495"/>
      <c r="G82" s="495"/>
      <c r="H82" s="496"/>
      <c r="I82" s="496"/>
      <c r="J82" s="496"/>
      <c r="K82" s="496"/>
      <c r="L82" s="496"/>
      <c r="M82" s="497"/>
      <c r="N82" s="2504"/>
      <c r="O82" s="2504"/>
      <c r="P82" s="2504"/>
      <c r="Q82" s="2496"/>
      <c r="R82" s="2474"/>
      <c r="S82" s="2474"/>
      <c r="T82" s="2474"/>
      <c r="U82" s="2474"/>
      <c r="V82" s="2474"/>
      <c r="W82" s="2474"/>
      <c r="X82" s="2474"/>
      <c r="Y82" s="2474"/>
      <c r="Z82" s="2474"/>
      <c r="AA82" s="2474"/>
      <c r="AB82" s="2474"/>
      <c r="AC82" s="2474"/>
      <c r="AD82" s="2474"/>
      <c r="AE82" s="2474"/>
    </row>
    <row r="83" spans="1:31">
      <c r="A83" s="373" t="s">
        <v>1684</v>
      </c>
      <c r="B83" s="454" t="s">
        <v>1823</v>
      </c>
      <c r="C83" s="498" t="s">
        <v>1715</v>
      </c>
      <c r="D83" s="498" t="s">
        <v>1716</v>
      </c>
      <c r="E83" s="498" t="s">
        <v>1717</v>
      </c>
      <c r="F83" s="498" t="s">
        <v>1718</v>
      </c>
      <c r="G83" s="498" t="s">
        <v>1719</v>
      </c>
      <c r="H83" s="455"/>
      <c r="I83" s="455"/>
      <c r="J83" s="455"/>
      <c r="K83" s="499"/>
      <c r="L83" s="500"/>
      <c r="M83" s="501"/>
      <c r="N83" s="2502"/>
      <c r="O83" s="2502"/>
      <c r="P83" s="2526"/>
      <c r="Q83" s="2489"/>
      <c r="R83" s="2468"/>
      <c r="S83" s="2468"/>
      <c r="T83" s="2468"/>
      <c r="U83" s="2468"/>
      <c r="V83" s="2468"/>
      <c r="W83" s="2468"/>
      <c r="X83" s="2468"/>
      <c r="Y83" s="2468"/>
      <c r="Z83" s="2468"/>
      <c r="AA83" s="2468"/>
      <c r="AB83" s="2468"/>
      <c r="AC83" s="2468"/>
      <c r="AD83" s="2468"/>
      <c r="AE83" s="2468"/>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03"/>
      <c r="O84" s="2503"/>
      <c r="P84" s="2501"/>
      <c r="Q84" s="2489"/>
      <c r="R84" s="2468"/>
      <c r="S84" s="2468"/>
      <c r="T84" s="2468"/>
      <c r="U84" s="2468"/>
      <c r="V84" s="2468"/>
      <c r="W84" s="2468"/>
      <c r="X84" s="2468"/>
      <c r="Y84" s="2468"/>
      <c r="Z84" s="2468"/>
      <c r="AA84" s="2468"/>
      <c r="AB84" s="2468"/>
      <c r="AC84" s="2468"/>
      <c r="AD84" s="2468"/>
      <c r="AE84" s="2468"/>
    </row>
    <row r="85" spans="1:31" ht="15.75" thickTop="1">
      <c r="A85" s="361"/>
      <c r="B85" s="463" t="s">
        <v>1720</v>
      </c>
      <c r="C85" s="503" t="s">
        <v>1715</v>
      </c>
      <c r="D85" s="503" t="s">
        <v>1716</v>
      </c>
      <c r="E85" s="503" t="s">
        <v>1717</v>
      </c>
      <c r="F85" s="503" t="s">
        <v>1718</v>
      </c>
      <c r="G85" s="503" t="s">
        <v>1719</v>
      </c>
      <c r="H85" s="464"/>
      <c r="I85" s="464"/>
      <c r="J85" s="464"/>
      <c r="K85" s="465"/>
      <c r="L85" s="466"/>
      <c r="M85" s="467"/>
      <c r="N85" s="2502"/>
      <c r="O85" s="2502"/>
      <c r="P85" s="2501"/>
      <c r="Q85" s="2489"/>
      <c r="R85" s="2468"/>
      <c r="S85" s="2468"/>
      <c r="T85" s="2468"/>
      <c r="U85" s="2468"/>
      <c r="V85" s="2468"/>
      <c r="W85" s="2468"/>
      <c r="X85" s="2468"/>
      <c r="Y85" s="2468"/>
      <c r="Z85" s="2468"/>
      <c r="AA85" s="2468"/>
      <c r="AB85" s="2468"/>
      <c r="AC85" s="2468"/>
      <c r="AD85" s="2468"/>
      <c r="AE85" s="2468"/>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03"/>
      <c r="O86" s="2503"/>
      <c r="P86" s="2501"/>
      <c r="Q86" s="2489"/>
      <c r="R86" s="2468"/>
      <c r="S86" s="2468"/>
      <c r="T86" s="2468"/>
      <c r="U86" s="2468"/>
      <c r="V86" s="2468"/>
      <c r="W86" s="2468"/>
      <c r="X86" s="2468"/>
      <c r="Y86" s="2468"/>
      <c r="Z86" s="2468"/>
      <c r="AA86" s="2468"/>
      <c r="AB86" s="2468"/>
      <c r="AC86" s="2468"/>
      <c r="AD86" s="2468"/>
      <c r="AE86" s="2468"/>
    </row>
    <row r="87" spans="1:31" s="101" customFormat="1" ht="15.75" thickTop="1">
      <c r="A87" s="364"/>
      <c r="B87" s="463" t="s">
        <v>1901</v>
      </c>
      <c r="C87" s="498" t="s">
        <v>1715</v>
      </c>
      <c r="D87" s="498" t="s">
        <v>1716</v>
      </c>
      <c r="E87" s="498" t="s">
        <v>1717</v>
      </c>
      <c r="F87" s="498" t="s">
        <v>1718</v>
      </c>
      <c r="G87" s="498" t="s">
        <v>1719</v>
      </c>
      <c r="H87" s="503"/>
      <c r="I87" s="503"/>
      <c r="J87" s="503"/>
      <c r="K87" s="503"/>
      <c r="L87" s="612"/>
      <c r="M87" s="541"/>
      <c r="N87" s="2501"/>
      <c r="O87" s="2501"/>
      <c r="P87" s="2501"/>
      <c r="Q87" s="2489"/>
      <c r="R87" s="2423"/>
      <c r="S87" s="2423"/>
      <c r="T87" s="2423"/>
      <c r="U87" s="2423"/>
      <c r="V87" s="2423"/>
      <c r="W87" s="2423"/>
      <c r="X87" s="2423"/>
      <c r="Y87" s="2423"/>
      <c r="Z87" s="2423"/>
      <c r="AA87" s="2423"/>
      <c r="AB87" s="2423"/>
      <c r="AC87" s="2423"/>
      <c r="AD87" s="2423"/>
      <c r="AE87" s="2423"/>
    </row>
    <row r="88" spans="1:31" s="101" customFormat="1" ht="15.75" thickBot="1">
      <c r="A88" s="364"/>
      <c r="B88" s="468"/>
      <c r="C88" s="506">
        <v>100</v>
      </c>
      <c r="D88" s="469">
        <f>C88-$K19</f>
        <v>100</v>
      </c>
      <c r="E88" s="469">
        <f>D88-$K19</f>
        <v>100</v>
      </c>
      <c r="F88" s="469">
        <f>E88-$K19</f>
        <v>100</v>
      </c>
      <c r="G88" s="469">
        <f>F88-$K19</f>
        <v>100</v>
      </c>
      <c r="H88" s="469"/>
      <c r="I88" s="469"/>
      <c r="J88" s="469"/>
      <c r="K88" s="469"/>
      <c r="L88" s="469"/>
      <c r="M88" s="470"/>
      <c r="N88" s="2503"/>
      <c r="O88" s="2503"/>
      <c r="P88" s="2501"/>
      <c r="Q88" s="2489"/>
      <c r="R88" s="2423"/>
      <c r="S88" s="2423"/>
      <c r="T88" s="2423"/>
      <c r="U88" s="2423"/>
      <c r="V88" s="2423"/>
      <c r="W88" s="2423"/>
      <c r="X88" s="2423"/>
      <c r="Y88" s="2423"/>
      <c r="Z88" s="2423"/>
      <c r="AA88" s="2423"/>
      <c r="AB88" s="2423"/>
      <c r="AC88" s="2423"/>
      <c r="AD88" s="2423"/>
      <c r="AE88" s="2423"/>
    </row>
    <row r="89" spans="1:31" s="101" customFormat="1" ht="27.75" thickTop="1">
      <c r="A89" s="364"/>
      <c r="B89" s="463" t="s">
        <v>1902</v>
      </c>
      <c r="C89" s="498" t="s">
        <v>1715</v>
      </c>
      <c r="D89" s="498" t="s">
        <v>1716</v>
      </c>
      <c r="E89" s="498" t="s">
        <v>1717</v>
      </c>
      <c r="F89" s="498" t="s">
        <v>1718</v>
      </c>
      <c r="G89" s="498" t="s">
        <v>1719</v>
      </c>
      <c r="H89" s="503"/>
      <c r="I89" s="503"/>
      <c r="J89" s="503"/>
      <c r="K89" s="503"/>
      <c r="L89" s="503"/>
      <c r="M89" s="541"/>
      <c r="N89" s="2501"/>
      <c r="O89" s="2501"/>
      <c r="P89" s="2501"/>
      <c r="Q89" s="2489"/>
      <c r="R89" s="2423"/>
      <c r="S89" s="2423"/>
      <c r="T89" s="2423"/>
      <c r="U89" s="2423"/>
      <c r="V89" s="2423"/>
      <c r="W89" s="2423"/>
      <c r="X89" s="2423"/>
      <c r="Y89" s="2423"/>
      <c r="Z89" s="2423"/>
      <c r="AA89" s="2423"/>
      <c r="AB89" s="2423"/>
      <c r="AC89" s="2423"/>
      <c r="AD89" s="2423"/>
      <c r="AE89" s="2423"/>
    </row>
    <row r="90" spans="1:31" s="101" customFormat="1" ht="15.75" thickBot="1">
      <c r="A90" s="364"/>
      <c r="B90" s="468"/>
      <c r="C90" s="469">
        <v>100</v>
      </c>
      <c r="D90" s="469">
        <f>C90-$K21</f>
        <v>100</v>
      </c>
      <c r="E90" s="469">
        <f>D90-$K21</f>
        <v>100</v>
      </c>
      <c r="F90" s="469">
        <f>E90-$K21</f>
        <v>100</v>
      </c>
      <c r="G90" s="469">
        <f>F90-$K21</f>
        <v>100</v>
      </c>
      <c r="H90" s="469"/>
      <c r="I90" s="469"/>
      <c r="J90" s="469"/>
      <c r="K90" s="469"/>
      <c r="L90" s="469"/>
      <c r="M90" s="470"/>
      <c r="N90" s="2503"/>
      <c r="O90" s="2503"/>
      <c r="P90" s="2501"/>
      <c r="Q90" s="2489"/>
      <c r="R90" s="2423"/>
      <c r="S90" s="2423"/>
      <c r="T90" s="2423"/>
      <c r="U90" s="2423"/>
      <c r="V90" s="2423"/>
      <c r="W90" s="2423"/>
      <c r="X90" s="2423"/>
      <c r="Y90" s="2423"/>
      <c r="Z90" s="2423"/>
      <c r="AA90" s="2423"/>
      <c r="AB90" s="2423"/>
      <c r="AC90" s="2423"/>
      <c r="AD90" s="2423"/>
      <c r="AE90" s="2423"/>
    </row>
    <row r="91" spans="1:31" s="402" customFormat="1" ht="15.75" thickTop="1">
      <c r="A91" s="478"/>
      <c r="B91" s="463" t="s">
        <v>1772</v>
      </c>
      <c r="C91" s="498" t="s">
        <v>1715</v>
      </c>
      <c r="D91" s="498" t="s">
        <v>1716</v>
      </c>
      <c r="E91" s="498" t="s">
        <v>1717</v>
      </c>
      <c r="F91" s="498" t="s">
        <v>1718</v>
      </c>
      <c r="G91" s="498" t="s">
        <v>1719</v>
      </c>
      <c r="H91" s="521"/>
      <c r="I91" s="521"/>
      <c r="J91" s="521"/>
      <c r="K91" s="521"/>
      <c r="L91" s="522"/>
      <c r="M91" s="523"/>
      <c r="N91" s="2504"/>
      <c r="O91" s="2504"/>
      <c r="P91" s="2504"/>
      <c r="Q91" s="2496"/>
      <c r="R91" s="2474"/>
      <c r="S91" s="2474"/>
      <c r="T91" s="2474"/>
      <c r="U91" s="2474"/>
      <c r="V91" s="2474"/>
      <c r="W91" s="2474"/>
      <c r="X91" s="2474"/>
      <c r="Y91" s="2474"/>
      <c r="Z91" s="2474"/>
      <c r="AA91" s="2474"/>
      <c r="AB91" s="2474"/>
      <c r="AC91" s="2474"/>
      <c r="AD91" s="2474"/>
      <c r="AE91" s="2474"/>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04"/>
      <c r="O92" s="2504"/>
      <c r="P92" s="2504"/>
      <c r="Q92" s="2496"/>
      <c r="R92" s="2474"/>
      <c r="S92" s="2474"/>
      <c r="T92" s="2474"/>
      <c r="U92" s="2474"/>
      <c r="V92" s="2474"/>
      <c r="W92" s="2474"/>
      <c r="X92" s="2474"/>
      <c r="Y92" s="2474"/>
      <c r="Z92" s="2474"/>
      <c r="AA92" s="2474"/>
      <c r="AB92" s="2474"/>
      <c r="AC92" s="2474"/>
      <c r="AD92" s="2474"/>
      <c r="AE92" s="2474"/>
    </row>
    <row r="93" spans="1:31" s="402" customFormat="1" ht="15.75" thickTop="1">
      <c r="A93" s="478"/>
      <c r="B93" s="471" t="s">
        <v>1919</v>
      </c>
      <c r="C93" s="575" t="s">
        <v>1793</v>
      </c>
      <c r="D93" s="575" t="s">
        <v>1794</v>
      </c>
      <c r="E93" s="575" t="s">
        <v>1795</v>
      </c>
      <c r="F93" s="575" t="s">
        <v>1796</v>
      </c>
      <c r="G93" s="575" t="s">
        <v>1797</v>
      </c>
      <c r="H93" s="521"/>
      <c r="I93" s="521"/>
      <c r="J93" s="521"/>
      <c r="K93" s="521"/>
      <c r="L93" s="521"/>
      <c r="M93" s="523"/>
      <c r="N93" s="2504"/>
      <c r="O93" s="2504"/>
      <c r="P93" s="2504"/>
      <c r="Q93" s="2496"/>
      <c r="R93" s="2474"/>
      <c r="S93" s="2474"/>
      <c r="T93" s="2474"/>
      <c r="U93" s="2474"/>
      <c r="V93" s="2474"/>
      <c r="W93" s="2474"/>
      <c r="X93" s="2474"/>
      <c r="Y93" s="2474"/>
      <c r="Z93" s="2474"/>
      <c r="AA93" s="2474"/>
      <c r="AB93" s="2474"/>
      <c r="AC93" s="2474"/>
      <c r="AD93" s="2474"/>
      <c r="AE93" s="2474"/>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04"/>
      <c r="O94" s="2504"/>
      <c r="P94" s="2504"/>
      <c r="Q94" s="2496"/>
      <c r="R94" s="2474"/>
      <c r="S94" s="2474"/>
      <c r="T94" s="2474"/>
      <c r="U94" s="2474"/>
      <c r="V94" s="2474"/>
      <c r="W94" s="2474"/>
      <c r="X94" s="2474"/>
      <c r="Y94" s="2474"/>
      <c r="Z94" s="2474"/>
      <c r="AA94" s="2474"/>
      <c r="AB94" s="2474"/>
      <c r="AC94" s="2474"/>
      <c r="AD94" s="2474"/>
      <c r="AE94" s="2474"/>
    </row>
    <row r="95" spans="1:31" ht="15.75" thickTop="1">
      <c r="A95" s="361"/>
      <c r="B95" s="463" t="str">
        <f>B27</f>
        <v>临街状况</v>
      </c>
      <c r="C95" s="464" t="s">
        <v>1903</v>
      </c>
      <c r="D95" s="464" t="s">
        <v>1904</v>
      </c>
      <c r="E95" s="464" t="s">
        <v>1905</v>
      </c>
      <c r="F95" s="464" t="s">
        <v>1906</v>
      </c>
      <c r="G95" s="464"/>
      <c r="H95" s="464"/>
      <c r="I95" s="464"/>
      <c r="J95" s="464"/>
      <c r="K95" s="465"/>
      <c r="L95" s="466"/>
      <c r="M95" s="467"/>
      <c r="N95" s="2502"/>
      <c r="O95" s="2502"/>
      <c r="P95" s="2501"/>
      <c r="Q95" s="2489"/>
      <c r="R95" s="2468"/>
      <c r="S95" s="2468"/>
      <c r="T95" s="2468"/>
      <c r="U95" s="2468"/>
      <c r="V95" s="2468"/>
      <c r="W95" s="2468"/>
      <c r="X95" s="2468"/>
      <c r="Y95" s="2468"/>
      <c r="Z95" s="2468"/>
      <c r="AA95" s="2468"/>
      <c r="AB95" s="2468"/>
      <c r="AC95" s="2468"/>
      <c r="AD95" s="2468"/>
      <c r="AE95" s="2468"/>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03"/>
      <c r="O96" s="2503"/>
      <c r="P96" s="2501"/>
      <c r="Q96" s="2489"/>
      <c r="R96" s="2468"/>
      <c r="S96" s="2468"/>
      <c r="T96" s="2468"/>
      <c r="U96" s="2468"/>
      <c r="V96" s="2468"/>
      <c r="W96" s="2468"/>
      <c r="X96" s="2468"/>
      <c r="Y96" s="2468"/>
      <c r="Z96" s="2468"/>
      <c r="AA96" s="2468"/>
      <c r="AB96" s="2468"/>
      <c r="AC96" s="2468"/>
      <c r="AD96" s="2468"/>
      <c r="AE96" s="2468"/>
    </row>
    <row r="97" spans="1:31" ht="27.75" thickTop="1">
      <c r="A97" s="361"/>
      <c r="B97" s="463" t="s">
        <v>1809</v>
      </c>
      <c r="C97" s="479"/>
      <c r="D97" s="479"/>
      <c r="E97" s="479"/>
      <c r="F97" s="479"/>
      <c r="G97" s="479"/>
      <c r="H97" s="507"/>
      <c r="I97" s="507"/>
      <c r="J97" s="507"/>
      <c r="K97" s="508"/>
      <c r="L97" s="509"/>
      <c r="M97" s="510"/>
      <c r="N97" s="2502"/>
      <c r="O97" s="2502"/>
      <c r="P97" s="2501"/>
      <c r="Q97" s="2489"/>
      <c r="R97" s="2468"/>
      <c r="S97" s="2468"/>
      <c r="T97" s="2468"/>
      <c r="U97" s="2468"/>
      <c r="V97" s="2468"/>
      <c r="W97" s="2468"/>
      <c r="X97" s="2468"/>
      <c r="Y97" s="2468"/>
      <c r="Z97" s="2468"/>
      <c r="AA97" s="2468"/>
      <c r="AB97" s="2468"/>
      <c r="AC97" s="2468"/>
      <c r="AD97" s="2468"/>
      <c r="AE97" s="2468"/>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03"/>
      <c r="O98" s="2503"/>
      <c r="P98" s="2501"/>
      <c r="Q98" s="2489"/>
      <c r="R98" s="2468"/>
      <c r="S98" s="2468"/>
      <c r="T98" s="2468"/>
      <c r="U98" s="2468"/>
      <c r="V98" s="2468"/>
      <c r="W98" s="2468"/>
      <c r="X98" s="2468"/>
      <c r="Y98" s="2468"/>
      <c r="Z98" s="2468"/>
      <c r="AA98" s="2468"/>
      <c r="AB98" s="2468"/>
      <c r="AC98" s="2468"/>
      <c r="AD98" s="2468"/>
      <c r="AE98" s="2468"/>
    </row>
    <row r="99" spans="1:31" ht="15.75" thickTop="1">
      <c r="A99" s="361"/>
      <c r="B99" s="463" t="s">
        <v>1867</v>
      </c>
      <c r="C99" s="507"/>
      <c r="D99" s="507"/>
      <c r="E99" s="507"/>
      <c r="F99" s="507"/>
      <c r="G99" s="507"/>
      <c r="H99" s="507"/>
      <c r="I99" s="507"/>
      <c r="J99" s="507"/>
      <c r="K99" s="508"/>
      <c r="L99" s="509"/>
      <c r="M99" s="510"/>
      <c r="N99" s="2502"/>
      <c r="O99" s="2502"/>
      <c r="P99" s="2501"/>
      <c r="Q99" s="2489"/>
      <c r="R99" s="2468"/>
      <c r="S99" s="2468"/>
      <c r="T99" s="2468"/>
      <c r="U99" s="2468"/>
      <c r="V99" s="2468"/>
      <c r="W99" s="2468"/>
      <c r="X99" s="2468"/>
      <c r="Y99" s="2468"/>
      <c r="Z99" s="2468"/>
      <c r="AA99" s="2468"/>
      <c r="AB99" s="2468"/>
      <c r="AC99" s="2468"/>
      <c r="AD99" s="2468"/>
      <c r="AE99" s="2468"/>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03"/>
      <c r="O100" s="2503"/>
      <c r="P100" s="2501"/>
      <c r="Q100" s="2489"/>
      <c r="R100" s="2468"/>
      <c r="S100" s="2468"/>
      <c r="T100" s="2468"/>
      <c r="U100" s="2468"/>
      <c r="V100" s="2468"/>
      <c r="W100" s="2468"/>
      <c r="X100" s="2468"/>
      <c r="Y100" s="2468"/>
      <c r="Z100" s="2468"/>
      <c r="AA100" s="2468"/>
      <c r="AB100" s="2468"/>
      <c r="AC100" s="2468"/>
      <c r="AD100" s="2468"/>
      <c r="AE100" s="2468"/>
    </row>
    <row r="101" spans="1:31" ht="15.75" thickTop="1">
      <c r="A101" s="361"/>
      <c r="B101" s="471">
        <f>B31</f>
        <v>111</v>
      </c>
      <c r="C101" s="479"/>
      <c r="D101" s="479"/>
      <c r="E101" s="479"/>
      <c r="F101" s="479"/>
      <c r="G101" s="511"/>
      <c r="H101" s="511"/>
      <c r="I101" s="511"/>
      <c r="J101" s="511"/>
      <c r="K101" s="512"/>
      <c r="L101" s="513"/>
      <c r="M101" s="514"/>
      <c r="N101" s="2502"/>
      <c r="O101" s="2502"/>
      <c r="P101" s="2501"/>
      <c r="Q101" s="2489"/>
      <c r="R101" s="2468"/>
      <c r="S101" s="2468"/>
      <c r="T101" s="2468"/>
      <c r="U101" s="2468"/>
      <c r="V101" s="2468"/>
      <c r="W101" s="2468"/>
      <c r="X101" s="2468"/>
      <c r="Y101" s="2468"/>
      <c r="Z101" s="2468"/>
      <c r="AA101" s="2468"/>
      <c r="AB101" s="2468"/>
      <c r="AC101" s="2468"/>
      <c r="AD101" s="2468"/>
      <c r="AE101" s="2468"/>
    </row>
    <row r="102" spans="1:31" ht="15.75" thickBot="1">
      <c r="A102" s="361"/>
      <c r="B102" s="494"/>
      <c r="C102" s="485"/>
      <c r="D102" s="461"/>
      <c r="E102" s="461"/>
      <c r="F102" s="461"/>
      <c r="G102" s="515"/>
      <c r="H102" s="515"/>
      <c r="I102" s="515"/>
      <c r="J102" s="515"/>
      <c r="K102" s="515"/>
      <c r="L102" s="515"/>
      <c r="M102" s="516"/>
      <c r="N102" s="2503"/>
      <c r="O102" s="2503"/>
      <c r="P102" s="2501"/>
      <c r="Q102" s="2489"/>
      <c r="R102" s="2468"/>
      <c r="S102" s="2468"/>
      <c r="T102" s="2468"/>
      <c r="U102" s="2468"/>
      <c r="V102" s="2468"/>
      <c r="W102" s="2468"/>
      <c r="X102" s="2468"/>
      <c r="Y102" s="2468"/>
      <c r="Z102" s="2468"/>
      <c r="AA102" s="2468"/>
      <c r="AB102" s="2468"/>
      <c r="AC102" s="2468"/>
      <c r="AD102" s="2468"/>
      <c r="AE102" s="2468"/>
    </row>
    <row r="103" spans="1:31" ht="15" thickTop="1">
      <c r="A103" s="589"/>
      <c r="B103" s="463">
        <f>B32</f>
        <v>111</v>
      </c>
      <c r="C103" s="479"/>
      <c r="D103" s="479"/>
      <c r="E103" s="479"/>
      <c r="F103" s="479"/>
      <c r="G103" s="507"/>
      <c r="H103" s="507"/>
      <c r="I103" s="507"/>
      <c r="J103" s="507"/>
      <c r="K103" s="508"/>
      <c r="L103" s="509"/>
      <c r="M103" s="510"/>
      <c r="N103" s="2502"/>
      <c r="O103" s="2502"/>
      <c r="P103" s="2501"/>
      <c r="Q103" s="2489"/>
      <c r="R103" s="2468"/>
      <c r="S103" s="2468"/>
      <c r="T103" s="2468"/>
      <c r="U103" s="2468"/>
      <c r="V103" s="2468"/>
      <c r="W103" s="2468"/>
      <c r="X103" s="2468"/>
      <c r="Y103" s="2468"/>
      <c r="Z103" s="2468"/>
      <c r="AA103" s="2468"/>
      <c r="AB103" s="2468"/>
      <c r="AC103" s="2468"/>
      <c r="AD103" s="2468"/>
      <c r="AE103" s="2468"/>
    </row>
    <row r="104" spans="1:31" ht="15.75" thickBot="1">
      <c r="A104" s="361"/>
      <c r="B104" s="468"/>
      <c r="C104" s="485"/>
      <c r="D104" s="485"/>
      <c r="E104" s="485"/>
      <c r="F104" s="485"/>
      <c r="G104" s="461"/>
      <c r="H104" s="461"/>
      <c r="I104" s="461"/>
      <c r="J104" s="461"/>
      <c r="K104" s="461"/>
      <c r="L104" s="461"/>
      <c r="M104" s="462"/>
      <c r="N104" s="2503"/>
      <c r="O104" s="2503"/>
      <c r="P104" s="2501"/>
      <c r="Q104" s="2489"/>
      <c r="R104" s="2468"/>
      <c r="S104" s="2468"/>
      <c r="T104" s="2468"/>
      <c r="U104" s="2468"/>
      <c r="V104" s="2468"/>
      <c r="W104" s="2468"/>
      <c r="X104" s="2468"/>
      <c r="Y104" s="2468"/>
      <c r="Z104" s="2468"/>
      <c r="AA104" s="2468"/>
      <c r="AB104" s="2468"/>
      <c r="AC104" s="2468"/>
      <c r="AD104" s="2468"/>
      <c r="AE104" s="2468"/>
    </row>
    <row r="105" spans="1:31" s="402" customFormat="1" ht="15" thickTop="1">
      <c r="A105" s="400"/>
      <c r="B105" s="517">
        <f>B33</f>
        <v>111</v>
      </c>
      <c r="C105" s="31"/>
      <c r="D105" s="31"/>
      <c r="E105" s="31"/>
      <c r="F105" s="31"/>
      <c r="G105" s="6"/>
      <c r="H105" s="6"/>
      <c r="I105" s="6"/>
      <c r="J105" s="518"/>
      <c r="K105" s="518"/>
      <c r="L105" s="519"/>
      <c r="M105" s="520"/>
      <c r="N105" s="2504"/>
      <c r="O105" s="2504"/>
      <c r="P105" s="2504"/>
      <c r="Q105" s="2496"/>
      <c r="R105" s="2474"/>
      <c r="S105" s="2474"/>
      <c r="T105" s="2474"/>
      <c r="U105" s="2474"/>
      <c r="V105" s="2474"/>
      <c r="W105" s="2474"/>
      <c r="X105" s="2474"/>
      <c r="Y105" s="2474"/>
      <c r="Z105" s="2474"/>
      <c r="AA105" s="2474"/>
      <c r="AB105" s="2474"/>
      <c r="AC105" s="2474"/>
      <c r="AD105" s="2474"/>
      <c r="AE105" s="2474"/>
    </row>
    <row r="106" spans="1:31" s="402" customFormat="1" ht="15.75" thickBot="1">
      <c r="A106" s="478"/>
      <c r="B106" s="471"/>
      <c r="C106" s="495"/>
      <c r="D106" s="495"/>
      <c r="E106" s="495"/>
      <c r="F106" s="495"/>
      <c r="G106" s="591"/>
      <c r="H106" s="591"/>
      <c r="I106" s="591"/>
      <c r="J106" s="591"/>
      <c r="K106" s="591"/>
      <c r="L106" s="591"/>
      <c r="M106" s="613"/>
      <c r="N106" s="2503"/>
      <c r="O106" s="2503"/>
      <c r="P106" s="2504"/>
      <c r="Q106" s="2496"/>
      <c r="R106" s="2474"/>
      <c r="S106" s="2474"/>
      <c r="T106" s="2474"/>
      <c r="U106" s="2474"/>
      <c r="V106" s="2474"/>
      <c r="W106" s="2474"/>
      <c r="X106" s="2474"/>
      <c r="Y106" s="2474"/>
      <c r="Z106" s="2474"/>
      <c r="AA106" s="2474"/>
      <c r="AB106" s="2474"/>
      <c r="AC106" s="2474"/>
      <c r="AD106" s="2474"/>
      <c r="AE106" s="2474"/>
    </row>
    <row r="107" spans="1:31">
      <c r="A107" s="373" t="s">
        <v>1688</v>
      </c>
      <c r="B107" s="454" t="s">
        <v>1907</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02"/>
      <c r="O107" s="2502"/>
      <c r="P107" s="2501"/>
      <c r="Q107" s="2489"/>
      <c r="R107" s="2468"/>
      <c r="S107" s="2468"/>
      <c r="T107" s="2468"/>
      <c r="U107" s="2468"/>
      <c r="V107" s="2468"/>
      <c r="W107" s="2468"/>
      <c r="X107" s="2468"/>
      <c r="Y107" s="2468"/>
      <c r="Z107" s="2468"/>
      <c r="AA107" s="2468"/>
      <c r="AB107" s="2468"/>
      <c r="AC107" s="2468"/>
      <c r="AD107" s="2468"/>
      <c r="AE107" s="2468"/>
    </row>
    <row r="108" spans="1:31" ht="15">
      <c r="A108" s="361"/>
      <c r="B108" s="471"/>
      <c r="C108" s="6"/>
      <c r="D108" s="6"/>
      <c r="E108" s="6"/>
      <c r="F108" s="6"/>
      <c r="G108" s="6"/>
      <c r="H108" s="6"/>
      <c r="I108" s="6"/>
      <c r="J108" s="518"/>
      <c r="K108" s="518"/>
      <c r="L108" s="519"/>
      <c r="M108" s="520"/>
      <c r="N108" s="2502"/>
      <c r="O108" s="2502"/>
      <c r="P108" s="2501"/>
      <c r="Q108" s="2489"/>
      <c r="R108" s="2468"/>
      <c r="S108" s="2468"/>
      <c r="T108" s="2468"/>
      <c r="U108" s="2468"/>
      <c r="V108" s="2468"/>
      <c r="W108" s="2468"/>
      <c r="X108" s="2468"/>
      <c r="Y108" s="2468"/>
      <c r="Z108" s="2468"/>
      <c r="AA108" s="2468"/>
      <c r="AB108" s="2468"/>
      <c r="AC108" s="2468"/>
      <c r="AD108" s="2468"/>
      <c r="AE108" s="2468"/>
    </row>
    <row r="109" spans="1:31" ht="15.75" thickBot="1">
      <c r="A109" s="361"/>
      <c r="B109" s="468"/>
      <c r="C109" s="495"/>
      <c r="D109" s="515"/>
      <c r="E109" s="515"/>
      <c r="F109" s="515"/>
      <c r="G109" s="515"/>
      <c r="H109" s="515"/>
      <c r="I109" s="515"/>
      <c r="J109" s="515"/>
      <c r="K109" s="515"/>
      <c r="L109" s="515"/>
      <c r="M109" s="516"/>
      <c r="N109" s="2503"/>
      <c r="O109" s="2503"/>
      <c r="P109" s="2501"/>
      <c r="Q109" s="2489"/>
      <c r="R109" s="2468"/>
      <c r="S109" s="2468"/>
      <c r="T109" s="2468"/>
      <c r="U109" s="2468"/>
      <c r="V109" s="2468"/>
      <c r="W109" s="2468"/>
      <c r="X109" s="2468"/>
      <c r="Y109" s="2468"/>
      <c r="Z109" s="2468"/>
      <c r="AA109" s="2468"/>
      <c r="AB109" s="2468"/>
      <c r="AC109" s="2468"/>
      <c r="AD109" s="2468"/>
      <c r="AE109" s="2468"/>
    </row>
    <row r="110" spans="1:31" ht="15" thickTop="1">
      <c r="A110" s="403"/>
      <c r="B110" s="463" t="s">
        <v>1908</v>
      </c>
      <c r="C110" s="507"/>
      <c r="D110" s="507"/>
      <c r="E110" s="507"/>
      <c r="F110" s="507"/>
      <c r="G110" s="507"/>
      <c r="H110" s="507"/>
      <c r="I110" s="507"/>
      <c r="J110" s="507"/>
      <c r="K110" s="508"/>
      <c r="L110" s="509"/>
      <c r="M110" s="510"/>
      <c r="N110" s="2502"/>
      <c r="O110" s="2502"/>
      <c r="P110" s="2501"/>
      <c r="Q110" s="2489"/>
      <c r="R110" s="2468"/>
      <c r="S110" s="2468"/>
      <c r="T110" s="2468"/>
      <c r="U110" s="2468"/>
      <c r="V110" s="2468"/>
      <c r="W110" s="2468"/>
      <c r="X110" s="2468"/>
      <c r="Y110" s="2468"/>
      <c r="Z110" s="2468"/>
      <c r="AA110" s="2468"/>
      <c r="AB110" s="2468"/>
      <c r="AC110" s="2468"/>
      <c r="AD110" s="2468"/>
      <c r="AE110" s="2468"/>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03"/>
      <c r="O111" s="2503"/>
      <c r="P111" s="2501"/>
      <c r="Q111" s="2489"/>
      <c r="R111" s="2468"/>
      <c r="S111" s="2468"/>
      <c r="T111" s="2468"/>
      <c r="U111" s="2468"/>
      <c r="V111" s="2468"/>
      <c r="W111" s="2468"/>
      <c r="X111" s="2468"/>
      <c r="Y111" s="2468"/>
      <c r="Z111" s="2468"/>
      <c r="AA111" s="2468"/>
      <c r="AB111" s="2468"/>
      <c r="AC111" s="2468"/>
      <c r="AD111" s="2468"/>
      <c r="AE111" s="2468"/>
    </row>
    <row r="112" spans="1:31" s="402" customFormat="1" ht="15" thickTop="1">
      <c r="A112" s="400"/>
      <c r="B112" s="463" t="s">
        <v>1910</v>
      </c>
      <c r="C112" s="479"/>
      <c r="D112" s="479"/>
      <c r="E112" s="479"/>
      <c r="F112" s="479"/>
      <c r="G112" s="479"/>
      <c r="H112" s="507"/>
      <c r="I112" s="507"/>
      <c r="J112" s="507"/>
      <c r="K112" s="508"/>
      <c r="L112" s="509"/>
      <c r="M112" s="510"/>
      <c r="N112" s="2504"/>
      <c r="O112" s="2504"/>
      <c r="P112" s="2504"/>
      <c r="Q112" s="2496"/>
      <c r="R112" s="2474"/>
      <c r="S112" s="2474"/>
      <c r="T112" s="2474"/>
      <c r="U112" s="2474"/>
      <c r="V112" s="2474"/>
      <c r="W112" s="2474"/>
      <c r="X112" s="2474"/>
      <c r="Y112" s="2474"/>
      <c r="Z112" s="2474"/>
      <c r="AA112" s="2474"/>
      <c r="AB112" s="2474"/>
      <c r="AC112" s="2474"/>
      <c r="AD112" s="2474"/>
      <c r="AE112" s="2474"/>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04"/>
      <c r="O113" s="2504"/>
      <c r="P113" s="2504"/>
      <c r="Q113" s="2496"/>
      <c r="R113" s="2474"/>
      <c r="S113" s="2474"/>
      <c r="T113" s="2474"/>
      <c r="U113" s="2474"/>
      <c r="V113" s="2474"/>
      <c r="W113" s="2474"/>
      <c r="X113" s="2474"/>
      <c r="Y113" s="2474"/>
      <c r="Z113" s="2474"/>
      <c r="AA113" s="2474"/>
      <c r="AB113" s="2474"/>
      <c r="AC113" s="2474"/>
      <c r="AD113" s="2474"/>
      <c r="AE113" s="2474"/>
    </row>
    <row r="114" spans="1:31" ht="15" thickTop="1">
      <c r="A114" s="403"/>
      <c r="B114" s="463" t="s">
        <v>1911</v>
      </c>
      <c r="C114" s="479"/>
      <c r="D114" s="479"/>
      <c r="E114" s="507"/>
      <c r="F114" s="507"/>
      <c r="G114" s="507"/>
      <c r="H114" s="507"/>
      <c r="I114" s="507"/>
      <c r="J114" s="507"/>
      <c r="K114" s="508"/>
      <c r="L114" s="509"/>
      <c r="M114" s="510"/>
      <c r="N114" s="2502"/>
      <c r="O114" s="2502"/>
      <c r="P114" s="2501"/>
      <c r="Q114" s="2489"/>
      <c r="R114" s="2468"/>
      <c r="S114" s="2468"/>
      <c r="T114" s="2468"/>
      <c r="U114" s="2468"/>
      <c r="V114" s="2468"/>
      <c r="W114" s="2468"/>
      <c r="X114" s="2468"/>
      <c r="Y114" s="2468"/>
      <c r="Z114" s="2468"/>
      <c r="AA114" s="2468"/>
      <c r="AB114" s="2468"/>
      <c r="AC114" s="2468"/>
      <c r="AD114" s="2468"/>
      <c r="AE114" s="2468"/>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3"/>
      <c r="O115" s="2503"/>
      <c r="P115" s="2501"/>
      <c r="Q115" s="2489"/>
      <c r="R115" s="2468"/>
      <c r="S115" s="2468"/>
      <c r="T115" s="2468"/>
      <c r="U115" s="2468"/>
      <c r="V115" s="2468"/>
      <c r="W115" s="2468"/>
      <c r="X115" s="2468"/>
      <c r="Y115" s="2468"/>
      <c r="Z115" s="2468"/>
      <c r="AA115" s="2468"/>
      <c r="AB115" s="2468"/>
      <c r="AC115" s="2468"/>
      <c r="AD115" s="2468"/>
      <c r="AE115" s="2468"/>
    </row>
    <row r="116" spans="1:31" ht="15" thickTop="1">
      <c r="A116" s="403"/>
      <c r="B116" s="463">
        <f>B38</f>
        <v>111</v>
      </c>
      <c r="C116" s="479"/>
      <c r="D116" s="479"/>
      <c r="E116" s="479"/>
      <c r="F116" s="479"/>
      <c r="G116" s="479"/>
      <c r="H116" s="507"/>
      <c r="I116" s="507"/>
      <c r="J116" s="507"/>
      <c r="K116" s="508"/>
      <c r="L116" s="509"/>
      <c r="M116" s="510"/>
      <c r="N116" s="2502"/>
      <c r="O116" s="2502"/>
      <c r="P116" s="2501"/>
      <c r="Q116" s="2489"/>
      <c r="R116" s="2468"/>
      <c r="S116" s="2468"/>
      <c r="T116" s="2468"/>
      <c r="U116" s="2468"/>
      <c r="V116" s="2468"/>
      <c r="W116" s="2468"/>
      <c r="X116" s="2468"/>
      <c r="Y116" s="2468"/>
      <c r="Z116" s="2468"/>
      <c r="AA116" s="2468"/>
      <c r="AB116" s="2468"/>
      <c r="AC116" s="2468"/>
      <c r="AD116" s="2468"/>
      <c r="AE116" s="2468"/>
    </row>
    <row r="117" spans="1:31" ht="15.75" thickBot="1">
      <c r="A117" s="361"/>
      <c r="B117" s="468"/>
      <c r="C117" s="485"/>
      <c r="D117" s="461"/>
      <c r="E117" s="461"/>
      <c r="F117" s="461"/>
      <c r="G117" s="461"/>
      <c r="H117" s="461"/>
      <c r="I117" s="461"/>
      <c r="J117" s="461"/>
      <c r="K117" s="461"/>
      <c r="L117" s="461"/>
      <c r="M117" s="462"/>
      <c r="N117" s="2503"/>
      <c r="O117" s="2503"/>
      <c r="P117" s="2501"/>
      <c r="Q117" s="2489"/>
      <c r="R117" s="2468"/>
      <c r="S117" s="2468"/>
      <c r="T117" s="2468"/>
      <c r="U117" s="2468"/>
      <c r="V117" s="2468"/>
      <c r="W117" s="2468"/>
      <c r="X117" s="2468"/>
      <c r="Y117" s="2468"/>
      <c r="Z117" s="2468"/>
      <c r="AA117" s="2468"/>
      <c r="AB117" s="2468"/>
      <c r="AC117" s="2468"/>
      <c r="AD117" s="2468"/>
      <c r="AE117" s="2468"/>
    </row>
    <row r="118" spans="1:31" ht="15" thickTop="1">
      <c r="A118" s="403"/>
      <c r="B118" s="463">
        <f>B39</f>
        <v>111</v>
      </c>
      <c r="C118" s="479"/>
      <c r="D118" s="479"/>
      <c r="E118" s="479"/>
      <c r="F118" s="479"/>
      <c r="G118" s="507"/>
      <c r="H118" s="507"/>
      <c r="I118" s="507"/>
      <c r="J118" s="507"/>
      <c r="K118" s="508"/>
      <c r="L118" s="509"/>
      <c r="M118" s="510"/>
      <c r="N118" s="2502"/>
      <c r="O118" s="2502"/>
      <c r="P118" s="2501"/>
      <c r="Q118" s="2489"/>
      <c r="R118" s="2468"/>
      <c r="S118" s="2468"/>
      <c r="T118" s="2468"/>
      <c r="U118" s="2468"/>
      <c r="V118" s="2468"/>
      <c r="W118" s="2468"/>
      <c r="X118" s="2468"/>
      <c r="Y118" s="2468"/>
      <c r="Z118" s="2468"/>
      <c r="AA118" s="2468"/>
      <c r="AB118" s="2468"/>
      <c r="AC118" s="2468"/>
      <c r="AD118" s="2468"/>
      <c r="AE118" s="2468"/>
    </row>
    <row r="119" spans="1:31" ht="15.75" thickBot="1">
      <c r="A119" s="361"/>
      <c r="B119" s="468"/>
      <c r="C119" s="485"/>
      <c r="D119" s="485"/>
      <c r="E119" s="485"/>
      <c r="F119" s="485"/>
      <c r="G119" s="461"/>
      <c r="H119" s="461"/>
      <c r="I119" s="461"/>
      <c r="J119" s="461"/>
      <c r="K119" s="461"/>
      <c r="L119" s="461"/>
      <c r="M119" s="462"/>
      <c r="N119" s="2503"/>
      <c r="O119" s="2503"/>
      <c r="P119" s="2501"/>
      <c r="Q119" s="2489"/>
      <c r="R119" s="2468"/>
      <c r="S119" s="2468"/>
      <c r="T119" s="2468"/>
      <c r="U119" s="2468"/>
      <c r="V119" s="2468"/>
      <c r="W119" s="2468"/>
      <c r="X119" s="2468"/>
      <c r="Y119" s="2468"/>
      <c r="Z119" s="2468"/>
      <c r="AA119" s="2468"/>
      <c r="AB119" s="2468"/>
      <c r="AC119" s="2468"/>
      <c r="AD119" s="2468"/>
      <c r="AE119" s="2468"/>
    </row>
    <row r="120" spans="1:31" s="402" customFormat="1" ht="15" thickTop="1">
      <c r="A120" s="400"/>
      <c r="B120" s="463">
        <f>B40</f>
        <v>111</v>
      </c>
      <c r="C120" s="31"/>
      <c r="D120" s="31"/>
      <c r="E120" s="31"/>
      <c r="F120" s="31"/>
      <c r="G120" s="480"/>
      <c r="H120" s="480"/>
      <c r="I120" s="480"/>
      <c r="J120" s="480"/>
      <c r="K120" s="480"/>
      <c r="L120" s="481"/>
      <c r="M120" s="482"/>
      <c r="N120" s="2504"/>
      <c r="O120" s="2504"/>
      <c r="P120" s="2504"/>
      <c r="Q120" s="2496"/>
      <c r="R120" s="2474"/>
      <c r="S120" s="2474"/>
      <c r="T120" s="2474"/>
      <c r="U120" s="2474"/>
      <c r="V120" s="2474"/>
      <c r="W120" s="2474"/>
      <c r="X120" s="2474"/>
      <c r="Y120" s="2474"/>
      <c r="Z120" s="2474"/>
      <c r="AA120" s="2474"/>
      <c r="AB120" s="2474"/>
      <c r="AC120" s="2474"/>
      <c r="AD120" s="2474"/>
      <c r="AE120" s="2474"/>
    </row>
    <row r="121" spans="1:31" s="402" customFormat="1" ht="15.75" thickBot="1">
      <c r="A121" s="493"/>
      <c r="B121" s="614"/>
      <c r="C121" s="495"/>
      <c r="D121" s="495"/>
      <c r="E121" s="495"/>
      <c r="F121" s="495"/>
      <c r="G121" s="515"/>
      <c r="H121" s="515"/>
      <c r="I121" s="515"/>
      <c r="J121" s="515"/>
      <c r="K121" s="515"/>
      <c r="L121" s="515"/>
      <c r="M121" s="516"/>
      <c r="N121" s="2504"/>
      <c r="O121" s="2504"/>
      <c r="P121" s="2504"/>
      <c r="Q121" s="2496"/>
      <c r="R121" s="2474"/>
      <c r="S121" s="2474"/>
      <c r="T121" s="2474"/>
      <c r="U121" s="2474"/>
      <c r="V121" s="2474"/>
      <c r="W121" s="2474"/>
      <c r="X121" s="2474"/>
      <c r="Y121" s="2474"/>
      <c r="Z121" s="2474"/>
      <c r="AA121" s="2474"/>
      <c r="AB121" s="2474"/>
      <c r="AC121" s="2474"/>
      <c r="AD121" s="2474"/>
      <c r="AE121" s="2474"/>
    </row>
    <row r="122" spans="1:31">
      <c r="N122" s="2468"/>
      <c r="O122" s="2468"/>
      <c r="P122" s="2468"/>
      <c r="Q122" s="2468"/>
      <c r="R122" s="2468"/>
      <c r="S122" s="2468"/>
      <c r="T122" s="2468"/>
      <c r="U122" s="2468"/>
      <c r="V122" s="2468"/>
      <c r="W122" s="2468"/>
      <c r="X122" s="2468"/>
      <c r="Y122" s="2468"/>
      <c r="Z122" s="2468"/>
      <c r="AA122" s="2468"/>
      <c r="AB122" s="2468"/>
      <c r="AC122" s="2468"/>
      <c r="AD122" s="2468"/>
      <c r="AE122" s="2468"/>
    </row>
    <row r="123" spans="1:31">
      <c r="P123" s="2468"/>
      <c r="Q123" s="2468"/>
      <c r="R123" s="2468"/>
      <c r="S123" s="2468"/>
      <c r="T123" s="2468"/>
      <c r="U123" s="2468"/>
      <c r="V123" s="2468"/>
      <c r="W123" s="2468"/>
      <c r="X123" s="2468"/>
      <c r="Y123" s="2468"/>
      <c r="Z123" s="2468"/>
      <c r="AA123" s="2468"/>
      <c r="AB123" s="2468"/>
      <c r="AC123" s="2468"/>
      <c r="AD123" s="2468"/>
      <c r="AE123" s="246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905</v>
      </c>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v>
      </c>
      <c r="B3" s="3282"/>
      <c r="C3" s="3282"/>
      <c r="D3" s="3282"/>
      <c r="E3" s="3282"/>
    </row>
    <row r="4" spans="1:5" ht="19.5" thickBot="1">
      <c r="A4" s="1383"/>
      <c r="B4" s="3280" t="s">
        <v>914</v>
      </c>
      <c r="C4" s="3280"/>
      <c r="D4" s="3280"/>
      <c r="E4" s="1383"/>
    </row>
    <row r="5" spans="1:5" ht="16.5" thickTop="1">
      <c r="B5" s="3278" t="s">
        <v>906</v>
      </c>
      <c r="C5" s="1384" t="s">
        <v>907</v>
      </c>
      <c r="D5" s="790">
        <f ca="1">结果表!H101</f>
        <v>4946</v>
      </c>
    </row>
    <row r="6" spans="1:5" ht="15.75">
      <c r="B6" s="3278"/>
      <c r="C6" s="1384" t="s">
        <v>908</v>
      </c>
      <c r="D6" s="790" t="str">
        <f ca="1">NUMBERSTRING(INT(D5*10000),2)&amp;"元整"</f>
        <v>肆仟玖佰肆拾陆万元整</v>
      </c>
    </row>
    <row r="7" spans="1:5" ht="15.75">
      <c r="B7" s="3283"/>
      <c r="C7" s="1385" t="s">
        <v>909</v>
      </c>
      <c r="D7" s="791">
        <f ca="1">结果表!H102</f>
        <v>17340</v>
      </c>
    </row>
    <row r="8" spans="1:5" ht="15.75">
      <c r="B8" s="3284" t="str">
        <f>结果表!E103</f>
        <v>2.估价师知悉的法定优先受偿款</v>
      </c>
      <c r="C8" s="1386" t="s">
        <v>910</v>
      </c>
      <c r="D8" s="791">
        <f>结果表!H103</f>
        <v>0</v>
      </c>
    </row>
    <row r="9" spans="1:5" ht="15.75">
      <c r="B9" s="3286"/>
      <c r="C9" s="1384" t="s">
        <v>908</v>
      </c>
      <c r="D9" s="790" t="str">
        <f>NUMBERSTRING(INT(D8*10000),2)&amp;"元整"</f>
        <v>零元整</v>
      </c>
    </row>
    <row r="10" spans="1:5" ht="15">
      <c r="B10" s="1387" t="s">
        <v>913</v>
      </c>
      <c r="C10" s="1388" t="s">
        <v>911</v>
      </c>
      <c r="D10" s="792">
        <f>结果表!H104</f>
        <v>0</v>
      </c>
    </row>
    <row r="11" spans="1:5" ht="15">
      <c r="B11" s="1387" t="s">
        <v>915</v>
      </c>
      <c r="C11" s="1388" t="s">
        <v>916</v>
      </c>
      <c r="D11" s="792">
        <f>结果表!H105</f>
        <v>0</v>
      </c>
    </row>
    <row r="12" spans="1:5" ht="15">
      <c r="B12" s="1387" t="s">
        <v>917</v>
      </c>
      <c r="C12" s="1388" t="s">
        <v>916</v>
      </c>
      <c r="D12" s="792">
        <f>结果表!H106</f>
        <v>0</v>
      </c>
    </row>
    <row r="13" spans="1:5" ht="15.75">
      <c r="B13" s="3277" t="str">
        <f>结果表!E107</f>
        <v>3.房地产抵押价值</v>
      </c>
      <c r="C13" s="1389" t="s">
        <v>907</v>
      </c>
      <c r="D13" s="793">
        <f ca="1">结果表!H107</f>
        <v>4946</v>
      </c>
    </row>
    <row r="14" spans="1:5" ht="15.75">
      <c r="B14" s="3278"/>
      <c r="C14" s="1384" t="s">
        <v>908</v>
      </c>
      <c r="D14" s="790" t="str">
        <f ca="1">NUMBERSTRING(INT(D13*10000),2)&amp;"元整"</f>
        <v>肆仟玖佰肆拾陆万元整</v>
      </c>
    </row>
    <row r="15" spans="1:5" ht="15">
      <c r="B15" s="3283"/>
      <c r="C15" s="1385" t="s">
        <v>918</v>
      </c>
      <c r="D15" s="799">
        <f ca="1">结果表!H108</f>
        <v>17340</v>
      </c>
    </row>
    <row r="16" spans="1:5" ht="15">
      <c r="B16" s="3284" t="str">
        <f>结果表!E109</f>
        <v>——</v>
      </c>
      <c r="C16" s="1389" t="s">
        <v>919</v>
      </c>
      <c r="D16" s="1390" t="str">
        <f>结果表!H109</f>
        <v>——</v>
      </c>
    </row>
    <row r="17" spans="1:5" ht="15.75">
      <c r="B17" s="3285"/>
      <c r="C17" s="1384" t="s">
        <v>920</v>
      </c>
      <c r="D17" s="790" t="e">
        <f>NUMBERSTRING(INT(D16*10000),2)&amp;"元整"</f>
        <v>#VALUE!</v>
      </c>
    </row>
    <row r="18" spans="1:5" ht="15">
      <c r="B18" s="3286"/>
      <c r="C18" s="1385" t="s">
        <v>909</v>
      </c>
      <c r="D18" s="799" t="str">
        <f>结果表!H110</f>
        <v>——</v>
      </c>
    </row>
    <row r="19" spans="1:5" ht="15.75">
      <c r="B19" s="3277" t="str">
        <f>结果表!E111</f>
        <v>——</v>
      </c>
      <c r="C19" s="1389" t="s">
        <v>907</v>
      </c>
      <c r="D19" s="791" t="str">
        <f>结果表!H111</f>
        <v>——</v>
      </c>
    </row>
    <row r="20" spans="1:5" ht="15.75">
      <c r="B20" s="3278"/>
      <c r="C20" s="1384" t="s">
        <v>920</v>
      </c>
      <c r="D20" s="790" t="e">
        <f>NUMBERSTRING(INT(D19*10000),2)&amp;"元整"</f>
        <v>#VALUE!</v>
      </c>
    </row>
    <row r="21" spans="1:5" ht="15.75" thickBot="1">
      <c r="B21" s="3279"/>
      <c r="C21" s="1391" t="s">
        <v>918</v>
      </c>
      <c r="D21" s="800" t="str">
        <f>结果表!H112</f>
        <v>——</v>
      </c>
    </row>
    <row r="22" spans="1:5" ht="15" thickTop="1">
      <c r="B22" s="1392" t="s">
        <v>921</v>
      </c>
    </row>
    <row r="24" spans="1:5" ht="18.75">
      <c r="A24" s="1393"/>
      <c r="B24" s="1394" t="s">
        <v>912</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2077</v>
      </c>
      <c r="C1" s="3584" t="s">
        <v>2078</v>
      </c>
      <c r="D1" s="3585"/>
      <c r="E1" s="3585"/>
      <c r="F1" s="3585"/>
      <c r="G1" s="3585"/>
      <c r="H1" s="3585"/>
      <c r="I1" s="3585"/>
      <c r="J1" s="3585"/>
      <c r="K1" s="3585"/>
      <c r="L1" s="3585"/>
      <c r="M1" s="3585"/>
      <c r="N1" s="3585"/>
      <c r="O1" s="3585"/>
      <c r="P1" s="3585"/>
      <c r="Q1" s="3585"/>
      <c r="R1" s="3585"/>
      <c r="S1" s="3586"/>
      <c r="T1" s="922" t="s">
        <v>2079</v>
      </c>
    </row>
    <row r="2" spans="1:45" s="619" customFormat="1">
      <c r="A2" s="923"/>
      <c r="B2" s="616" t="s">
        <v>2080</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3"/>
      <c r="G3" s="1213"/>
      <c r="H3" s="1213"/>
      <c r="I3" s="1213"/>
      <c r="J3" s="1213"/>
      <c r="K3" s="1213"/>
      <c r="L3" s="1214"/>
      <c r="M3" s="1215"/>
      <c r="N3" s="1215"/>
      <c r="O3" s="1213"/>
      <c r="P3" s="1213"/>
      <c r="Q3" s="1213"/>
      <c r="R3" s="1213"/>
      <c r="S3" s="1216"/>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7"/>
      <c r="G4" s="1217"/>
      <c r="H4" s="1217"/>
      <c r="I4" s="1217"/>
      <c r="J4" s="1217"/>
      <c r="K4" s="1217"/>
      <c r="L4" s="1217"/>
      <c r="M4" s="1218"/>
      <c r="N4" s="1218"/>
      <c r="O4" s="1217"/>
      <c r="P4" s="1217"/>
      <c r="Q4" s="1217"/>
      <c r="R4" s="1217"/>
      <c r="S4" s="1219"/>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2081</v>
      </c>
      <c r="C5" s="933"/>
      <c r="D5" s="934"/>
      <c r="E5" s="934"/>
      <c r="F5" s="1220"/>
      <c r="G5" s="1220"/>
      <c r="H5" s="1220"/>
      <c r="I5" s="1220"/>
      <c r="J5" s="1220"/>
      <c r="K5" s="1220"/>
      <c r="L5" s="1221"/>
      <c r="M5" s="1222"/>
      <c r="N5" s="1222"/>
      <c r="O5" s="1220"/>
      <c r="P5" s="1220"/>
      <c r="Q5" s="1220"/>
      <c r="R5" s="1220"/>
      <c r="S5" s="1223"/>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2082</v>
      </c>
      <c r="C7" s="844"/>
      <c r="D7" s="838"/>
      <c r="E7" s="838"/>
      <c r="F7" s="1225"/>
      <c r="G7" s="1225"/>
      <c r="H7" s="1225"/>
      <c r="I7" s="1225"/>
      <c r="J7" s="1225"/>
      <c r="K7" s="1225"/>
      <c r="L7" s="1225"/>
      <c r="M7" s="1226"/>
      <c r="N7" s="1227"/>
      <c r="O7" s="1228"/>
      <c r="P7" s="1228"/>
      <c r="Q7" s="1229"/>
      <c r="R7" s="1230"/>
      <c r="S7" s="1231"/>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2083</v>
      </c>
      <c r="C9" s="844"/>
      <c r="D9" s="838"/>
      <c r="E9" s="838"/>
      <c r="F9" s="1225"/>
      <c r="G9" s="1225"/>
      <c r="H9" s="1225"/>
      <c r="I9" s="1225"/>
      <c r="J9" s="1225"/>
      <c r="K9" s="1225"/>
      <c r="L9" s="1232"/>
      <c r="M9" s="1226"/>
      <c r="N9" s="1227"/>
      <c r="O9" s="1228"/>
      <c r="P9" s="1228"/>
      <c r="Q9" s="1229"/>
      <c r="R9" s="1230"/>
      <c r="S9" s="1231"/>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2084</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2085</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2086</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8" t="s">
        <v>2087</v>
      </c>
      <c r="B17" s="1979" t="s">
        <v>2088</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80" t="s">
        <v>2089</v>
      </c>
      <c r="E19" s="1245"/>
      <c r="F19" s="1245"/>
      <c r="G19" s="1245"/>
      <c r="H19" s="989"/>
      <c r="I19" s="145"/>
      <c r="J19" s="145"/>
      <c r="K19" s="145"/>
      <c r="L19" s="145"/>
      <c r="M19" s="145"/>
      <c r="N19" s="145"/>
      <c r="O19" s="145"/>
      <c r="P19" s="145"/>
      <c r="Q19" s="145"/>
      <c r="R19" s="145"/>
      <c r="S19" s="115"/>
    </row>
    <row r="20" spans="1:45" ht="16.5" thickBot="1">
      <c r="A20" s="626" t="s">
        <v>2090</v>
      </c>
      <c r="B20" s="280" t="e">
        <f ca="1">IF(D20="——",S22,S22-F20)</f>
        <v>#REF!</v>
      </c>
      <c r="C20" s="145"/>
      <c r="D20" s="1981"/>
      <c r="E20" s="1246"/>
      <c r="F20" s="922" t="e">
        <f ca="1">SUMIF(INDIRECT("'"&amp;H20&amp;"'"&amp;"!A:A"),"承租人权益价值",INDIRECT("'"&amp;H20&amp;"'"&amp;"!c:c"))</f>
        <v>#REF!</v>
      </c>
      <c r="G20" s="922" t="s">
        <v>2091</v>
      </c>
      <c r="H20" s="1982"/>
      <c r="I20" s="145"/>
      <c r="J20" s="145"/>
      <c r="K20" s="145"/>
      <c r="L20" s="145"/>
      <c r="M20" s="145"/>
      <c r="N20" s="145"/>
      <c r="O20" s="145"/>
      <c r="P20" s="145"/>
      <c r="Q20" s="145"/>
      <c r="R20" s="145"/>
      <c r="S20" s="115"/>
    </row>
    <row r="21" spans="1:45" ht="15.75">
      <c r="A21" s="626" t="s">
        <v>2092</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0</v>
      </c>
      <c r="C22" s="3581" t="s">
        <v>27</v>
      </c>
      <c r="D22" s="3582"/>
      <c r="E22" s="3582"/>
      <c r="F22" s="3582"/>
      <c r="G22" s="3582"/>
      <c r="H22" s="3582"/>
      <c r="I22" s="3582"/>
      <c r="J22" s="3582"/>
      <c r="K22" s="3582"/>
      <c r="L22" s="3582"/>
      <c r="M22" s="3582"/>
      <c r="N22" s="3582"/>
      <c r="O22" s="3582"/>
      <c r="P22" s="3582"/>
      <c r="Q22" s="3583"/>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2099</v>
      </c>
      <c r="B24" s="627"/>
      <c r="C24" s="2551">
        <v>1</v>
      </c>
      <c r="D24" s="2552"/>
      <c r="E24" s="2551">
        <v>1</v>
      </c>
      <c r="F24" s="2552"/>
      <c r="G24" s="2551">
        <v>1</v>
      </c>
      <c r="H24" s="2552"/>
      <c r="I24" s="2551">
        <v>1</v>
      </c>
      <c r="J24" s="2552"/>
      <c r="K24" s="2551">
        <v>1</v>
      </c>
      <c r="L24" s="2552"/>
      <c r="M24" s="2551">
        <v>1</v>
      </c>
      <c r="N24" s="2552"/>
      <c r="O24" s="2551">
        <v>1</v>
      </c>
      <c r="P24" s="2552"/>
      <c r="Q24" s="2551">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7" t="s">
        <v>2075</v>
      </c>
      <c r="B1" s="4"/>
      <c r="C1" s="4"/>
      <c r="D1" s="4"/>
      <c r="E1" s="4"/>
      <c r="F1" s="2525"/>
      <c r="G1" s="2525"/>
      <c r="H1" s="2525"/>
      <c r="I1" s="2525"/>
      <c r="J1" s="2525"/>
      <c r="K1" s="2525"/>
      <c r="L1" s="2525"/>
      <c r="M1" s="2525"/>
      <c r="N1" s="2525"/>
      <c r="O1" s="2525"/>
      <c r="P1" s="2525"/>
    </row>
    <row r="2" spans="1:16" ht="15.75">
      <c r="A2" s="1976" t="s">
        <v>2067</v>
      </c>
      <c r="B2" s="2371">
        <f ca="1">SUMIF(B6:B13,"&lt;&gt;#ref!",B6:B13)</f>
        <v>2304</v>
      </c>
      <c r="C2" s="1976" t="s">
        <v>2068</v>
      </c>
      <c r="D2" s="1976" t="s">
        <v>2069</v>
      </c>
      <c r="E2" s="2381">
        <f ca="1">SUMIF(E6:E13,"&lt;&gt;#ref!",E6:E13)</f>
        <v>5979.5300000000007</v>
      </c>
      <c r="F2" s="2525"/>
      <c r="G2" s="2525"/>
      <c r="H2" s="2525"/>
      <c r="I2" s="2525"/>
      <c r="J2" s="2525"/>
      <c r="K2" s="2525"/>
      <c r="L2" s="2525"/>
      <c r="M2" s="2525"/>
      <c r="N2" s="2525"/>
      <c r="O2" s="2525"/>
      <c r="P2" s="2525"/>
    </row>
    <row r="3" spans="1:16" ht="15.75">
      <c r="A3" s="1976" t="s">
        <v>2070</v>
      </c>
      <c r="B3" s="2371">
        <f ca="1">ROUND(B2*10000/E2,0)</f>
        <v>3853</v>
      </c>
      <c r="C3" s="1976" t="s">
        <v>2076</v>
      </c>
      <c r="D3" s="2525"/>
      <c r="E3" s="2525"/>
      <c r="F3" s="2525"/>
      <c r="G3" s="2525"/>
      <c r="H3" s="2525"/>
      <c r="I3" s="2525"/>
      <c r="J3" s="2525"/>
      <c r="K3" s="2525"/>
      <c r="L3" s="2525"/>
      <c r="M3" s="2525"/>
      <c r="N3" s="2525"/>
      <c r="O3" s="2525"/>
      <c r="P3" s="2525"/>
    </row>
    <row r="4" spans="1:16" ht="15.75">
      <c r="A4" s="2537"/>
      <c r="B4" s="2525"/>
      <c r="C4" s="2525"/>
      <c r="D4" s="2525"/>
      <c r="E4" s="2525"/>
      <c r="F4" s="2525"/>
      <c r="G4" s="2525"/>
      <c r="H4" s="2525"/>
      <c r="I4" s="2525"/>
      <c r="J4" s="2525"/>
      <c r="K4" s="2525"/>
      <c r="L4" s="2525"/>
      <c r="M4" s="2525"/>
      <c r="N4" s="2525"/>
      <c r="O4" s="2525"/>
      <c r="P4" s="2525"/>
    </row>
    <row r="5" spans="1:16" ht="28.5">
      <c r="A5" s="2377" t="s">
        <v>2071</v>
      </c>
      <c r="B5" s="2379" t="s">
        <v>2072</v>
      </c>
      <c r="C5" s="1977"/>
      <c r="D5" s="2525"/>
      <c r="E5" s="2380" t="s">
        <v>2073</v>
      </c>
      <c r="F5" s="2525"/>
      <c r="G5" s="2525"/>
      <c r="H5" s="2525"/>
      <c r="I5" s="2525"/>
      <c r="J5" s="2525"/>
      <c r="K5" s="2525"/>
      <c r="L5" s="2525"/>
      <c r="M5" s="2525"/>
      <c r="N5" s="2525"/>
      <c r="O5" s="2525"/>
      <c r="P5" s="2525"/>
    </row>
    <row r="6" spans="1:16" ht="15.75">
      <c r="A6" s="2378" t="s">
        <v>2074</v>
      </c>
      <c r="B6" s="2371">
        <f ca="1">SUMIF(INDIRECT("'"&amp;A6&amp;"'"&amp;"!A:A"),"总价",INDIRECT("'"&amp;A6&amp;"'"&amp;"!B:B"))</f>
        <v>2304</v>
      </c>
      <c r="C6" s="1976" t="s">
        <v>2068</v>
      </c>
      <c r="D6" s="2525"/>
      <c r="E6" s="2381">
        <f ca="1">SUMIF(INDIRECT("'"&amp;A6&amp;"'"&amp;"!C:C"),"建筑面积",INDIRECT("'"&amp;A6&amp;"'"&amp;"!D:D"))</f>
        <v>5979.5300000000007</v>
      </c>
      <c r="F6" s="2525"/>
      <c r="G6" s="2525"/>
      <c r="H6" s="2525"/>
      <c r="I6" s="2525"/>
      <c r="J6" s="2525"/>
      <c r="K6" s="2525"/>
      <c r="L6" s="2525"/>
      <c r="M6" s="2525"/>
      <c r="N6" s="2525"/>
      <c r="O6" s="2525"/>
      <c r="P6" s="2525"/>
    </row>
    <row r="7" spans="1:16" ht="15.75">
      <c r="A7" s="2378"/>
      <c r="B7" s="2371" t="e">
        <f ca="1">SUMIF(INDIRECT("'"&amp;A7&amp;"'"&amp;"!A:A"),"总价",INDIRECT("'"&amp;A7&amp;"'"&amp;"!B:B"))</f>
        <v>#REF!</v>
      </c>
      <c r="C7" s="1976" t="s">
        <v>2068</v>
      </c>
      <c r="D7" s="2525"/>
      <c r="E7" s="2381" t="e">
        <f t="shared" ref="E7:E13" ca="1" si="0">SUMIF(INDIRECT("'"&amp;A7&amp;"'"&amp;"!C:C"),"建筑面积",INDIRECT("'"&amp;A7&amp;"'"&amp;"!D:D"))</f>
        <v>#REF!</v>
      </c>
      <c r="F7" s="2525"/>
      <c r="G7" s="2525"/>
      <c r="H7" s="2525"/>
      <c r="I7" s="2525"/>
      <c r="J7" s="2525"/>
      <c r="K7" s="2525"/>
      <c r="L7" s="2525"/>
      <c r="M7" s="2525"/>
      <c r="N7" s="2525"/>
      <c r="O7" s="2525"/>
      <c r="P7" s="2525"/>
    </row>
    <row r="8" spans="1:16" ht="15.75">
      <c r="A8" s="2378"/>
      <c r="B8" s="2371" t="e">
        <f t="shared" ref="B8:B13" ca="1" si="1">SUMIF(INDIRECT("'"&amp;A8&amp;"'"&amp;"!A:A"),"总价",INDIRECT("'"&amp;A8&amp;"'"&amp;"!B:B"))</f>
        <v>#REF!</v>
      </c>
      <c r="C8" s="1976" t="s">
        <v>2068</v>
      </c>
      <c r="D8" s="2525"/>
      <c r="E8" s="2381" t="e">
        <f t="shared" ca="1" si="0"/>
        <v>#REF!</v>
      </c>
      <c r="F8" s="2525"/>
      <c r="G8" s="2525"/>
      <c r="H8" s="2525"/>
      <c r="I8" s="2525"/>
      <c r="J8" s="2525"/>
      <c r="K8" s="2525"/>
      <c r="L8" s="2525"/>
      <c r="M8" s="2525"/>
      <c r="N8" s="2525"/>
      <c r="O8" s="2525"/>
      <c r="P8" s="2525"/>
    </row>
    <row r="9" spans="1:16" ht="15.75">
      <c r="A9" s="2378"/>
      <c r="B9" s="2371" t="e">
        <f t="shared" ca="1" si="1"/>
        <v>#REF!</v>
      </c>
      <c r="C9" s="1976" t="s">
        <v>2068</v>
      </c>
      <c r="D9" s="2525"/>
      <c r="E9" s="2381" t="e">
        <f t="shared" ca="1" si="0"/>
        <v>#REF!</v>
      </c>
      <c r="F9" s="2525"/>
      <c r="G9" s="2525"/>
      <c r="H9" s="2525"/>
      <c r="I9" s="2525"/>
      <c r="J9" s="2525"/>
      <c r="K9" s="2525"/>
      <c r="L9" s="2525"/>
      <c r="M9" s="2525"/>
      <c r="N9" s="2525"/>
      <c r="O9" s="2525"/>
      <c r="P9" s="2525"/>
    </row>
    <row r="10" spans="1:16" ht="15.75">
      <c r="A10" s="2378"/>
      <c r="B10" s="2371" t="e">
        <f t="shared" ca="1" si="1"/>
        <v>#REF!</v>
      </c>
      <c r="C10" s="1976" t="s">
        <v>2068</v>
      </c>
      <c r="D10" s="2525"/>
      <c r="E10" s="2381" t="e">
        <f t="shared" ca="1" si="0"/>
        <v>#REF!</v>
      </c>
      <c r="F10" s="2525"/>
      <c r="G10" s="2525"/>
      <c r="H10" s="2525"/>
      <c r="I10" s="2525"/>
      <c r="J10" s="2525"/>
      <c r="K10" s="2525"/>
      <c r="L10" s="2525"/>
      <c r="M10" s="2525"/>
      <c r="N10" s="2525"/>
      <c r="O10" s="2525"/>
      <c r="P10" s="2525"/>
    </row>
    <row r="11" spans="1:16" ht="15.75">
      <c r="A11" s="2378"/>
      <c r="B11" s="2371" t="e">
        <f t="shared" ca="1" si="1"/>
        <v>#REF!</v>
      </c>
      <c r="C11" s="1976" t="s">
        <v>2068</v>
      </c>
      <c r="D11" s="2525"/>
      <c r="E11" s="2381" t="e">
        <f t="shared" ca="1" si="0"/>
        <v>#REF!</v>
      </c>
      <c r="F11" s="2525"/>
      <c r="G11" s="2525"/>
      <c r="H11" s="2525"/>
      <c r="I11" s="2525"/>
      <c r="J11" s="2525"/>
      <c r="K11" s="2525"/>
      <c r="L11" s="2525"/>
      <c r="M11" s="2525"/>
      <c r="N11" s="2525"/>
      <c r="O11" s="2525"/>
      <c r="P11" s="2525"/>
    </row>
    <row r="12" spans="1:16" ht="15.75">
      <c r="A12" s="2378"/>
      <c r="B12" s="2371" t="e">
        <f t="shared" ca="1" si="1"/>
        <v>#REF!</v>
      </c>
      <c r="C12" s="1976" t="s">
        <v>2068</v>
      </c>
      <c r="D12" s="2525"/>
      <c r="E12" s="2381" t="e">
        <f t="shared" ca="1" si="0"/>
        <v>#REF!</v>
      </c>
      <c r="F12" s="2525"/>
      <c r="G12" s="2525"/>
      <c r="H12" s="2525"/>
      <c r="I12" s="2525"/>
      <c r="J12" s="2525"/>
      <c r="K12" s="2525"/>
      <c r="L12" s="2525"/>
      <c r="M12" s="2525"/>
      <c r="N12" s="2525"/>
      <c r="O12" s="2525"/>
      <c r="P12" s="2525"/>
    </row>
    <row r="13" spans="1:16" ht="15.75">
      <c r="A13" s="2378"/>
      <c r="B13" s="2371" t="e">
        <f t="shared" ca="1" si="1"/>
        <v>#REF!</v>
      </c>
      <c r="C13" s="1976" t="s">
        <v>2068</v>
      </c>
      <c r="D13" s="2525"/>
      <c r="E13" s="2381" t="e">
        <f t="shared" ca="1" si="0"/>
        <v>#REF!</v>
      </c>
      <c r="F13" s="2525"/>
      <c r="G13" s="2525"/>
      <c r="H13" s="2525"/>
      <c r="I13" s="2525"/>
      <c r="J13" s="2525"/>
      <c r="K13" s="2525"/>
      <c r="L13" s="2525"/>
      <c r="M13" s="2525"/>
      <c r="N13" s="2525"/>
      <c r="O13" s="2525"/>
      <c r="P13" s="2525"/>
    </row>
    <row r="14" spans="1:16">
      <c r="A14" s="2525"/>
      <c r="B14" s="2525"/>
      <c r="C14" s="2525"/>
      <c r="D14" s="2525"/>
      <c r="E14" s="2525"/>
      <c r="F14" s="2525"/>
      <c r="G14" s="2525"/>
      <c r="H14" s="2525"/>
      <c r="I14" s="2525"/>
      <c r="J14" s="2525"/>
      <c r="K14" s="2525"/>
      <c r="L14" s="2525"/>
      <c r="M14" s="2525"/>
      <c r="N14" s="2525"/>
      <c r="O14" s="2525"/>
      <c r="P14" s="2525"/>
    </row>
    <row r="15" spans="1:16">
      <c r="A15" s="2525"/>
      <c r="B15" s="2525"/>
      <c r="C15" s="2525"/>
      <c r="D15" s="2525"/>
      <c r="E15" s="2525"/>
      <c r="F15" s="2525"/>
      <c r="G15" s="2525"/>
      <c r="H15" s="2525"/>
      <c r="I15" s="2525"/>
      <c r="J15" s="2525"/>
      <c r="K15" s="2525"/>
      <c r="L15" s="2525"/>
      <c r="M15" s="2525"/>
      <c r="N15" s="2525"/>
      <c r="O15" s="2525"/>
      <c r="P15" s="2525"/>
    </row>
    <row r="16" spans="1:16">
      <c r="A16" s="2525"/>
      <c r="B16" s="2525"/>
      <c r="C16" s="2525"/>
      <c r="D16" s="2525"/>
      <c r="E16" s="2525"/>
      <c r="F16" s="2525"/>
      <c r="G16" s="2525"/>
      <c r="H16" s="2525"/>
      <c r="I16" s="2525"/>
      <c r="J16" s="2525"/>
      <c r="K16" s="2525"/>
      <c r="L16" s="2525"/>
      <c r="M16" s="2525"/>
      <c r="N16" s="2525"/>
      <c r="O16" s="2525"/>
      <c r="P16" s="2525"/>
    </row>
    <row r="17" spans="1:16">
      <c r="A17" s="2525"/>
      <c r="B17" s="2525"/>
      <c r="C17" s="2525"/>
      <c r="D17" s="2525"/>
      <c r="E17" s="2525"/>
      <c r="F17" s="2525"/>
      <c r="G17" s="2525"/>
      <c r="H17" s="2525"/>
      <c r="I17" s="2525"/>
      <c r="J17" s="2525"/>
      <c r="K17" s="2525"/>
      <c r="L17" s="2525"/>
      <c r="M17" s="2525"/>
      <c r="N17" s="2525"/>
      <c r="O17" s="2525"/>
      <c r="P17" s="2525"/>
    </row>
    <row r="18" spans="1:16">
      <c r="A18" s="2525"/>
      <c r="B18" s="2525"/>
      <c r="C18" s="2525"/>
      <c r="D18" s="2525"/>
      <c r="E18" s="2525"/>
      <c r="F18" s="2525"/>
      <c r="G18" s="2525"/>
      <c r="H18" s="2525"/>
      <c r="I18" s="2525"/>
      <c r="J18" s="2525"/>
      <c r="K18" s="2525"/>
      <c r="L18" s="2525"/>
      <c r="M18" s="2525"/>
      <c r="N18" s="2525"/>
      <c r="O18" s="2525"/>
      <c r="P18" s="2525"/>
    </row>
    <row r="19" spans="1:16">
      <c r="A19" s="2525"/>
      <c r="B19" s="2525"/>
      <c r="C19" s="2525"/>
      <c r="D19" s="2525"/>
      <c r="E19" s="2525"/>
      <c r="F19" s="2525"/>
      <c r="G19" s="2525"/>
      <c r="H19" s="2525"/>
      <c r="I19" s="2525"/>
      <c r="J19" s="2525"/>
      <c r="K19" s="2525"/>
      <c r="L19" s="2525"/>
      <c r="M19" s="2525"/>
      <c r="N19" s="2525"/>
      <c r="O19" s="2525"/>
      <c r="P19" s="2525"/>
    </row>
    <row r="20" spans="1:16">
      <c r="A20" s="2525"/>
      <c r="B20" s="2525"/>
      <c r="C20" s="2525"/>
      <c r="D20" s="2525"/>
      <c r="E20" s="2525"/>
      <c r="F20" s="2525"/>
      <c r="G20" s="2525"/>
      <c r="H20" s="2525"/>
      <c r="I20" s="2525"/>
      <c r="J20" s="2525"/>
      <c r="K20" s="2525"/>
      <c r="L20" s="2525"/>
      <c r="M20" s="2525"/>
      <c r="N20" s="2525"/>
      <c r="O20" s="2525"/>
      <c r="P20" s="2525"/>
    </row>
    <row r="21" spans="1:16">
      <c r="A21" s="2525"/>
      <c r="B21" s="2525"/>
      <c r="C21" s="2525"/>
      <c r="D21" s="2525"/>
      <c r="E21" s="2525"/>
      <c r="F21" s="2525"/>
      <c r="G21" s="2525"/>
      <c r="H21" s="2525"/>
      <c r="I21" s="2525"/>
      <c r="J21" s="2525"/>
      <c r="K21" s="2525"/>
      <c r="L21" s="2525"/>
      <c r="M21" s="2525"/>
      <c r="N21" s="2525"/>
      <c r="O21" s="2525"/>
      <c r="P21" s="252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4" customWidth="1"/>
    <col min="14" max="14" width="10" style="2794" customWidth="1"/>
    <col min="15" max="16" width="8.25" style="2794"/>
    <col min="17" max="17" width="34.125" style="2794" customWidth="1"/>
    <col min="18" max="18" width="8.25" style="2794" customWidth="1"/>
    <col min="19" max="19" width="8.25" style="2794"/>
    <col min="20" max="20" width="11.625" style="2794" customWidth="1"/>
    <col min="21" max="16384" width="8.25" style="2794"/>
  </cols>
  <sheetData>
    <row r="1" spans="1:13" ht="19.5" customHeight="1" thickBot="1">
      <c r="A1" s="2791" t="s">
        <v>2592</v>
      </c>
      <c r="B1" s="2792" t="s">
        <v>2593</v>
      </c>
      <c r="C1" s="2792" t="s">
        <v>2594</v>
      </c>
      <c r="D1" s="2792" t="s">
        <v>2595</v>
      </c>
      <c r="E1" s="2792" t="s">
        <v>2596</v>
      </c>
      <c r="F1" s="2792" t="s">
        <v>2597</v>
      </c>
      <c r="G1" s="2792" t="s">
        <v>2598</v>
      </c>
      <c r="H1" s="2792" t="s">
        <v>2599</v>
      </c>
      <c r="I1" s="2792" t="s">
        <v>2600</v>
      </c>
      <c r="J1" s="2792" t="s">
        <v>2601</v>
      </c>
      <c r="K1" s="2792" t="s">
        <v>2602</v>
      </c>
      <c r="L1" s="2792" t="s">
        <v>2603</v>
      </c>
      <c r="M1" s="2793" t="s">
        <v>2604</v>
      </c>
    </row>
    <row r="2" spans="1:13" ht="19.5" customHeight="1">
      <c r="A2" s="2795" t="s">
        <v>2605</v>
      </c>
      <c r="B2" s="2796">
        <v>3.5</v>
      </c>
      <c r="C2" s="2796">
        <v>3.5</v>
      </c>
      <c r="D2" s="2797">
        <v>2.5</v>
      </c>
      <c r="E2" s="2797">
        <v>2.5</v>
      </c>
      <c r="F2" s="2797">
        <v>2.5</v>
      </c>
      <c r="G2" s="2797">
        <v>2.5</v>
      </c>
      <c r="H2" s="2797">
        <v>2.5</v>
      </c>
      <c r="I2" s="2796">
        <v>2</v>
      </c>
      <c r="J2" s="2796">
        <v>2</v>
      </c>
      <c r="K2" s="2796">
        <v>2</v>
      </c>
      <c r="L2" s="2796">
        <v>2</v>
      </c>
      <c r="M2" s="2798">
        <v>2</v>
      </c>
    </row>
    <row r="3" spans="1:13" ht="19.5" customHeight="1">
      <c r="A3" s="2743" t="s">
        <v>2606</v>
      </c>
      <c r="B3" s="2746">
        <v>3.5</v>
      </c>
      <c r="C3" s="2746">
        <v>3.5</v>
      </c>
      <c r="D3" s="2799">
        <v>2.5</v>
      </c>
      <c r="E3" s="2799">
        <v>2.5</v>
      </c>
      <c r="F3" s="2799">
        <v>2.5</v>
      </c>
      <c r="G3" s="2799">
        <v>2.5</v>
      </c>
      <c r="H3" s="2799">
        <v>2.5</v>
      </c>
      <c r="I3" s="2746">
        <v>2</v>
      </c>
      <c r="J3" s="2746">
        <v>2</v>
      </c>
      <c r="K3" s="2746">
        <v>2</v>
      </c>
      <c r="L3" s="2746">
        <v>2</v>
      </c>
      <c r="M3" s="2750">
        <v>2</v>
      </c>
    </row>
    <row r="4" spans="1:13" ht="19.5" customHeight="1">
      <c r="A4" s="2743" t="s">
        <v>2607</v>
      </c>
      <c r="B4" s="2799">
        <v>2.5</v>
      </c>
      <c r="C4" s="2799">
        <v>2.5</v>
      </c>
      <c r="D4" s="2799">
        <v>2.5</v>
      </c>
      <c r="E4" s="2799">
        <v>2.5</v>
      </c>
      <c r="F4" s="2799">
        <v>2.5</v>
      </c>
      <c r="G4" s="2799">
        <v>2.5</v>
      </c>
      <c r="H4" s="2799">
        <v>2.5</v>
      </c>
      <c r="I4" s="2746">
        <v>1.5</v>
      </c>
      <c r="J4" s="2746">
        <v>1.5</v>
      </c>
      <c r="K4" s="2746">
        <v>1.5</v>
      </c>
      <c r="L4" s="2746">
        <v>1.5</v>
      </c>
      <c r="M4" s="2750">
        <v>1.5</v>
      </c>
    </row>
    <row r="5" spans="1:13" ht="19.5" customHeight="1">
      <c r="A5" s="2800" t="s">
        <v>2608</v>
      </c>
      <c r="B5" s="2746">
        <v>1.5</v>
      </c>
      <c r="C5" s="2746">
        <v>1.5</v>
      </c>
      <c r="D5" s="2746">
        <v>1.5</v>
      </c>
      <c r="E5" s="2746">
        <v>1.5</v>
      </c>
      <c r="F5" s="2746">
        <v>1.5</v>
      </c>
      <c r="G5" s="2746">
        <v>1.2</v>
      </c>
      <c r="H5" s="2746">
        <v>1.2</v>
      </c>
      <c r="I5" s="2746">
        <v>1</v>
      </c>
      <c r="J5" s="2746">
        <v>1</v>
      </c>
      <c r="K5" s="2746">
        <v>1</v>
      </c>
      <c r="L5" s="2746">
        <v>1</v>
      </c>
      <c r="M5" s="2750">
        <v>1</v>
      </c>
    </row>
    <row r="6" spans="1:13" ht="19.5" customHeight="1">
      <c r="A6" s="2801" t="s">
        <v>2609</v>
      </c>
      <c r="B6" s="2802">
        <v>2.5</v>
      </c>
      <c r="C6" s="2802">
        <v>2.5</v>
      </c>
      <c r="D6" s="2802">
        <v>2</v>
      </c>
      <c r="E6" s="2802">
        <v>2</v>
      </c>
      <c r="F6" s="2802">
        <v>2</v>
      </c>
      <c r="G6" s="2802">
        <v>2</v>
      </c>
      <c r="H6" s="2802">
        <v>2</v>
      </c>
      <c r="I6" s="2803">
        <v>1.5</v>
      </c>
      <c r="J6" s="2803">
        <v>1.5</v>
      </c>
      <c r="K6" s="2803">
        <v>1.5</v>
      </c>
      <c r="L6" s="2803">
        <v>1.5</v>
      </c>
      <c r="M6" s="2804">
        <v>1.5</v>
      </c>
    </row>
    <row r="7" spans="1:13" ht="19.5" customHeight="1" thickBot="1">
      <c r="A7" s="2805" t="s">
        <v>2610</v>
      </c>
      <c r="B7" s="2806">
        <v>2.5</v>
      </c>
      <c r="C7" s="2806">
        <v>2.5</v>
      </c>
      <c r="D7" s="2806">
        <v>2</v>
      </c>
      <c r="E7" s="2806">
        <v>2</v>
      </c>
      <c r="F7" s="2806">
        <v>2</v>
      </c>
      <c r="G7" s="2806">
        <v>2</v>
      </c>
      <c r="H7" s="2806">
        <v>2</v>
      </c>
      <c r="I7" s="2754">
        <v>1.5</v>
      </c>
      <c r="J7" s="2754">
        <v>1.5</v>
      </c>
      <c r="K7" s="2754">
        <v>1.5</v>
      </c>
      <c r="L7" s="2754">
        <v>1.5</v>
      </c>
      <c r="M7" s="2807">
        <v>1.5</v>
      </c>
    </row>
    <row r="8" spans="1:13" ht="19.5" customHeight="1">
      <c r="A8" s="2808" t="s">
        <v>2611</v>
      </c>
      <c r="B8" s="2809">
        <v>80</v>
      </c>
      <c r="C8" s="2809">
        <v>80</v>
      </c>
      <c r="D8" s="2809">
        <v>70</v>
      </c>
      <c r="E8" s="2809">
        <v>70</v>
      </c>
      <c r="F8" s="2809">
        <v>70</v>
      </c>
      <c r="G8" s="2809">
        <v>70</v>
      </c>
      <c r="H8" s="2809">
        <v>70</v>
      </c>
      <c r="I8" s="2809">
        <v>60</v>
      </c>
      <c r="J8" s="2809">
        <v>60</v>
      </c>
      <c r="K8" s="2809">
        <v>60</v>
      </c>
      <c r="L8" s="2809">
        <v>60</v>
      </c>
      <c r="M8" s="2810">
        <v>60</v>
      </c>
    </row>
    <row r="9" spans="1:13" ht="19.5" customHeight="1">
      <c r="A9" s="2811" t="s">
        <v>2612</v>
      </c>
      <c r="B9" s="2812">
        <v>70</v>
      </c>
      <c r="C9" s="2812">
        <v>70</v>
      </c>
      <c r="D9" s="2812">
        <v>60</v>
      </c>
      <c r="E9" s="2812">
        <v>60</v>
      </c>
      <c r="F9" s="2812">
        <v>60</v>
      </c>
      <c r="G9" s="2812">
        <v>60</v>
      </c>
      <c r="H9" s="2812">
        <v>60</v>
      </c>
      <c r="I9" s="2812">
        <v>50</v>
      </c>
      <c r="J9" s="2812">
        <v>50</v>
      </c>
      <c r="K9" s="2812">
        <v>50</v>
      </c>
      <c r="L9" s="2812">
        <v>50</v>
      </c>
      <c r="M9" s="2813">
        <v>50</v>
      </c>
    </row>
    <row r="10" spans="1:13" ht="19.5" customHeight="1">
      <c r="A10" s="2811" t="s">
        <v>2613</v>
      </c>
      <c r="B10" s="2812">
        <v>20</v>
      </c>
      <c r="C10" s="2812">
        <v>20</v>
      </c>
      <c r="D10" s="2812">
        <v>15</v>
      </c>
      <c r="E10" s="2812">
        <v>15</v>
      </c>
      <c r="F10" s="2812">
        <v>15</v>
      </c>
      <c r="G10" s="2812">
        <v>15</v>
      </c>
      <c r="H10" s="2812">
        <v>15</v>
      </c>
      <c r="I10" s="2812">
        <v>10</v>
      </c>
      <c r="J10" s="2812">
        <v>10</v>
      </c>
      <c r="K10" s="2812">
        <v>10</v>
      </c>
      <c r="L10" s="2812">
        <v>10</v>
      </c>
      <c r="M10" s="2813">
        <v>10</v>
      </c>
    </row>
    <row r="11" spans="1:13" ht="19.5" customHeight="1">
      <c r="A11" s="2811" t="s">
        <v>2614</v>
      </c>
      <c r="B11" s="2812">
        <v>30</v>
      </c>
      <c r="C11" s="2812">
        <v>30</v>
      </c>
      <c r="D11" s="2812">
        <v>25</v>
      </c>
      <c r="E11" s="2812">
        <v>25</v>
      </c>
      <c r="F11" s="2812">
        <v>25</v>
      </c>
      <c r="G11" s="2812">
        <v>25</v>
      </c>
      <c r="H11" s="2812">
        <v>25</v>
      </c>
      <c r="I11" s="2812">
        <v>20</v>
      </c>
      <c r="J11" s="2812">
        <v>20</v>
      </c>
      <c r="K11" s="2812">
        <v>20</v>
      </c>
      <c r="L11" s="2812">
        <v>20</v>
      </c>
      <c r="M11" s="2813">
        <v>20</v>
      </c>
    </row>
    <row r="12" spans="1:13" ht="19.5" customHeight="1">
      <c r="A12" s="2811" t="s">
        <v>2615</v>
      </c>
      <c r="B12" s="2812">
        <v>45</v>
      </c>
      <c r="C12" s="2812">
        <v>45</v>
      </c>
      <c r="D12" s="2812">
        <v>40</v>
      </c>
      <c r="E12" s="2812">
        <v>40</v>
      </c>
      <c r="F12" s="2812">
        <v>40</v>
      </c>
      <c r="G12" s="2812">
        <v>40</v>
      </c>
      <c r="H12" s="2812">
        <v>40</v>
      </c>
      <c r="I12" s="2812">
        <v>35</v>
      </c>
      <c r="J12" s="2812">
        <v>35</v>
      </c>
      <c r="K12" s="2812">
        <v>35</v>
      </c>
      <c r="L12" s="2812">
        <v>35</v>
      </c>
      <c r="M12" s="2813">
        <v>35</v>
      </c>
    </row>
    <row r="13" spans="1:13" ht="19.5" customHeight="1">
      <c r="A13" s="2811" t="s">
        <v>2616</v>
      </c>
      <c r="B13" s="2812">
        <v>60</v>
      </c>
      <c r="C13" s="2812">
        <v>60</v>
      </c>
      <c r="D13" s="2812">
        <v>50</v>
      </c>
      <c r="E13" s="2812">
        <v>50</v>
      </c>
      <c r="F13" s="2812">
        <v>50</v>
      </c>
      <c r="G13" s="2812">
        <v>50</v>
      </c>
      <c r="H13" s="2812">
        <v>50</v>
      </c>
      <c r="I13" s="2812">
        <v>40</v>
      </c>
      <c r="J13" s="2812">
        <v>40</v>
      </c>
      <c r="K13" s="2812">
        <v>40</v>
      </c>
      <c r="L13" s="2812">
        <v>40</v>
      </c>
      <c r="M13" s="2813">
        <v>40</v>
      </c>
    </row>
    <row r="14" spans="1:13" ht="19.5" customHeight="1">
      <c r="A14" s="2811" t="s">
        <v>2617</v>
      </c>
      <c r="B14" s="2812">
        <v>50</v>
      </c>
      <c r="C14" s="2812">
        <v>50</v>
      </c>
      <c r="D14" s="2812">
        <v>40</v>
      </c>
      <c r="E14" s="2812">
        <v>40</v>
      </c>
      <c r="F14" s="2812">
        <v>40</v>
      </c>
      <c r="G14" s="2812">
        <v>40</v>
      </c>
      <c r="H14" s="2812">
        <v>40</v>
      </c>
      <c r="I14" s="2812">
        <v>30</v>
      </c>
      <c r="J14" s="2812">
        <v>30</v>
      </c>
      <c r="K14" s="2812">
        <v>30</v>
      </c>
      <c r="L14" s="2812">
        <v>30</v>
      </c>
      <c r="M14" s="2813">
        <v>30</v>
      </c>
    </row>
    <row r="15" spans="1:13" ht="19.5" customHeight="1">
      <c r="A15" s="2814" t="s">
        <v>2618</v>
      </c>
      <c r="B15" s="2815">
        <v>20</v>
      </c>
      <c r="C15" s="2815">
        <v>20</v>
      </c>
      <c r="D15" s="2815">
        <v>15</v>
      </c>
      <c r="E15" s="2815">
        <v>15</v>
      </c>
      <c r="F15" s="2815">
        <v>15</v>
      </c>
      <c r="G15" s="2815">
        <v>15</v>
      </c>
      <c r="H15" s="2815">
        <v>15</v>
      </c>
      <c r="I15" s="2815">
        <v>10</v>
      </c>
      <c r="J15" s="2815">
        <v>10</v>
      </c>
      <c r="K15" s="2815">
        <v>10</v>
      </c>
      <c r="L15" s="2815">
        <v>10</v>
      </c>
      <c r="M15" s="2816">
        <v>10</v>
      </c>
    </row>
    <row r="16" spans="1:13" ht="19.5" customHeight="1">
      <c r="A16" s="2812" t="s">
        <v>2619</v>
      </c>
      <c r="B16" s="2746">
        <v>0</v>
      </c>
      <c r="C16" s="2746">
        <v>0</v>
      </c>
      <c r="D16" s="2746">
        <v>0</v>
      </c>
      <c r="E16" s="2746">
        <v>0</v>
      </c>
      <c r="F16" s="2746">
        <v>0</v>
      </c>
      <c r="G16" s="2746">
        <v>0</v>
      </c>
      <c r="H16" s="2746">
        <v>0</v>
      </c>
      <c r="I16" s="2746">
        <v>0</v>
      </c>
      <c r="J16" s="2746">
        <v>0</v>
      </c>
      <c r="K16" s="2746">
        <v>0</v>
      </c>
      <c r="L16" s="2746">
        <v>0</v>
      </c>
      <c r="M16" s="2746">
        <v>0</v>
      </c>
    </row>
    <row r="17" spans="1:13" ht="19.5" customHeight="1">
      <c r="A17" s="2812" t="s">
        <v>2620</v>
      </c>
      <c r="B17" s="2746">
        <f>SUM(B8:B15)</f>
        <v>375</v>
      </c>
      <c r="C17" s="2746">
        <f t="shared" ref="C17:H17" si="0">SUM(C8:C15)</f>
        <v>375</v>
      </c>
      <c r="D17" s="2746">
        <f t="shared" si="0"/>
        <v>315</v>
      </c>
      <c r="E17" s="2746">
        <f t="shared" si="0"/>
        <v>315</v>
      </c>
      <c r="F17" s="2746">
        <f t="shared" si="0"/>
        <v>315</v>
      </c>
      <c r="G17" s="2746">
        <f t="shared" si="0"/>
        <v>315</v>
      </c>
      <c r="H17" s="2746">
        <f t="shared" si="0"/>
        <v>315</v>
      </c>
      <c r="I17" s="2746">
        <f>SUM(I8:I15)-I13-I14</f>
        <v>185</v>
      </c>
      <c r="J17" s="2746">
        <f t="shared" ref="J17:M17" si="1">SUM(J8:J15)-J13-J14</f>
        <v>185</v>
      </c>
      <c r="K17" s="2746">
        <f t="shared" si="1"/>
        <v>185</v>
      </c>
      <c r="L17" s="2746">
        <f t="shared" si="1"/>
        <v>185</v>
      </c>
      <c r="M17" s="2746">
        <f t="shared" si="1"/>
        <v>185</v>
      </c>
    </row>
    <row r="18" spans="1:13" s="2819" customFormat="1" ht="19.5" customHeight="1">
      <c r="A18" s="2817" t="s">
        <v>2621</v>
      </c>
      <c r="B18" s="2817"/>
      <c r="C18" s="2818"/>
      <c r="D18" s="2818"/>
      <c r="E18" s="2817"/>
      <c r="F18" s="2818"/>
      <c r="G18" s="2818"/>
    </row>
    <row r="19" spans="1:13" ht="19.5" customHeight="1" thickBot="1">
      <c r="A19" s="2815" t="s">
        <v>2622</v>
      </c>
      <c r="B19" s="2820" t="s">
        <v>2623</v>
      </c>
      <c r="C19" s="2820" t="s">
        <v>2624</v>
      </c>
      <c r="D19" s="2821"/>
      <c r="E19" s="2815" t="s">
        <v>2625</v>
      </c>
      <c r="F19" s="2822"/>
      <c r="G19" s="2822"/>
    </row>
    <row r="20" spans="1:13" ht="19.5" customHeight="1">
      <c r="A20" s="3596" t="s">
        <v>2605</v>
      </c>
      <c r="B20" s="3591" t="s">
        <v>2626</v>
      </c>
      <c r="C20" s="2823" t="s">
        <v>2437</v>
      </c>
      <c r="D20" s="2824"/>
      <c r="E20" s="2825">
        <v>1</v>
      </c>
      <c r="F20" s="2826" t="s">
        <v>2438</v>
      </c>
      <c r="G20" s="2826"/>
    </row>
    <row r="21" spans="1:13" ht="19.5" customHeight="1">
      <c r="A21" s="3597"/>
      <c r="B21" s="3590"/>
      <c r="C21" s="2827" t="s">
        <v>2439</v>
      </c>
      <c r="D21" s="2828"/>
      <c r="E21" s="2829">
        <v>1</v>
      </c>
      <c r="F21" s="2826" t="s">
        <v>2440</v>
      </c>
      <c r="G21" s="2826"/>
    </row>
    <row r="22" spans="1:13" ht="19.5" customHeight="1">
      <c r="A22" s="3597"/>
      <c r="B22" s="3590"/>
      <c r="C22" s="2827" t="s">
        <v>2441</v>
      </c>
      <c r="D22" s="2828"/>
      <c r="E22" s="2829">
        <v>0.9</v>
      </c>
      <c r="F22" s="2826" t="s">
        <v>2442</v>
      </c>
      <c r="G22" s="2826"/>
    </row>
    <row r="23" spans="1:13" ht="19.5" customHeight="1">
      <c r="A23" s="3597"/>
      <c r="B23" s="3590"/>
      <c r="C23" s="2827" t="s">
        <v>2443</v>
      </c>
      <c r="D23" s="2828"/>
      <c r="E23" s="2829">
        <v>0.9</v>
      </c>
      <c r="F23" s="2826" t="s">
        <v>2444</v>
      </c>
      <c r="G23" s="2826"/>
    </row>
    <row r="24" spans="1:13" ht="19.5" customHeight="1">
      <c r="A24" s="3597"/>
      <c r="B24" s="3590"/>
      <c r="C24" s="2827" t="s">
        <v>2445</v>
      </c>
      <c r="D24" s="2828"/>
      <c r="E24" s="2829">
        <v>0.8</v>
      </c>
      <c r="F24" s="2826" t="s">
        <v>2446</v>
      </c>
      <c r="G24" s="2826"/>
    </row>
    <row r="25" spans="1:13" ht="19.5" customHeight="1" thickBot="1">
      <c r="A25" s="3598"/>
      <c r="B25" s="3592"/>
      <c r="C25" s="2830" t="s">
        <v>2447</v>
      </c>
      <c r="D25" s="2831"/>
      <c r="E25" s="2832">
        <v>0.8</v>
      </c>
      <c r="F25" s="2826" t="s">
        <v>2448</v>
      </c>
      <c r="G25" s="2826"/>
    </row>
    <row r="26" spans="1:13" ht="19.5" customHeight="1" thickBot="1">
      <c r="A26" s="2833" t="s">
        <v>2627</v>
      </c>
      <c r="B26" s="2834" t="s">
        <v>2626</v>
      </c>
      <c r="C26" s="2835" t="s">
        <v>2628</v>
      </c>
      <c r="D26" s="2836"/>
      <c r="E26" s="2837">
        <v>1</v>
      </c>
      <c r="F26" s="2826" t="s">
        <v>2449</v>
      </c>
      <c r="G26" s="2826"/>
    </row>
    <row r="27" spans="1:13" ht="19.5" customHeight="1">
      <c r="A27" s="3593" t="s">
        <v>2629</v>
      </c>
      <c r="B27" s="3591" t="s">
        <v>2610</v>
      </c>
      <c r="C27" s="2823" t="s">
        <v>2450</v>
      </c>
      <c r="D27" s="2824"/>
      <c r="E27" s="2825">
        <v>1</v>
      </c>
      <c r="F27" s="2826" t="s">
        <v>2451</v>
      </c>
      <c r="G27" s="2826"/>
    </row>
    <row r="28" spans="1:13" ht="19.5" customHeight="1">
      <c r="A28" s="3594"/>
      <c r="B28" s="3590"/>
      <c r="C28" s="2827" t="s">
        <v>2452</v>
      </c>
      <c r="D28" s="2828"/>
      <c r="E28" s="2829">
        <v>1</v>
      </c>
      <c r="F28" s="2826" t="s">
        <v>2453</v>
      </c>
      <c r="G28" s="2826"/>
    </row>
    <row r="29" spans="1:13" ht="19.5" customHeight="1">
      <c r="A29" s="3594"/>
      <c r="B29" s="3590"/>
      <c r="C29" s="2827" t="s">
        <v>2454</v>
      </c>
      <c r="D29" s="2828"/>
      <c r="E29" s="2829">
        <v>0.8</v>
      </c>
      <c r="F29" s="2826" t="s">
        <v>2455</v>
      </c>
      <c r="G29" s="2826"/>
    </row>
    <row r="30" spans="1:13" ht="19.5" customHeight="1">
      <c r="A30" s="3594"/>
      <c r="B30" s="3590"/>
      <c r="C30" s="2827" t="s">
        <v>2456</v>
      </c>
      <c r="D30" s="2828"/>
      <c r="E30" s="2829">
        <v>0.8</v>
      </c>
      <c r="F30" s="2826" t="s">
        <v>2457</v>
      </c>
      <c r="G30" s="2826"/>
    </row>
    <row r="31" spans="1:13" ht="19.5" customHeight="1">
      <c r="A31" s="3594"/>
      <c r="B31" s="3590"/>
      <c r="C31" s="2827" t="s">
        <v>2458</v>
      </c>
      <c r="D31" s="2828"/>
      <c r="E31" s="2829">
        <v>0.8</v>
      </c>
      <c r="F31" s="2826" t="s">
        <v>2459</v>
      </c>
      <c r="G31" s="2826"/>
    </row>
    <row r="32" spans="1:13" ht="19.5" customHeight="1">
      <c r="A32" s="3594"/>
      <c r="B32" s="3590"/>
      <c r="C32" s="2827" t="s">
        <v>2460</v>
      </c>
      <c r="D32" s="2828"/>
      <c r="E32" s="2829">
        <v>0.7</v>
      </c>
      <c r="F32" s="2826" t="s">
        <v>2461</v>
      </c>
      <c r="G32" s="2826"/>
    </row>
    <row r="33" spans="1:7" ht="19.5" customHeight="1">
      <c r="A33" s="3594"/>
      <c r="B33" s="3590"/>
      <c r="C33" s="2827" t="s">
        <v>2462</v>
      </c>
      <c r="D33" s="2828"/>
      <c r="E33" s="2829">
        <v>0.8</v>
      </c>
      <c r="F33" s="2826" t="s">
        <v>2463</v>
      </c>
      <c r="G33" s="2826"/>
    </row>
    <row r="34" spans="1:7" ht="19.5" customHeight="1">
      <c r="A34" s="3594"/>
      <c r="B34" s="3590"/>
      <c r="C34" s="2827" t="s">
        <v>2464</v>
      </c>
      <c r="D34" s="2828"/>
      <c r="E34" s="2829">
        <v>0.6</v>
      </c>
      <c r="F34" s="2826" t="s">
        <v>2465</v>
      </c>
      <c r="G34" s="2826"/>
    </row>
    <row r="35" spans="1:7" ht="19.5" customHeight="1">
      <c r="A35" s="3594"/>
      <c r="B35" s="3590"/>
      <c r="C35" s="2827" t="s">
        <v>2466</v>
      </c>
      <c r="D35" s="2828"/>
      <c r="E35" s="2829">
        <v>0.2</v>
      </c>
      <c r="F35" s="2826" t="s">
        <v>2467</v>
      </c>
      <c r="G35" s="2826"/>
    </row>
    <row r="36" spans="1:7" ht="19.5" customHeight="1">
      <c r="A36" s="3594"/>
      <c r="B36" s="3590"/>
      <c r="C36" s="2827" t="s">
        <v>2468</v>
      </c>
      <c r="D36" s="2828"/>
      <c r="E36" s="2829">
        <v>0.2</v>
      </c>
      <c r="F36" s="2826" t="s">
        <v>2469</v>
      </c>
      <c r="G36" s="2826"/>
    </row>
    <row r="37" spans="1:7" ht="19.5" customHeight="1">
      <c r="A37" s="3594"/>
      <c r="B37" s="3588" t="s">
        <v>2630</v>
      </c>
      <c r="C37" s="2827" t="s">
        <v>2470</v>
      </c>
      <c r="D37" s="2828"/>
      <c r="E37" s="2829">
        <v>0.6</v>
      </c>
      <c r="F37" s="2826" t="s">
        <v>2471</v>
      </c>
      <c r="G37" s="2826"/>
    </row>
    <row r="38" spans="1:7" ht="19.5" customHeight="1">
      <c r="A38" s="3594"/>
      <c r="B38" s="3590"/>
      <c r="C38" s="2827" t="s">
        <v>2472</v>
      </c>
      <c r="D38" s="2828"/>
      <c r="E38" s="2829">
        <v>0.6</v>
      </c>
      <c r="F38" s="2826" t="s">
        <v>2473</v>
      </c>
      <c r="G38" s="2826"/>
    </row>
    <row r="39" spans="1:7" ht="19.5" customHeight="1" thickBot="1">
      <c r="A39" s="3595"/>
      <c r="B39" s="3592"/>
      <c r="C39" s="2830" t="s">
        <v>2474</v>
      </c>
      <c r="D39" s="2831"/>
      <c r="E39" s="2832">
        <v>0.6</v>
      </c>
      <c r="F39" s="2826" t="s">
        <v>2475</v>
      </c>
      <c r="G39" s="2826"/>
    </row>
    <row r="40" spans="1:7" ht="19.5" customHeight="1" thickBot="1">
      <c r="A40" s="2833" t="s">
        <v>2607</v>
      </c>
      <c r="B40" s="2834" t="s">
        <v>2607</v>
      </c>
      <c r="C40" s="2835" t="s">
        <v>2631</v>
      </c>
      <c r="D40" s="2836"/>
      <c r="E40" s="2837">
        <v>1</v>
      </c>
      <c r="F40" s="2826" t="s">
        <v>2476</v>
      </c>
      <c r="G40" s="2826"/>
    </row>
    <row r="41" spans="1:7" ht="19.5" customHeight="1">
      <c r="A41" s="3596" t="s">
        <v>2608</v>
      </c>
      <c r="B41" s="3591" t="s">
        <v>2632</v>
      </c>
      <c r="C41" s="2823" t="s">
        <v>2477</v>
      </c>
      <c r="D41" s="2824"/>
      <c r="E41" s="2825">
        <v>1</v>
      </c>
      <c r="F41" s="2826" t="s">
        <v>2478</v>
      </c>
      <c r="G41" s="2826"/>
    </row>
    <row r="42" spans="1:7" ht="19.5" customHeight="1">
      <c r="A42" s="3597"/>
      <c r="B42" s="3590"/>
      <c r="C42" s="2827" t="s">
        <v>2479</v>
      </c>
      <c r="D42" s="2828"/>
      <c r="E42" s="2829">
        <v>1</v>
      </c>
      <c r="F42" s="2826" t="s">
        <v>2480</v>
      </c>
      <c r="G42" s="2826"/>
    </row>
    <row r="43" spans="1:7" ht="19.5" customHeight="1">
      <c r="A43" s="3597"/>
      <c r="B43" s="3589"/>
      <c r="C43" s="2827" t="s">
        <v>2481</v>
      </c>
      <c r="D43" s="2828"/>
      <c r="E43" s="2829">
        <v>1.5</v>
      </c>
      <c r="F43" s="2826" t="s">
        <v>2482</v>
      </c>
      <c r="G43" s="2826"/>
    </row>
    <row r="44" spans="1:7" ht="19.5" customHeight="1">
      <c r="A44" s="3597"/>
      <c r="B44" s="2838" t="s">
        <v>2633</v>
      </c>
      <c r="C44" s="2827" t="s">
        <v>2634</v>
      </c>
      <c r="D44" s="2828"/>
      <c r="E44" s="2829">
        <v>2</v>
      </c>
      <c r="F44" s="2826" t="s">
        <v>2483</v>
      </c>
      <c r="G44" s="2826"/>
    </row>
    <row r="45" spans="1:7" ht="19.5" customHeight="1">
      <c r="A45" s="3597"/>
      <c r="B45" s="3588" t="s">
        <v>2635</v>
      </c>
      <c r="C45" s="2827" t="s">
        <v>2484</v>
      </c>
      <c r="D45" s="2828"/>
      <c r="E45" s="2829">
        <v>1</v>
      </c>
      <c r="F45" s="2826" t="s">
        <v>2485</v>
      </c>
      <c r="G45" s="2826"/>
    </row>
    <row r="46" spans="1:7" ht="19.5" customHeight="1">
      <c r="A46" s="3597"/>
      <c r="B46" s="3590"/>
      <c r="C46" s="2827" t="s">
        <v>2486</v>
      </c>
      <c r="D46" s="2828"/>
      <c r="E46" s="2829">
        <v>1</v>
      </c>
      <c r="F46" s="2826" t="s">
        <v>2487</v>
      </c>
      <c r="G46" s="2826"/>
    </row>
    <row r="47" spans="1:7" ht="19.5" customHeight="1">
      <c r="A47" s="3597"/>
      <c r="B47" s="3590"/>
      <c r="C47" s="2827" t="s">
        <v>2488</v>
      </c>
      <c r="D47" s="2828"/>
      <c r="E47" s="2829">
        <v>1</v>
      </c>
      <c r="F47" s="2826" t="s">
        <v>2489</v>
      </c>
      <c r="G47" s="2826"/>
    </row>
    <row r="48" spans="1:7" ht="19.5" customHeight="1">
      <c r="A48" s="3597"/>
      <c r="B48" s="3590"/>
      <c r="C48" s="2827" t="s">
        <v>2490</v>
      </c>
      <c r="D48" s="2828"/>
      <c r="E48" s="2829">
        <v>1</v>
      </c>
      <c r="F48" s="2826" t="s">
        <v>2491</v>
      </c>
      <c r="G48" s="2826"/>
    </row>
    <row r="49" spans="1:7" ht="19.5" customHeight="1">
      <c r="A49" s="3597"/>
      <c r="B49" s="3590"/>
      <c r="C49" s="2827" t="s">
        <v>2492</v>
      </c>
      <c r="D49" s="2828"/>
      <c r="E49" s="2829">
        <v>1</v>
      </c>
      <c r="F49" s="2826" t="s">
        <v>2493</v>
      </c>
      <c r="G49" s="2826"/>
    </row>
    <row r="50" spans="1:7" ht="19.5" customHeight="1">
      <c r="A50" s="3597"/>
      <c r="B50" s="3590"/>
      <c r="C50" s="2827" t="s">
        <v>2494</v>
      </c>
      <c r="D50" s="2828"/>
      <c r="E50" s="2829">
        <v>1</v>
      </c>
      <c r="F50" s="2826" t="s">
        <v>2495</v>
      </c>
      <c r="G50" s="2826"/>
    </row>
    <row r="51" spans="1:7" ht="19.5" customHeight="1" thickBot="1">
      <c r="A51" s="3598"/>
      <c r="B51" s="3592"/>
      <c r="C51" s="2830" t="s">
        <v>2496</v>
      </c>
      <c r="D51" s="2831"/>
      <c r="E51" s="2832">
        <v>1</v>
      </c>
      <c r="F51" s="2826" t="s">
        <v>2497</v>
      </c>
      <c r="G51" s="2826"/>
    </row>
    <row r="52" spans="1:7" ht="19.5" customHeight="1">
      <c r="A52" s="2839"/>
      <c r="B52" s="2839"/>
      <c r="C52" s="2839"/>
      <c r="D52" s="2839"/>
      <c r="E52" s="2839"/>
      <c r="F52" s="2839"/>
      <c r="G52" s="2839"/>
    </row>
    <row r="54" spans="1:7" ht="19.5" customHeight="1">
      <c r="A54" s="2840"/>
      <c r="B54" s="2812" t="s">
        <v>2636</v>
      </c>
      <c r="C54" s="2812" t="s">
        <v>2636</v>
      </c>
      <c r="D54" s="2812" t="s">
        <v>2636</v>
      </c>
      <c r="E54" s="2815" t="s">
        <v>2636</v>
      </c>
      <c r="F54" s="2815" t="s">
        <v>2637</v>
      </c>
      <c r="G54" s="2815" t="s">
        <v>2638</v>
      </c>
    </row>
    <row r="55" spans="1:7" ht="19.5" customHeight="1">
      <c r="A55" s="2841"/>
      <c r="B55" s="2815" t="s">
        <v>2605</v>
      </c>
      <c r="C55" s="2815" t="s">
        <v>2605</v>
      </c>
      <c r="D55" s="2815" t="s">
        <v>2605</v>
      </c>
      <c r="E55" s="2812" t="s">
        <v>2606</v>
      </c>
      <c r="F55" s="2812" t="s">
        <v>2608</v>
      </c>
      <c r="G55" s="2812" t="s">
        <v>2639</v>
      </c>
    </row>
    <row r="56" spans="1:7" ht="19.5" customHeight="1">
      <c r="A56" s="2842"/>
      <c r="B56" s="2812">
        <v>1</v>
      </c>
      <c r="C56" s="2812">
        <v>2</v>
      </c>
      <c r="D56" s="2812">
        <v>3</v>
      </c>
      <c r="E56" s="2843" t="s">
        <v>2640</v>
      </c>
      <c r="F56" s="2843" t="s">
        <v>2640</v>
      </c>
      <c r="G56" s="2843" t="s">
        <v>2640</v>
      </c>
    </row>
    <row r="57" spans="1:7" ht="19.5" customHeight="1">
      <c r="A57" s="2844" t="s">
        <v>2593</v>
      </c>
      <c r="B57" s="2812">
        <v>0.7</v>
      </c>
      <c r="C57" s="2812">
        <v>0.4</v>
      </c>
      <c r="D57" s="2812">
        <v>0.3</v>
      </c>
      <c r="E57" s="2843">
        <v>0.3</v>
      </c>
      <c r="F57" s="2812">
        <v>0.3</v>
      </c>
      <c r="G57" s="2812">
        <v>0.2</v>
      </c>
    </row>
    <row r="58" spans="1:7" ht="19.5" customHeight="1">
      <c r="A58" s="2844" t="s">
        <v>2594</v>
      </c>
      <c r="B58" s="2812">
        <v>0.7</v>
      </c>
      <c r="C58" s="2812">
        <v>0.4</v>
      </c>
      <c r="D58" s="2812">
        <v>0.3</v>
      </c>
      <c r="E58" s="2812">
        <v>0.3</v>
      </c>
      <c r="F58" s="2812">
        <v>0.3</v>
      </c>
      <c r="G58" s="2812">
        <v>0.2</v>
      </c>
    </row>
    <row r="59" spans="1:7" ht="19.5" customHeight="1">
      <c r="A59" s="2844" t="s">
        <v>2595</v>
      </c>
      <c r="B59" s="2812">
        <v>0.6</v>
      </c>
      <c r="C59" s="2812">
        <v>0.3</v>
      </c>
      <c r="D59" s="2812">
        <v>0.25</v>
      </c>
      <c r="E59" s="2812">
        <v>0.25</v>
      </c>
      <c r="F59" s="2812">
        <v>0.25</v>
      </c>
      <c r="G59" s="2812">
        <v>0.15</v>
      </c>
    </row>
    <row r="60" spans="1:7" ht="19.5" customHeight="1">
      <c r="A60" s="2844" t="s">
        <v>2596</v>
      </c>
      <c r="B60" s="2812">
        <v>0.6</v>
      </c>
      <c r="C60" s="2812">
        <v>0.3</v>
      </c>
      <c r="D60" s="2812">
        <v>0.25</v>
      </c>
      <c r="E60" s="2812">
        <v>0.25</v>
      </c>
      <c r="F60" s="2812">
        <v>0.25</v>
      </c>
      <c r="G60" s="2812">
        <v>0.15</v>
      </c>
    </row>
    <row r="61" spans="1:7" ht="19.5" customHeight="1">
      <c r="A61" s="2844" t="s">
        <v>2597</v>
      </c>
      <c r="B61" s="2812">
        <v>0.6</v>
      </c>
      <c r="C61" s="2812">
        <v>0.3</v>
      </c>
      <c r="D61" s="2812">
        <v>0.25</v>
      </c>
      <c r="E61" s="2812">
        <v>0.25</v>
      </c>
      <c r="F61" s="2812">
        <v>0.25</v>
      </c>
      <c r="G61" s="2812">
        <v>0.15</v>
      </c>
    </row>
    <row r="62" spans="1:7" ht="19.5" customHeight="1">
      <c r="A62" s="2844" t="s">
        <v>2598</v>
      </c>
      <c r="B62" s="2812">
        <v>0.6</v>
      </c>
      <c r="C62" s="2812">
        <v>0.3</v>
      </c>
      <c r="D62" s="2812">
        <v>0.25</v>
      </c>
      <c r="E62" s="2812">
        <v>0.25</v>
      </c>
      <c r="F62" s="2812">
        <v>0.25</v>
      </c>
      <c r="G62" s="2812">
        <v>0.15</v>
      </c>
    </row>
    <row r="63" spans="1:7" ht="19.5" customHeight="1">
      <c r="A63" s="2844" t="s">
        <v>2599</v>
      </c>
      <c r="B63" s="2812">
        <v>0.6</v>
      </c>
      <c r="C63" s="2812">
        <v>0.3</v>
      </c>
      <c r="D63" s="2812">
        <v>0.25</v>
      </c>
      <c r="E63" s="2812">
        <v>0.25</v>
      </c>
      <c r="F63" s="2812">
        <v>0.25</v>
      </c>
      <c r="G63" s="2812">
        <v>0.15</v>
      </c>
    </row>
    <row r="64" spans="1:7" ht="19.5" customHeight="1">
      <c r="A64" s="2844" t="s">
        <v>2600</v>
      </c>
      <c r="B64" s="2812">
        <v>0.5</v>
      </c>
      <c r="C64" s="2812">
        <v>0.2</v>
      </c>
      <c r="D64" s="2812">
        <v>0.2</v>
      </c>
      <c r="E64" s="2812">
        <v>0.2</v>
      </c>
      <c r="F64" s="2812">
        <v>0.2</v>
      </c>
      <c r="G64" s="2812">
        <v>0.1</v>
      </c>
    </row>
    <row r="65" spans="1:7" ht="19.5" customHeight="1">
      <c r="A65" s="2844" t="s">
        <v>2601</v>
      </c>
      <c r="B65" s="2812">
        <v>0.5</v>
      </c>
      <c r="C65" s="2812">
        <v>0.2</v>
      </c>
      <c r="D65" s="2812">
        <v>0.2</v>
      </c>
      <c r="E65" s="2812">
        <v>0.2</v>
      </c>
      <c r="F65" s="2812">
        <v>0.2</v>
      </c>
      <c r="G65" s="2812">
        <v>0.1</v>
      </c>
    </row>
    <row r="66" spans="1:7" ht="19.5" customHeight="1">
      <c r="A66" s="2844" t="s">
        <v>2602</v>
      </c>
      <c r="B66" s="2812">
        <v>0.5</v>
      </c>
      <c r="C66" s="2812">
        <v>0.2</v>
      </c>
      <c r="D66" s="2812">
        <v>0.2</v>
      </c>
      <c r="E66" s="2812">
        <v>0.2</v>
      </c>
      <c r="F66" s="2812">
        <v>0.2</v>
      </c>
      <c r="G66" s="2812">
        <v>0.1</v>
      </c>
    </row>
    <row r="67" spans="1:7" ht="19.5" customHeight="1">
      <c r="A67" s="2844" t="s">
        <v>2603</v>
      </c>
      <c r="B67" s="2812">
        <v>0.5</v>
      </c>
      <c r="C67" s="2812">
        <v>0.2</v>
      </c>
      <c r="D67" s="2812">
        <v>0.2</v>
      </c>
      <c r="E67" s="2812">
        <v>0.2</v>
      </c>
      <c r="F67" s="2812">
        <v>0.2</v>
      </c>
      <c r="G67" s="2812">
        <v>0.1</v>
      </c>
    </row>
    <row r="68" spans="1:7" ht="19.5" customHeight="1">
      <c r="A68" s="2844" t="s">
        <v>2604</v>
      </c>
      <c r="B68" s="2812">
        <v>0.5</v>
      </c>
      <c r="C68" s="2812">
        <v>0.2</v>
      </c>
      <c r="D68" s="2812">
        <v>0.2</v>
      </c>
      <c r="E68" s="2812">
        <v>0.2</v>
      </c>
      <c r="F68" s="2812">
        <v>0.2</v>
      </c>
      <c r="G68" s="2812">
        <v>0.1</v>
      </c>
    </row>
    <row r="70" spans="1:7" ht="19.5" customHeight="1">
      <c r="A70" s="2826"/>
      <c r="B70" s="2845"/>
      <c r="C70" s="2845"/>
      <c r="D70" s="2845" t="s">
        <v>2641</v>
      </c>
      <c r="E70" s="2845"/>
      <c r="F70" s="2845"/>
    </row>
    <row r="71" spans="1:7" ht="19.5" customHeight="1">
      <c r="A71" s="2838" t="s">
        <v>2642</v>
      </c>
      <c r="B71" s="2838" t="s">
        <v>2643</v>
      </c>
      <c r="C71" s="2838" t="s">
        <v>2644</v>
      </c>
      <c r="D71" s="2838" t="s">
        <v>2645</v>
      </c>
      <c r="E71" s="2838" t="s">
        <v>2646</v>
      </c>
      <c r="F71" s="2838" t="s">
        <v>2647</v>
      </c>
    </row>
    <row r="72" spans="1:7" ht="13.5">
      <c r="A72" s="2838"/>
      <c r="B72" s="2838"/>
      <c r="C72" s="2838" t="s">
        <v>2648</v>
      </c>
      <c r="D72" s="2838"/>
      <c r="E72" s="2838" t="s">
        <v>2619</v>
      </c>
      <c r="F72" s="2838" t="s">
        <v>2619</v>
      </c>
    </row>
    <row r="73" spans="1:7" ht="13.5">
      <c r="A73" s="2838">
        <v>1</v>
      </c>
      <c r="B73" s="3588" t="s">
        <v>2649</v>
      </c>
      <c r="C73" s="2812" t="s">
        <v>2650</v>
      </c>
      <c r="D73" s="2812" t="s">
        <v>2651</v>
      </c>
      <c r="E73" s="2838">
        <v>0.2</v>
      </c>
      <c r="F73" s="2838">
        <v>25</v>
      </c>
    </row>
    <row r="74" spans="1:7" ht="24">
      <c r="A74" s="2838">
        <v>2</v>
      </c>
      <c r="B74" s="3590"/>
      <c r="C74" s="2812" t="s">
        <v>2652</v>
      </c>
      <c r="D74" s="2812" t="s">
        <v>2653</v>
      </c>
      <c r="E74" s="2838">
        <v>0.2</v>
      </c>
      <c r="F74" s="2838">
        <v>25</v>
      </c>
    </row>
    <row r="75" spans="1:7" ht="24">
      <c r="A75" s="2838">
        <v>3</v>
      </c>
      <c r="B75" s="3590"/>
      <c r="C75" s="2812" t="s">
        <v>2654</v>
      </c>
      <c r="D75" s="2812" t="s">
        <v>2655</v>
      </c>
      <c r="E75" s="2838">
        <v>0.2</v>
      </c>
      <c r="F75" s="2838">
        <v>25</v>
      </c>
    </row>
    <row r="76" spans="1:7" ht="13.5">
      <c r="A76" s="2838">
        <v>4</v>
      </c>
      <c r="B76" s="3590"/>
      <c r="C76" s="2812" t="s">
        <v>2656</v>
      </c>
      <c r="D76" s="2812" t="s">
        <v>2657</v>
      </c>
      <c r="E76" s="2838">
        <v>0.15</v>
      </c>
      <c r="F76" s="2838">
        <v>20</v>
      </c>
    </row>
    <row r="77" spans="1:7" ht="24">
      <c r="A77" s="2838">
        <v>5</v>
      </c>
      <c r="B77" s="3590"/>
      <c r="C77" s="2812" t="s">
        <v>2658</v>
      </c>
      <c r="D77" s="2812" t="s">
        <v>2659</v>
      </c>
      <c r="E77" s="2838">
        <v>0.15</v>
      </c>
      <c r="F77" s="2838">
        <v>20</v>
      </c>
    </row>
    <row r="78" spans="1:7" ht="24">
      <c r="A78" s="2838">
        <v>6</v>
      </c>
      <c r="B78" s="3590"/>
      <c r="C78" s="2812" t="s">
        <v>2660</v>
      </c>
      <c r="D78" s="2812" t="s">
        <v>2661</v>
      </c>
      <c r="E78" s="2838">
        <v>0.15</v>
      </c>
      <c r="F78" s="2838">
        <v>20</v>
      </c>
    </row>
    <row r="79" spans="1:7" ht="24">
      <c r="A79" s="2838">
        <v>7</v>
      </c>
      <c r="B79" s="3590"/>
      <c r="C79" s="2812" t="s">
        <v>2662</v>
      </c>
      <c r="D79" s="2812" t="s">
        <v>2663</v>
      </c>
      <c r="E79" s="2838">
        <v>0.15</v>
      </c>
      <c r="F79" s="2838">
        <v>20</v>
      </c>
    </row>
    <row r="80" spans="1:7" ht="24">
      <c r="A80" s="2838">
        <v>8</v>
      </c>
      <c r="B80" s="3590"/>
      <c r="C80" s="2812" t="s">
        <v>2664</v>
      </c>
      <c r="D80" s="2812" t="s">
        <v>2665</v>
      </c>
      <c r="E80" s="2838">
        <v>0.1</v>
      </c>
      <c r="F80" s="2838">
        <v>15</v>
      </c>
    </row>
    <row r="81" spans="1:6" ht="24">
      <c r="A81" s="2838">
        <v>9</v>
      </c>
      <c r="B81" s="3590"/>
      <c r="C81" s="2812" t="s">
        <v>2666</v>
      </c>
      <c r="D81" s="2812" t="s">
        <v>2667</v>
      </c>
      <c r="E81" s="2838">
        <v>0.1</v>
      </c>
      <c r="F81" s="2838">
        <v>15</v>
      </c>
    </row>
    <row r="82" spans="1:6" ht="24">
      <c r="A82" s="2838">
        <v>10</v>
      </c>
      <c r="B82" s="3590"/>
      <c r="C82" s="2812" t="s">
        <v>2668</v>
      </c>
      <c r="D82" s="2812" t="s">
        <v>2669</v>
      </c>
      <c r="E82" s="2838">
        <v>0.1</v>
      </c>
      <c r="F82" s="2838">
        <v>15</v>
      </c>
    </row>
    <row r="83" spans="1:6" ht="24">
      <c r="A83" s="2838">
        <v>11</v>
      </c>
      <c r="B83" s="3590"/>
      <c r="C83" s="2812" t="s">
        <v>2670</v>
      </c>
      <c r="D83" s="2812" t="s">
        <v>2671</v>
      </c>
      <c r="E83" s="2838">
        <v>0.1</v>
      </c>
      <c r="F83" s="2838">
        <v>15</v>
      </c>
    </row>
    <row r="84" spans="1:6" ht="24">
      <c r="A84" s="2838">
        <v>12</v>
      </c>
      <c r="B84" s="3590"/>
      <c r="C84" s="2812" t="s">
        <v>2672</v>
      </c>
      <c r="D84" s="2812" t="s">
        <v>2673</v>
      </c>
      <c r="E84" s="2838">
        <v>0.1</v>
      </c>
      <c r="F84" s="2838">
        <v>15</v>
      </c>
    </row>
    <row r="85" spans="1:6" ht="13.5">
      <c r="A85" s="2838">
        <v>13</v>
      </c>
      <c r="B85" s="3590"/>
      <c r="C85" s="2812" t="s">
        <v>2674</v>
      </c>
      <c r="D85" s="2812" t="s">
        <v>2675</v>
      </c>
      <c r="E85" s="2838">
        <v>0.1</v>
      </c>
      <c r="F85" s="2838">
        <v>15</v>
      </c>
    </row>
    <row r="86" spans="1:6" ht="13.5">
      <c r="A86" s="2838">
        <v>14</v>
      </c>
      <c r="B86" s="3590"/>
      <c r="C86" s="2812" t="s">
        <v>2676</v>
      </c>
      <c r="D86" s="2812" t="s">
        <v>2677</v>
      </c>
      <c r="E86" s="2838">
        <v>0.1</v>
      </c>
      <c r="F86" s="2838">
        <v>15</v>
      </c>
    </row>
    <row r="87" spans="1:6" ht="13.5">
      <c r="A87" s="2838">
        <v>15</v>
      </c>
      <c r="B87" s="3590"/>
      <c r="C87" s="2812" t="s">
        <v>2678</v>
      </c>
      <c r="D87" s="2812" t="s">
        <v>2679</v>
      </c>
      <c r="E87" s="2838">
        <v>0.1</v>
      </c>
      <c r="F87" s="2838">
        <v>15</v>
      </c>
    </row>
    <row r="88" spans="1:6" ht="24">
      <c r="A88" s="2838">
        <v>16</v>
      </c>
      <c r="B88" s="3590"/>
      <c r="C88" s="2812" t="s">
        <v>2680</v>
      </c>
      <c r="D88" s="2812" t="s">
        <v>2681</v>
      </c>
      <c r="E88" s="2838">
        <v>0.1</v>
      </c>
      <c r="F88" s="2838">
        <v>15</v>
      </c>
    </row>
    <row r="89" spans="1:6" ht="24">
      <c r="A89" s="2838">
        <v>17</v>
      </c>
      <c r="B89" s="3589"/>
      <c r="C89" s="2812" t="s">
        <v>2682</v>
      </c>
      <c r="D89" s="2812" t="s">
        <v>2683</v>
      </c>
      <c r="E89" s="2838">
        <v>0.1</v>
      </c>
      <c r="F89" s="2838">
        <v>15</v>
      </c>
    </row>
    <row r="90" spans="1:6" ht="13.5">
      <c r="A90" s="2838">
        <v>18</v>
      </c>
      <c r="B90" s="3588" t="s">
        <v>2684</v>
      </c>
      <c r="C90" s="2812" t="s">
        <v>2685</v>
      </c>
      <c r="D90" s="2812" t="s">
        <v>2686</v>
      </c>
      <c r="E90" s="2838">
        <v>0.2</v>
      </c>
      <c r="F90" s="2838">
        <v>25</v>
      </c>
    </row>
    <row r="91" spans="1:6" ht="24">
      <c r="A91" s="2838">
        <v>19</v>
      </c>
      <c r="B91" s="3590"/>
      <c r="C91" s="2812" t="s">
        <v>2687</v>
      </c>
      <c r="D91" s="2812" t="s">
        <v>2688</v>
      </c>
      <c r="E91" s="2838">
        <v>0.2</v>
      </c>
      <c r="F91" s="2838">
        <v>25</v>
      </c>
    </row>
    <row r="92" spans="1:6" ht="13.5">
      <c r="A92" s="2838">
        <v>20</v>
      </c>
      <c r="B92" s="3590"/>
      <c r="C92" s="2812" t="s">
        <v>2689</v>
      </c>
      <c r="D92" s="2812" t="s">
        <v>2690</v>
      </c>
      <c r="E92" s="2838">
        <v>0.15</v>
      </c>
      <c r="F92" s="2838">
        <v>20</v>
      </c>
    </row>
    <row r="93" spans="1:6" ht="13.5">
      <c r="A93" s="2838">
        <v>21</v>
      </c>
      <c r="B93" s="3590"/>
      <c r="C93" s="2812" t="s">
        <v>2691</v>
      </c>
      <c r="D93" s="2812" t="s">
        <v>2692</v>
      </c>
      <c r="E93" s="2838">
        <v>0.15</v>
      </c>
      <c r="F93" s="2838">
        <v>20</v>
      </c>
    </row>
    <row r="94" spans="1:6" ht="13.5">
      <c r="A94" s="2838">
        <v>22</v>
      </c>
      <c r="B94" s="3590"/>
      <c r="C94" s="2812" t="s">
        <v>2693</v>
      </c>
      <c r="D94" s="2812" t="s">
        <v>2694</v>
      </c>
      <c r="E94" s="2838">
        <v>0.15</v>
      </c>
      <c r="F94" s="2838">
        <v>20</v>
      </c>
    </row>
    <row r="95" spans="1:6" ht="36">
      <c r="A95" s="2838">
        <v>23</v>
      </c>
      <c r="B95" s="3590"/>
      <c r="C95" s="2812" t="s">
        <v>2695</v>
      </c>
      <c r="D95" s="2812" t="s">
        <v>2696</v>
      </c>
      <c r="E95" s="2838">
        <v>0.15</v>
      </c>
      <c r="F95" s="2838">
        <v>20</v>
      </c>
    </row>
    <row r="96" spans="1:6" ht="13.5">
      <c r="A96" s="2838">
        <v>24</v>
      </c>
      <c r="B96" s="3590"/>
      <c r="C96" s="2812" t="s">
        <v>2697</v>
      </c>
      <c r="D96" s="2812" t="s">
        <v>2698</v>
      </c>
      <c r="E96" s="2838">
        <v>0.1</v>
      </c>
      <c r="F96" s="2838">
        <v>15</v>
      </c>
    </row>
    <row r="97" spans="1:6" ht="13.5">
      <c r="A97" s="2838">
        <v>25</v>
      </c>
      <c r="B97" s="3590"/>
      <c r="C97" s="2812" t="s">
        <v>2699</v>
      </c>
      <c r="D97" s="2812" t="s">
        <v>2700</v>
      </c>
      <c r="E97" s="2838">
        <v>0.1</v>
      </c>
      <c r="F97" s="2838">
        <v>15</v>
      </c>
    </row>
    <row r="98" spans="1:6" ht="24">
      <c r="A98" s="2838">
        <v>26</v>
      </c>
      <c r="B98" s="3590"/>
      <c r="C98" s="2812" t="s">
        <v>2701</v>
      </c>
      <c r="D98" s="2812" t="s">
        <v>2702</v>
      </c>
      <c r="E98" s="2838">
        <v>0.1</v>
      </c>
      <c r="F98" s="2838">
        <v>15</v>
      </c>
    </row>
    <row r="99" spans="1:6" ht="24">
      <c r="A99" s="2838">
        <v>27</v>
      </c>
      <c r="B99" s="3590"/>
      <c r="C99" s="2812" t="s">
        <v>2703</v>
      </c>
      <c r="D99" s="2812" t="s">
        <v>2704</v>
      </c>
      <c r="E99" s="2838">
        <v>0.1</v>
      </c>
      <c r="F99" s="2838">
        <v>15</v>
      </c>
    </row>
    <row r="100" spans="1:6" ht="13.5">
      <c r="A100" s="2838">
        <v>28</v>
      </c>
      <c r="B100" s="3590"/>
      <c r="C100" s="2812" t="s">
        <v>2705</v>
      </c>
      <c r="D100" s="2812" t="s">
        <v>2706</v>
      </c>
      <c r="E100" s="2838">
        <v>0.1</v>
      </c>
      <c r="F100" s="2838">
        <v>15</v>
      </c>
    </row>
    <row r="101" spans="1:6" ht="13.5">
      <c r="A101" s="2838">
        <v>29</v>
      </c>
      <c r="B101" s="3590"/>
      <c r="C101" s="2812" t="s">
        <v>2707</v>
      </c>
      <c r="D101" s="2812" t="s">
        <v>2708</v>
      </c>
      <c r="E101" s="2838">
        <v>0.1</v>
      </c>
      <c r="F101" s="2838">
        <v>15</v>
      </c>
    </row>
    <row r="102" spans="1:6" ht="13.5">
      <c r="A102" s="2838">
        <v>30</v>
      </c>
      <c r="B102" s="3590"/>
      <c r="C102" s="2812" t="s">
        <v>2709</v>
      </c>
      <c r="D102" s="2812" t="s">
        <v>2710</v>
      </c>
      <c r="E102" s="2838">
        <v>0.1</v>
      </c>
      <c r="F102" s="2838">
        <v>15</v>
      </c>
    </row>
    <row r="103" spans="1:6" ht="24">
      <c r="A103" s="2838">
        <v>31</v>
      </c>
      <c r="B103" s="3590"/>
      <c r="C103" s="2812" t="s">
        <v>2711</v>
      </c>
      <c r="D103" s="2812" t="s">
        <v>2712</v>
      </c>
      <c r="E103" s="2838">
        <v>0.1</v>
      </c>
      <c r="F103" s="2838">
        <v>15</v>
      </c>
    </row>
    <row r="104" spans="1:6" ht="24">
      <c r="A104" s="2838">
        <v>32</v>
      </c>
      <c r="B104" s="3590"/>
      <c r="C104" s="2812" t="s">
        <v>2713</v>
      </c>
      <c r="D104" s="2812" t="s">
        <v>2714</v>
      </c>
      <c r="E104" s="2838">
        <v>0.1</v>
      </c>
      <c r="F104" s="2838">
        <v>15</v>
      </c>
    </row>
    <row r="105" spans="1:6" ht="24">
      <c r="A105" s="2838">
        <v>33</v>
      </c>
      <c r="B105" s="3590"/>
      <c r="C105" s="2812" t="s">
        <v>2715</v>
      </c>
      <c r="D105" s="2812" t="s">
        <v>2716</v>
      </c>
      <c r="E105" s="2838">
        <v>0.1</v>
      </c>
      <c r="F105" s="2838">
        <v>15</v>
      </c>
    </row>
    <row r="106" spans="1:6" ht="24">
      <c r="A106" s="2838">
        <v>34</v>
      </c>
      <c r="B106" s="3589"/>
      <c r="C106" s="2812" t="s">
        <v>2717</v>
      </c>
      <c r="D106" s="2812" t="s">
        <v>2718</v>
      </c>
      <c r="E106" s="2838">
        <v>0.1</v>
      </c>
      <c r="F106" s="2838">
        <v>15</v>
      </c>
    </row>
    <row r="107" spans="1:6" ht="24">
      <c r="A107" s="2838">
        <v>35</v>
      </c>
      <c r="B107" s="3588" t="s">
        <v>2719</v>
      </c>
      <c r="C107" s="2838" t="s">
        <v>2720</v>
      </c>
      <c r="D107" s="2812" t="s">
        <v>2721</v>
      </c>
      <c r="E107" s="2838">
        <v>0.15</v>
      </c>
      <c r="F107" s="2838">
        <v>20</v>
      </c>
    </row>
    <row r="108" spans="1:6" ht="13.5">
      <c r="A108" s="2838">
        <v>36</v>
      </c>
      <c r="B108" s="3590"/>
      <c r="C108" s="2838" t="s">
        <v>2722</v>
      </c>
      <c r="D108" s="2812" t="s">
        <v>2723</v>
      </c>
      <c r="E108" s="2838">
        <v>0.15</v>
      </c>
      <c r="F108" s="2838">
        <v>20</v>
      </c>
    </row>
    <row r="109" spans="1:6" ht="13.5">
      <c r="A109" s="2838">
        <v>37</v>
      </c>
      <c r="B109" s="3590"/>
      <c r="C109" s="2838" t="s">
        <v>2724</v>
      </c>
      <c r="D109" s="2812" t="s">
        <v>2725</v>
      </c>
      <c r="E109" s="2838">
        <v>0.15</v>
      </c>
      <c r="F109" s="2838">
        <v>20</v>
      </c>
    </row>
    <row r="110" spans="1:6" ht="13.5">
      <c r="A110" s="2838">
        <v>38</v>
      </c>
      <c r="B110" s="3590"/>
      <c r="C110" s="2838" t="s">
        <v>2726</v>
      </c>
      <c r="D110" s="2812" t="s">
        <v>2727</v>
      </c>
      <c r="E110" s="2838">
        <v>0.1</v>
      </c>
      <c r="F110" s="2838">
        <v>15</v>
      </c>
    </row>
    <row r="111" spans="1:6" ht="24">
      <c r="A111" s="2838">
        <v>39</v>
      </c>
      <c r="B111" s="3590"/>
      <c r="C111" s="2838" t="s">
        <v>2728</v>
      </c>
      <c r="D111" s="2812" t="s">
        <v>2729</v>
      </c>
      <c r="E111" s="2838">
        <v>0.1</v>
      </c>
      <c r="F111" s="2838">
        <v>15</v>
      </c>
    </row>
    <row r="112" spans="1:6" ht="24">
      <c r="A112" s="2838">
        <v>40</v>
      </c>
      <c r="B112" s="3589"/>
      <c r="C112" s="2838" t="s">
        <v>2730</v>
      </c>
      <c r="D112" s="2812" t="s">
        <v>2731</v>
      </c>
      <c r="E112" s="2838">
        <v>0.1</v>
      </c>
      <c r="F112" s="2838">
        <v>15</v>
      </c>
    </row>
    <row r="113" spans="1:6" ht="13.5">
      <c r="A113" s="2838">
        <v>41</v>
      </c>
      <c r="B113" s="3587" t="s">
        <v>2732</v>
      </c>
      <c r="C113" s="2838" t="s">
        <v>2733</v>
      </c>
      <c r="D113" s="2812" t="s">
        <v>2734</v>
      </c>
      <c r="E113" s="2838">
        <v>0.1</v>
      </c>
      <c r="F113" s="2838">
        <v>15</v>
      </c>
    </row>
    <row r="114" spans="1:6" ht="13.5">
      <c r="A114" s="2838">
        <v>42</v>
      </c>
      <c r="B114" s="3587"/>
      <c r="C114" s="2838" t="s">
        <v>2735</v>
      </c>
      <c r="D114" s="2812" t="s">
        <v>2736</v>
      </c>
      <c r="E114" s="2838">
        <v>0.1</v>
      </c>
      <c r="F114" s="2838">
        <v>15</v>
      </c>
    </row>
    <row r="115" spans="1:6" ht="24">
      <c r="A115" s="2838">
        <v>43</v>
      </c>
      <c r="B115" s="3587"/>
      <c r="C115" s="2838" t="s">
        <v>2737</v>
      </c>
      <c r="D115" s="2812" t="s">
        <v>2738</v>
      </c>
      <c r="E115" s="2838">
        <v>0.1</v>
      </c>
      <c r="F115" s="2838">
        <v>15</v>
      </c>
    </row>
    <row r="116" spans="1:6" ht="13.5">
      <c r="A116" s="2838">
        <v>44</v>
      </c>
      <c r="B116" s="3588" t="s">
        <v>2739</v>
      </c>
      <c r="C116" s="2838" t="s">
        <v>2740</v>
      </c>
      <c r="D116" s="2812" t="s">
        <v>2741</v>
      </c>
      <c r="E116" s="2838">
        <v>0.1</v>
      </c>
      <c r="F116" s="2838">
        <v>15</v>
      </c>
    </row>
    <row r="117" spans="1:6" ht="24">
      <c r="A117" s="2838">
        <v>45</v>
      </c>
      <c r="B117" s="3589"/>
      <c r="C117" s="2812" t="s">
        <v>2742</v>
      </c>
      <c r="D117" s="2812" t="s">
        <v>2743</v>
      </c>
      <c r="E117" s="2838">
        <v>0.1</v>
      </c>
      <c r="F117" s="2838">
        <v>15</v>
      </c>
    </row>
    <row r="118" spans="1:6" ht="24">
      <c r="A118" s="2838">
        <v>46</v>
      </c>
      <c r="B118" s="3588" t="s">
        <v>2744</v>
      </c>
      <c r="C118" s="2838" t="s">
        <v>2745</v>
      </c>
      <c r="D118" s="2812" t="s">
        <v>2746</v>
      </c>
      <c r="E118" s="2838">
        <v>0.1</v>
      </c>
      <c r="F118" s="2838">
        <v>15</v>
      </c>
    </row>
    <row r="119" spans="1:6" ht="24">
      <c r="A119" s="2838">
        <v>47</v>
      </c>
      <c r="B119" s="3589"/>
      <c r="C119" s="2838" t="s">
        <v>2747</v>
      </c>
      <c r="D119" s="2812" t="s">
        <v>2748</v>
      </c>
      <c r="E119" s="2838">
        <v>0.1</v>
      </c>
      <c r="F119" s="2838">
        <v>15</v>
      </c>
    </row>
    <row r="120" spans="1:6" ht="13.5">
      <c r="A120" s="2838">
        <v>48</v>
      </c>
      <c r="B120" s="3588" t="s">
        <v>2749</v>
      </c>
      <c r="C120" s="2838" t="s">
        <v>2750</v>
      </c>
      <c r="D120" s="2812" t="s">
        <v>2751</v>
      </c>
      <c r="E120" s="2838">
        <v>0.1</v>
      </c>
      <c r="F120" s="2838">
        <v>15</v>
      </c>
    </row>
    <row r="121" spans="1:6" ht="13.5">
      <c r="A121" s="2838">
        <v>49</v>
      </c>
      <c r="B121" s="3589"/>
      <c r="C121" s="2838" t="s">
        <v>2752</v>
      </c>
      <c r="D121" s="2812" t="s">
        <v>2753</v>
      </c>
      <c r="E121" s="2838">
        <v>0.1</v>
      </c>
      <c r="F121" s="2838">
        <v>15</v>
      </c>
    </row>
    <row r="122" spans="1:6" ht="24">
      <c r="A122" s="2838">
        <v>50</v>
      </c>
      <c r="B122" s="3587" t="s">
        <v>2754</v>
      </c>
      <c r="C122" s="2838" t="s">
        <v>2755</v>
      </c>
      <c r="D122" s="2812" t="s">
        <v>2756</v>
      </c>
      <c r="E122" s="2838">
        <v>0.1</v>
      </c>
      <c r="F122" s="2838">
        <v>15</v>
      </c>
    </row>
    <row r="123" spans="1:6" ht="24">
      <c r="A123" s="2838">
        <v>51</v>
      </c>
      <c r="B123" s="3587"/>
      <c r="C123" s="2838" t="s">
        <v>2757</v>
      </c>
      <c r="D123" s="2812" t="s">
        <v>2758</v>
      </c>
      <c r="E123" s="2838">
        <v>0.1</v>
      </c>
      <c r="F123" s="2838">
        <v>15</v>
      </c>
    </row>
    <row r="124" spans="1:6" ht="24">
      <c r="A124" s="2838">
        <v>52</v>
      </c>
      <c r="B124" s="3587" t="s">
        <v>2759</v>
      </c>
      <c r="C124" s="2838" t="s">
        <v>2760</v>
      </c>
      <c r="D124" s="2812" t="s">
        <v>2761</v>
      </c>
      <c r="E124" s="2838">
        <v>0.1</v>
      </c>
      <c r="F124" s="2838">
        <v>15</v>
      </c>
    </row>
    <row r="125" spans="1:6" ht="24">
      <c r="A125" s="2838">
        <v>53</v>
      </c>
      <c r="B125" s="3587"/>
      <c r="C125" s="2838" t="s">
        <v>2762</v>
      </c>
      <c r="D125" s="2812" t="s">
        <v>2763</v>
      </c>
      <c r="E125" s="2838">
        <v>0.1</v>
      </c>
      <c r="F125" s="2838">
        <v>15</v>
      </c>
    </row>
    <row r="126" spans="1:6" ht="13.5">
      <c r="A126" s="2838">
        <v>54</v>
      </c>
      <c r="B126" s="2838" t="s">
        <v>2764</v>
      </c>
      <c r="C126" s="2838" t="s">
        <v>2765</v>
      </c>
      <c r="D126" s="2812" t="s">
        <v>2766</v>
      </c>
      <c r="E126" s="2838">
        <v>0.1</v>
      </c>
      <c r="F126" s="2838">
        <v>15</v>
      </c>
    </row>
    <row r="127" spans="1:6" ht="13.5">
      <c r="A127" s="2838">
        <v>55</v>
      </c>
      <c r="B127" s="3587" t="s">
        <v>2767</v>
      </c>
      <c r="C127" s="2838" t="s">
        <v>2768</v>
      </c>
      <c r="D127" s="2812" t="s">
        <v>2769</v>
      </c>
      <c r="E127" s="2838">
        <v>0.1</v>
      </c>
      <c r="F127" s="2838">
        <v>15</v>
      </c>
    </row>
    <row r="128" spans="1:6" ht="13.5">
      <c r="A128" s="2838">
        <v>56</v>
      </c>
      <c r="B128" s="3587"/>
      <c r="C128" s="2838" t="s">
        <v>2770</v>
      </c>
      <c r="D128" s="2812" t="s">
        <v>2771</v>
      </c>
      <c r="E128" s="2838">
        <v>0.1</v>
      </c>
      <c r="F128" s="2838">
        <v>15</v>
      </c>
    </row>
    <row r="129" spans="1:6" ht="24">
      <c r="A129" s="2838">
        <v>57</v>
      </c>
      <c r="B129" s="3587"/>
      <c r="C129" s="2838" t="s">
        <v>2772</v>
      </c>
      <c r="D129" s="2812" t="s">
        <v>2773</v>
      </c>
      <c r="E129" s="2838">
        <v>0.1</v>
      </c>
      <c r="F129" s="2838">
        <v>15</v>
      </c>
    </row>
    <row r="130" spans="1:6" ht="24">
      <c r="A130" s="2838">
        <v>58</v>
      </c>
      <c r="B130" s="3587" t="s">
        <v>2774</v>
      </c>
      <c r="C130" s="2838" t="s">
        <v>2775</v>
      </c>
      <c r="D130" s="2812" t="s">
        <v>2776</v>
      </c>
      <c r="E130" s="2838">
        <v>0.1</v>
      </c>
      <c r="F130" s="2838">
        <v>15</v>
      </c>
    </row>
    <row r="131" spans="1:6" ht="13.5">
      <c r="A131" s="2838">
        <v>59</v>
      </c>
      <c r="B131" s="3587"/>
      <c r="C131" s="2838" t="s">
        <v>2777</v>
      </c>
      <c r="D131" s="2812" t="s">
        <v>2778</v>
      </c>
      <c r="E131" s="2838">
        <v>0.1</v>
      </c>
      <c r="F131" s="2838">
        <v>15</v>
      </c>
    </row>
    <row r="132" spans="1:6" ht="13.5">
      <c r="A132" s="2838">
        <v>60</v>
      </c>
      <c r="B132" s="3588" t="s">
        <v>2779</v>
      </c>
      <c r="C132" s="2838" t="s">
        <v>2780</v>
      </c>
      <c r="D132" s="2812" t="s">
        <v>2781</v>
      </c>
      <c r="E132" s="2838">
        <v>0.1</v>
      </c>
      <c r="F132" s="2838">
        <v>15</v>
      </c>
    </row>
    <row r="133" spans="1:6" ht="13.5">
      <c r="A133" s="2838">
        <v>61</v>
      </c>
      <c r="B133" s="3589"/>
      <c r="C133" s="2838" t="s">
        <v>2782</v>
      </c>
      <c r="D133" s="2812" t="s">
        <v>2783</v>
      </c>
      <c r="E133" s="2838">
        <v>0.1</v>
      </c>
      <c r="F133" s="2838">
        <v>15</v>
      </c>
    </row>
    <row r="134" spans="1:6" ht="24">
      <c r="A134" s="2838">
        <v>62</v>
      </c>
      <c r="B134" s="2838" t="s">
        <v>2784</v>
      </c>
      <c r="C134" s="2838" t="s">
        <v>2785</v>
      </c>
      <c r="D134" s="2812" t="s">
        <v>2786</v>
      </c>
      <c r="E134" s="2838">
        <v>0.1</v>
      </c>
      <c r="F134" s="2838">
        <v>15</v>
      </c>
    </row>
    <row r="135" spans="1:6" ht="13.5">
      <c r="A135" s="2838">
        <v>63</v>
      </c>
      <c r="B135" s="3587" t="s">
        <v>2787</v>
      </c>
      <c r="C135" s="2838" t="s">
        <v>2788</v>
      </c>
      <c r="D135" s="2812" t="s">
        <v>2789</v>
      </c>
      <c r="E135" s="2838">
        <v>0.1</v>
      </c>
      <c r="F135" s="2838">
        <v>15</v>
      </c>
    </row>
    <row r="136" spans="1:6" ht="13.5">
      <c r="A136" s="2838">
        <v>64</v>
      </c>
      <c r="B136" s="3587"/>
      <c r="C136" s="2838" t="s">
        <v>2790</v>
      </c>
      <c r="D136" s="2812" t="s">
        <v>2791</v>
      </c>
      <c r="E136" s="2838">
        <v>0.1</v>
      </c>
      <c r="F136" s="2838">
        <v>15</v>
      </c>
    </row>
    <row r="137" spans="1:6" ht="13.5">
      <c r="A137" s="2838">
        <v>65</v>
      </c>
      <c r="B137" s="2838" t="s">
        <v>2792</v>
      </c>
      <c r="C137" s="2838" t="s">
        <v>2793</v>
      </c>
      <c r="D137" s="2812" t="s">
        <v>2794</v>
      </c>
      <c r="E137" s="2838">
        <v>0.1</v>
      </c>
      <c r="F137" s="2838">
        <v>15</v>
      </c>
    </row>
    <row r="138" spans="1:6" ht="13.5">
      <c r="A138" s="2838"/>
      <c r="B138" s="2838"/>
      <c r="C138" s="2838"/>
      <c r="D138" s="2838"/>
      <c r="E138" s="2838" t="s">
        <v>2795</v>
      </c>
      <c r="F138" s="283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0"/>
  </cols>
  <sheetData>
    <row r="1" spans="1:20" ht="15" thickBot="1">
      <c r="A1" s="2846" t="s">
        <v>2796</v>
      </c>
      <c r="B1" s="2846"/>
      <c r="C1" s="2846"/>
      <c r="D1" s="2846"/>
      <c r="E1" s="2846"/>
      <c r="F1" s="2846"/>
      <c r="G1" s="2846"/>
      <c r="H1" s="2846"/>
      <c r="I1" s="2846"/>
      <c r="J1" s="2846"/>
      <c r="K1" s="2846"/>
      <c r="L1" s="2846"/>
      <c r="M1" s="2846"/>
      <c r="N1" s="700"/>
    </row>
    <row r="2" spans="1:20">
      <c r="A2" s="2847" t="s">
        <v>2797</v>
      </c>
      <c r="B2" s="2848" t="s">
        <v>2593</v>
      </c>
      <c r="C2" s="2848" t="s">
        <v>2594</v>
      </c>
      <c r="D2" s="2848" t="s">
        <v>2595</v>
      </c>
      <c r="E2" s="2848" t="s">
        <v>2596</v>
      </c>
      <c r="F2" s="2848" t="s">
        <v>2597</v>
      </c>
      <c r="G2" s="2848" t="s">
        <v>2598</v>
      </c>
      <c r="H2" s="2849" t="s">
        <v>2599</v>
      </c>
      <c r="I2" s="2849" t="s">
        <v>2600</v>
      </c>
      <c r="J2" s="2850" t="s">
        <v>2601</v>
      </c>
      <c r="K2" s="2850" t="s">
        <v>2602</v>
      </c>
      <c r="L2" s="2850" t="s">
        <v>2603</v>
      </c>
      <c r="M2" s="2851" t="s">
        <v>2604</v>
      </c>
      <c r="Q2" s="2861" t="s">
        <v>2802</v>
      </c>
      <c r="R2" s="2861" t="s">
        <v>2803</v>
      </c>
      <c r="S2" s="2861" t="s">
        <v>2804</v>
      </c>
      <c r="T2" s="2861" t="s">
        <v>2805</v>
      </c>
    </row>
    <row r="3" spans="1:20">
      <c r="A3" s="2852">
        <v>1</v>
      </c>
      <c r="B3" s="2853">
        <v>1.2574000000000001</v>
      </c>
      <c r="C3" s="2853">
        <v>1.2574000000000001</v>
      </c>
      <c r="D3" s="2853">
        <v>1.2299</v>
      </c>
      <c r="E3" s="2853">
        <v>1.2299</v>
      </c>
      <c r="F3" s="2853">
        <v>1.2299</v>
      </c>
      <c r="G3" s="2853">
        <v>1.2299</v>
      </c>
      <c r="H3" s="2853">
        <v>1.2299</v>
      </c>
      <c r="I3" s="2853">
        <v>1.2333000000000001</v>
      </c>
      <c r="J3" s="2853">
        <v>1.2333000000000001</v>
      </c>
      <c r="K3" s="2853">
        <v>1.2333000000000001</v>
      </c>
      <c r="L3" s="2853">
        <v>1.2333000000000001</v>
      </c>
      <c r="M3" s="2854">
        <v>1.2333000000000001</v>
      </c>
      <c r="Q3" s="2861">
        <v>10</v>
      </c>
      <c r="R3" s="2861">
        <f>ROUND(0.9968-0.011*Q3,4)</f>
        <v>0.88680000000000003</v>
      </c>
      <c r="S3" s="2861">
        <f>ROUND(0.949-0.014*Q3,4)</f>
        <v>0.80900000000000005</v>
      </c>
      <c r="T3" s="2861">
        <f>ROUND(0.8486-0.018*Q3,4)</f>
        <v>0.66859999999999997</v>
      </c>
    </row>
    <row r="4" spans="1:20">
      <c r="A4" s="2852">
        <v>1.1000000000000001</v>
      </c>
      <c r="B4" s="2853">
        <v>1.2283999999999999</v>
      </c>
      <c r="C4" s="2853">
        <v>1.2283999999999999</v>
      </c>
      <c r="D4" s="2853">
        <v>1.1984999999999999</v>
      </c>
      <c r="E4" s="2853">
        <v>1.1984999999999999</v>
      </c>
      <c r="F4" s="2853">
        <v>1.1984999999999999</v>
      </c>
      <c r="G4" s="2853">
        <v>1.1984999999999999</v>
      </c>
      <c r="H4" s="2853">
        <v>1.1984999999999999</v>
      </c>
      <c r="I4" s="2853">
        <v>1.1899</v>
      </c>
      <c r="J4" s="2853">
        <v>1.1899</v>
      </c>
      <c r="K4" s="2853">
        <v>1.1899</v>
      </c>
      <c r="L4" s="2853">
        <v>1.1899</v>
      </c>
      <c r="M4" s="2854">
        <v>1.1899</v>
      </c>
    </row>
    <row r="5" spans="1:20">
      <c r="A5" s="2852">
        <v>1.2</v>
      </c>
      <c r="B5" s="2853">
        <v>1.2031000000000001</v>
      </c>
      <c r="C5" s="2853">
        <v>1.2031000000000001</v>
      </c>
      <c r="D5" s="2853">
        <v>1.1711</v>
      </c>
      <c r="E5" s="2853">
        <v>1.1711</v>
      </c>
      <c r="F5" s="2853">
        <v>1.1711</v>
      </c>
      <c r="G5" s="2853">
        <v>1.1711</v>
      </c>
      <c r="H5" s="2853">
        <v>1.1711</v>
      </c>
      <c r="I5" s="2853">
        <v>1.1528</v>
      </c>
      <c r="J5" s="2853">
        <v>1.1528</v>
      </c>
      <c r="K5" s="2853">
        <v>1.1528</v>
      </c>
      <c r="L5" s="2853">
        <v>1.1528</v>
      </c>
      <c r="M5" s="2854">
        <v>1.1528</v>
      </c>
    </row>
    <row r="6" spans="1:20">
      <c r="A6" s="2852">
        <v>1.3</v>
      </c>
      <c r="B6" s="2853">
        <v>1.1811</v>
      </c>
      <c r="C6" s="2853">
        <v>1.1811</v>
      </c>
      <c r="D6" s="2853">
        <v>1.1472</v>
      </c>
      <c r="E6" s="2853">
        <v>1.1472</v>
      </c>
      <c r="F6" s="2853">
        <v>1.1472</v>
      </c>
      <c r="G6" s="2853">
        <v>1.1472</v>
      </c>
      <c r="H6" s="2853">
        <v>1.1472</v>
      </c>
      <c r="I6" s="2853">
        <v>1.1214</v>
      </c>
      <c r="J6" s="2853">
        <v>1.1214</v>
      </c>
      <c r="K6" s="2853">
        <v>1.1214</v>
      </c>
      <c r="L6" s="2853">
        <v>1.1214</v>
      </c>
      <c r="M6" s="2854">
        <v>1.1214</v>
      </c>
    </row>
    <row r="7" spans="1:20">
      <c r="A7" s="2852">
        <v>1.4</v>
      </c>
      <c r="B7" s="2853">
        <v>1.1619999999999999</v>
      </c>
      <c r="C7" s="2853">
        <v>1.1619999999999999</v>
      </c>
      <c r="D7" s="2853">
        <v>1.1265000000000001</v>
      </c>
      <c r="E7" s="2853">
        <v>1.1265000000000001</v>
      </c>
      <c r="F7" s="2853">
        <v>1.1265000000000001</v>
      </c>
      <c r="G7" s="2853">
        <v>1.1265000000000001</v>
      </c>
      <c r="H7" s="2853">
        <v>1.1265000000000001</v>
      </c>
      <c r="I7" s="2853">
        <v>1.0948</v>
      </c>
      <c r="J7" s="2853">
        <v>1.0948</v>
      </c>
      <c r="K7" s="2853">
        <v>1.0948</v>
      </c>
      <c r="L7" s="2853">
        <v>1.0948</v>
      </c>
      <c r="M7" s="2854">
        <v>1.0948</v>
      </c>
    </row>
    <row r="8" spans="1:20">
      <c r="A8" s="2852">
        <v>1.5</v>
      </c>
      <c r="B8" s="2853">
        <v>1.1453</v>
      </c>
      <c r="C8" s="2853">
        <v>1.1453</v>
      </c>
      <c r="D8" s="2853">
        <v>1.1084000000000001</v>
      </c>
      <c r="E8" s="2853">
        <v>1.1084000000000001</v>
      </c>
      <c r="F8" s="2853">
        <v>1.1084000000000001</v>
      </c>
      <c r="G8" s="2853">
        <v>1.1084000000000001</v>
      </c>
      <c r="H8" s="2853">
        <v>1.1084000000000001</v>
      </c>
      <c r="I8" s="2853">
        <v>1.0725</v>
      </c>
      <c r="J8" s="2853">
        <v>1.0725</v>
      </c>
      <c r="K8" s="2853">
        <v>1.0725</v>
      </c>
      <c r="L8" s="2853">
        <v>1.0725</v>
      </c>
      <c r="M8" s="2854">
        <v>1.0725</v>
      </c>
    </row>
    <row r="9" spans="1:20">
      <c r="A9" s="2852">
        <v>1.6</v>
      </c>
      <c r="B9" s="2853">
        <v>1.1306</v>
      </c>
      <c r="C9" s="2853">
        <v>1.1306</v>
      </c>
      <c r="D9" s="2853">
        <v>1.0924</v>
      </c>
      <c r="E9" s="2853">
        <v>1.0924</v>
      </c>
      <c r="F9" s="2853">
        <v>1.0924</v>
      </c>
      <c r="G9" s="2853">
        <v>1.0924</v>
      </c>
      <c r="H9" s="2853">
        <v>1.0924</v>
      </c>
      <c r="I9" s="2853">
        <v>1.0538000000000001</v>
      </c>
      <c r="J9" s="2853">
        <v>1.0538000000000001</v>
      </c>
      <c r="K9" s="2853">
        <v>1.0538000000000001</v>
      </c>
      <c r="L9" s="2853">
        <v>1.0538000000000001</v>
      </c>
      <c r="M9" s="2854">
        <v>1.0538000000000001</v>
      </c>
    </row>
    <row r="10" spans="1:20">
      <c r="A10" s="2852">
        <v>1.7</v>
      </c>
      <c r="B10" s="2853">
        <v>1.1175999999999999</v>
      </c>
      <c r="C10" s="2853">
        <v>1.1175999999999999</v>
      </c>
      <c r="D10" s="2853">
        <v>1.0783</v>
      </c>
      <c r="E10" s="2853">
        <v>1.0783</v>
      </c>
      <c r="F10" s="2853">
        <v>1.0783</v>
      </c>
      <c r="G10" s="2853">
        <v>1.0783</v>
      </c>
      <c r="H10" s="2853">
        <v>1.0783</v>
      </c>
      <c r="I10" s="2853">
        <v>1.0379</v>
      </c>
      <c r="J10" s="2853">
        <v>1.0379</v>
      </c>
      <c r="K10" s="2853">
        <v>1.0379</v>
      </c>
      <c r="L10" s="2853">
        <v>1.0379</v>
      </c>
      <c r="M10" s="2854">
        <v>1.0379</v>
      </c>
    </row>
    <row r="11" spans="1:20">
      <c r="A11" s="2852">
        <v>1.8</v>
      </c>
      <c r="B11" s="2853">
        <v>1.1057999999999999</v>
      </c>
      <c r="C11" s="2853">
        <v>1.1057999999999999</v>
      </c>
      <c r="D11" s="2853">
        <v>1.0653999999999999</v>
      </c>
      <c r="E11" s="2853">
        <v>1.0653999999999999</v>
      </c>
      <c r="F11" s="2853">
        <v>1.0653999999999999</v>
      </c>
      <c r="G11" s="2853">
        <v>1.0653999999999999</v>
      </c>
      <c r="H11" s="2853">
        <v>1.0653999999999999</v>
      </c>
      <c r="I11" s="2853">
        <v>1.0241</v>
      </c>
      <c r="J11" s="2853">
        <v>1.0241</v>
      </c>
      <c r="K11" s="2853">
        <v>1.0241</v>
      </c>
      <c r="L11" s="2853">
        <v>1.0241</v>
      </c>
      <c r="M11" s="2854">
        <v>1.0241</v>
      </c>
    </row>
    <row r="12" spans="1:20">
      <c r="A12" s="2852">
        <v>1.9</v>
      </c>
      <c r="B12" s="2853">
        <v>1.0949</v>
      </c>
      <c r="C12" s="2853">
        <v>1.0949</v>
      </c>
      <c r="D12" s="2853">
        <v>1.0537000000000001</v>
      </c>
      <c r="E12" s="2853">
        <v>1.0537000000000001</v>
      </c>
      <c r="F12" s="2853">
        <v>1.0537000000000001</v>
      </c>
      <c r="G12" s="2853">
        <v>1.0537000000000001</v>
      </c>
      <c r="H12" s="2853">
        <v>1.0537000000000001</v>
      </c>
      <c r="I12" s="2853">
        <v>1.0117</v>
      </c>
      <c r="J12" s="2853">
        <v>1.0117</v>
      </c>
      <c r="K12" s="2853">
        <v>1.0117</v>
      </c>
      <c r="L12" s="2853">
        <v>1.0117</v>
      </c>
      <c r="M12" s="2854">
        <v>1.0117</v>
      </c>
    </row>
    <row r="13" spans="1:20">
      <c r="A13" s="2852">
        <v>2</v>
      </c>
      <c r="B13" s="2853">
        <v>1.0847</v>
      </c>
      <c r="C13" s="2853">
        <v>1.0847</v>
      </c>
      <c r="D13" s="2853">
        <v>1.0427</v>
      </c>
      <c r="E13" s="2853">
        <v>1.0427</v>
      </c>
      <c r="F13" s="2853">
        <v>1.0427</v>
      </c>
      <c r="G13" s="2853">
        <v>1.0427</v>
      </c>
      <c r="H13" s="2853">
        <v>1.0427</v>
      </c>
      <c r="I13" s="2853">
        <v>1</v>
      </c>
      <c r="J13" s="2853">
        <v>1</v>
      </c>
      <c r="K13" s="2853">
        <v>1</v>
      </c>
      <c r="L13" s="2853">
        <v>1</v>
      </c>
      <c r="M13" s="2854">
        <v>1</v>
      </c>
    </row>
    <row r="14" spans="1:20">
      <c r="A14" s="2855">
        <v>2.1</v>
      </c>
      <c r="B14" s="2853">
        <v>1.0749</v>
      </c>
      <c r="C14" s="2853">
        <v>1.0749</v>
      </c>
      <c r="D14" s="2853">
        <v>1.0327999999999999</v>
      </c>
      <c r="E14" s="2853">
        <v>1.0327999999999999</v>
      </c>
      <c r="F14" s="2853">
        <v>1.0327999999999999</v>
      </c>
      <c r="G14" s="2853">
        <v>1.0327999999999999</v>
      </c>
      <c r="H14" s="2853">
        <v>1.0327999999999999</v>
      </c>
      <c r="I14" s="2853">
        <v>0.98819999999999997</v>
      </c>
      <c r="J14" s="2853">
        <v>0.98819999999999997</v>
      </c>
      <c r="K14" s="2853">
        <v>0.98819999999999997</v>
      </c>
      <c r="L14" s="2853">
        <v>0.98819999999999997</v>
      </c>
      <c r="M14" s="2854">
        <v>0.98819999999999997</v>
      </c>
    </row>
    <row r="15" spans="1:20">
      <c r="A15" s="2855">
        <v>2.2000000000000002</v>
      </c>
      <c r="B15" s="2853">
        <v>1.0663</v>
      </c>
      <c r="C15" s="2853">
        <v>1.0663</v>
      </c>
      <c r="D15" s="2853">
        <v>1.0237000000000001</v>
      </c>
      <c r="E15" s="2853">
        <v>1.0237000000000001</v>
      </c>
      <c r="F15" s="2853">
        <v>1.0237000000000001</v>
      </c>
      <c r="G15" s="2853">
        <v>1.0237000000000001</v>
      </c>
      <c r="H15" s="2853">
        <v>1.0237000000000001</v>
      </c>
      <c r="I15" s="2853">
        <v>0.9768</v>
      </c>
      <c r="J15" s="2853">
        <v>0.9768</v>
      </c>
      <c r="K15" s="2853">
        <v>0.9768</v>
      </c>
      <c r="L15" s="2853">
        <v>0.9768</v>
      </c>
      <c r="M15" s="2854">
        <v>0.9768</v>
      </c>
    </row>
    <row r="16" spans="1:20">
      <c r="A16" s="2855">
        <v>2.2999999999999998</v>
      </c>
      <c r="B16" s="2853">
        <v>1.0584</v>
      </c>
      <c r="C16" s="2853">
        <v>1.0584</v>
      </c>
      <c r="D16" s="2853">
        <v>1.0152000000000001</v>
      </c>
      <c r="E16" s="2853">
        <v>1.0152000000000001</v>
      </c>
      <c r="F16" s="2853">
        <v>1.0152000000000001</v>
      </c>
      <c r="G16" s="2853">
        <v>1.0152000000000001</v>
      </c>
      <c r="H16" s="2853">
        <v>1.0152000000000001</v>
      </c>
      <c r="I16" s="2853">
        <v>0.96609999999999996</v>
      </c>
      <c r="J16" s="2853">
        <v>0.96609999999999996</v>
      </c>
      <c r="K16" s="2853">
        <v>0.96609999999999996</v>
      </c>
      <c r="L16" s="2853">
        <v>0.96609999999999996</v>
      </c>
      <c r="M16" s="2854">
        <v>0.96609999999999996</v>
      </c>
    </row>
    <row r="17" spans="1:13">
      <c r="A17" s="2855">
        <v>2.4</v>
      </c>
      <c r="B17" s="2853">
        <v>1.0511999999999999</v>
      </c>
      <c r="C17" s="2853">
        <v>1.0511999999999999</v>
      </c>
      <c r="D17" s="2853">
        <v>1.0074000000000001</v>
      </c>
      <c r="E17" s="2853">
        <v>1.0074000000000001</v>
      </c>
      <c r="F17" s="2853">
        <v>1.0074000000000001</v>
      </c>
      <c r="G17" s="2853">
        <v>1.0074000000000001</v>
      </c>
      <c r="H17" s="2853">
        <v>1.0074000000000001</v>
      </c>
      <c r="I17" s="2853">
        <v>0.95579999999999998</v>
      </c>
      <c r="J17" s="2853">
        <v>0.95579999999999998</v>
      </c>
      <c r="K17" s="2853">
        <v>0.95579999999999998</v>
      </c>
      <c r="L17" s="2853">
        <v>0.95579999999999998</v>
      </c>
      <c r="M17" s="2854">
        <v>0.95579999999999998</v>
      </c>
    </row>
    <row r="18" spans="1:13">
      <c r="A18" s="2855">
        <v>2.5</v>
      </c>
      <c r="B18" s="2853">
        <v>1.0445</v>
      </c>
      <c r="C18" s="2853">
        <v>1.0445</v>
      </c>
      <c r="D18" s="2853">
        <v>1</v>
      </c>
      <c r="E18" s="2853">
        <v>1</v>
      </c>
      <c r="F18" s="2853">
        <v>1</v>
      </c>
      <c r="G18" s="2853">
        <v>1</v>
      </c>
      <c r="H18" s="2853">
        <v>1</v>
      </c>
      <c r="I18" s="2853">
        <v>0.94620000000000004</v>
      </c>
      <c r="J18" s="2853">
        <v>0.94620000000000004</v>
      </c>
      <c r="K18" s="2853">
        <v>0.94620000000000004</v>
      </c>
      <c r="L18" s="2853">
        <v>0.94620000000000004</v>
      </c>
      <c r="M18" s="2854">
        <v>0.94620000000000004</v>
      </c>
    </row>
    <row r="19" spans="1:13">
      <c r="A19" s="2855">
        <v>2.6</v>
      </c>
      <c r="B19" s="2853">
        <v>1.0386</v>
      </c>
      <c r="C19" s="2853">
        <v>1.0386</v>
      </c>
      <c r="D19" s="2853">
        <v>0.99350000000000005</v>
      </c>
      <c r="E19" s="2853">
        <v>0.99350000000000005</v>
      </c>
      <c r="F19" s="2853">
        <v>0.99350000000000005</v>
      </c>
      <c r="G19" s="2853">
        <v>0.99350000000000005</v>
      </c>
      <c r="H19" s="2853">
        <v>0.99350000000000005</v>
      </c>
      <c r="I19" s="2853">
        <v>0.93710000000000004</v>
      </c>
      <c r="J19" s="2853">
        <v>0.93710000000000004</v>
      </c>
      <c r="K19" s="2853">
        <v>0.93710000000000004</v>
      </c>
      <c r="L19" s="2853">
        <v>0.93710000000000004</v>
      </c>
      <c r="M19" s="2854">
        <v>0.93710000000000004</v>
      </c>
    </row>
    <row r="20" spans="1:13">
      <c r="A20" s="2855">
        <v>2.7</v>
      </c>
      <c r="B20" s="2853">
        <v>1.0331999999999999</v>
      </c>
      <c r="C20" s="2853">
        <v>1.0331999999999999</v>
      </c>
      <c r="D20" s="2853">
        <v>0.98770000000000002</v>
      </c>
      <c r="E20" s="2853">
        <v>0.98770000000000002</v>
      </c>
      <c r="F20" s="2853">
        <v>0.98770000000000002</v>
      </c>
      <c r="G20" s="2853">
        <v>0.98770000000000002</v>
      </c>
      <c r="H20" s="2853">
        <v>0.98770000000000002</v>
      </c>
      <c r="I20" s="2853">
        <v>0.92859999999999998</v>
      </c>
      <c r="J20" s="2853">
        <v>0.92859999999999998</v>
      </c>
      <c r="K20" s="2853">
        <v>0.92859999999999998</v>
      </c>
      <c r="L20" s="2853">
        <v>0.92859999999999998</v>
      </c>
      <c r="M20" s="2854">
        <v>0.92859999999999998</v>
      </c>
    </row>
    <row r="21" spans="1:13">
      <c r="A21" s="2855">
        <v>2.8</v>
      </c>
      <c r="B21" s="2853">
        <v>1.0282</v>
      </c>
      <c r="C21" s="2853">
        <v>1.0282</v>
      </c>
      <c r="D21" s="2853">
        <v>0.98260000000000003</v>
      </c>
      <c r="E21" s="2853">
        <v>0.98260000000000003</v>
      </c>
      <c r="F21" s="2853">
        <v>0.98260000000000003</v>
      </c>
      <c r="G21" s="2853">
        <v>0.98260000000000003</v>
      </c>
      <c r="H21" s="2853">
        <v>0.98260000000000003</v>
      </c>
      <c r="I21" s="2853">
        <v>0.92069999999999996</v>
      </c>
      <c r="J21" s="2853">
        <v>0.92069999999999996</v>
      </c>
      <c r="K21" s="2853">
        <v>0.92069999999999996</v>
      </c>
      <c r="L21" s="2853">
        <v>0.92069999999999996</v>
      </c>
      <c r="M21" s="2854">
        <v>0.92069999999999996</v>
      </c>
    </row>
    <row r="22" spans="1:13">
      <c r="A22" s="2855">
        <v>2.9</v>
      </c>
      <c r="B22" s="2853">
        <v>1.0235000000000001</v>
      </c>
      <c r="C22" s="2853">
        <v>1.0235000000000001</v>
      </c>
      <c r="D22" s="2853">
        <v>0.97770000000000001</v>
      </c>
      <c r="E22" s="2853">
        <v>0.97770000000000001</v>
      </c>
      <c r="F22" s="2853">
        <v>0.97770000000000001</v>
      </c>
      <c r="G22" s="2853">
        <v>0.97770000000000001</v>
      </c>
      <c r="H22" s="2853">
        <v>0.97770000000000001</v>
      </c>
      <c r="I22" s="2853">
        <v>0.9133</v>
      </c>
      <c r="J22" s="2853">
        <v>0.9133</v>
      </c>
      <c r="K22" s="2853">
        <v>0.9133</v>
      </c>
      <c r="L22" s="2853">
        <v>0.9133</v>
      </c>
      <c r="M22" s="2854">
        <v>0.9133</v>
      </c>
    </row>
    <row r="23" spans="1:13">
      <c r="A23" s="2855">
        <v>3</v>
      </c>
      <c r="B23" s="2853">
        <v>1.0190999999999999</v>
      </c>
      <c r="C23" s="2853">
        <v>1.0190999999999999</v>
      </c>
      <c r="D23" s="2853">
        <v>0.97299999999999998</v>
      </c>
      <c r="E23" s="2853">
        <v>0.97299999999999998</v>
      </c>
      <c r="F23" s="2853">
        <v>0.97299999999999998</v>
      </c>
      <c r="G23" s="2853">
        <v>0.97299999999999998</v>
      </c>
      <c r="H23" s="2853">
        <v>0.97299999999999998</v>
      </c>
      <c r="I23" s="2853">
        <v>0.90629999999999999</v>
      </c>
      <c r="J23" s="2853">
        <v>0.90629999999999999</v>
      </c>
      <c r="K23" s="2853">
        <v>0.90629999999999999</v>
      </c>
      <c r="L23" s="2853">
        <v>0.90629999999999999</v>
      </c>
      <c r="M23" s="2854">
        <v>0.90629999999999999</v>
      </c>
    </row>
    <row r="24" spans="1:13">
      <c r="A24" s="2855">
        <v>3.1</v>
      </c>
      <c r="B24" s="2853">
        <v>1.0148999999999999</v>
      </c>
      <c r="C24" s="2853">
        <v>1.0148999999999999</v>
      </c>
      <c r="D24" s="2853">
        <v>0.96840000000000004</v>
      </c>
      <c r="E24" s="2853">
        <v>0.96840000000000004</v>
      </c>
      <c r="F24" s="2853">
        <v>0.96840000000000004</v>
      </c>
      <c r="G24" s="2853">
        <v>0.96840000000000004</v>
      </c>
      <c r="H24" s="2853">
        <v>0.96840000000000004</v>
      </c>
      <c r="I24" s="2853">
        <v>0.89959999999999996</v>
      </c>
      <c r="J24" s="2853">
        <v>0.89959999999999996</v>
      </c>
      <c r="K24" s="2853">
        <v>0.89959999999999996</v>
      </c>
      <c r="L24" s="2853">
        <v>0.89959999999999996</v>
      </c>
      <c r="M24" s="2854">
        <v>0.89959999999999996</v>
      </c>
    </row>
    <row r="25" spans="1:13">
      <c r="A25" s="2855">
        <v>3.2</v>
      </c>
      <c r="B25" s="2853">
        <v>1.0108999999999999</v>
      </c>
      <c r="C25" s="2853">
        <v>1.0108999999999999</v>
      </c>
      <c r="D25" s="2853">
        <v>0.96399999999999997</v>
      </c>
      <c r="E25" s="2853">
        <v>0.96399999999999997</v>
      </c>
      <c r="F25" s="2853">
        <v>0.96399999999999997</v>
      </c>
      <c r="G25" s="2853">
        <v>0.96399999999999997</v>
      </c>
      <c r="H25" s="2853">
        <v>0.96399999999999997</v>
      </c>
      <c r="I25" s="2853">
        <v>0.89319999999999999</v>
      </c>
      <c r="J25" s="2853">
        <v>0.89319999999999999</v>
      </c>
      <c r="K25" s="2853">
        <v>0.89319999999999999</v>
      </c>
      <c r="L25" s="2853">
        <v>0.89319999999999999</v>
      </c>
      <c r="M25" s="2854">
        <v>0.89319999999999999</v>
      </c>
    </row>
    <row r="26" spans="1:13">
      <c r="A26" s="2855">
        <v>3.3</v>
      </c>
      <c r="B26" s="2853">
        <v>1.0071000000000001</v>
      </c>
      <c r="C26" s="2853">
        <v>1.0071000000000001</v>
      </c>
      <c r="D26" s="2853">
        <v>0.95979999999999999</v>
      </c>
      <c r="E26" s="2853">
        <v>0.95979999999999999</v>
      </c>
      <c r="F26" s="2853">
        <v>0.95979999999999999</v>
      </c>
      <c r="G26" s="2853">
        <v>0.95979999999999999</v>
      </c>
      <c r="H26" s="2853">
        <v>0.95979999999999999</v>
      </c>
      <c r="I26" s="2853">
        <v>0.8871</v>
      </c>
      <c r="J26" s="2853">
        <v>0.8871</v>
      </c>
      <c r="K26" s="2853">
        <v>0.8871</v>
      </c>
      <c r="L26" s="2853">
        <v>0.8871</v>
      </c>
      <c r="M26" s="2854">
        <v>0.8871</v>
      </c>
    </row>
    <row r="27" spans="1:13">
      <c r="A27" s="2855">
        <v>3.4</v>
      </c>
      <c r="B27" s="2853">
        <v>1.0035000000000001</v>
      </c>
      <c r="C27" s="2853">
        <v>1.0035000000000001</v>
      </c>
      <c r="D27" s="2853">
        <v>0.95579999999999998</v>
      </c>
      <c r="E27" s="2853">
        <v>0.95579999999999998</v>
      </c>
      <c r="F27" s="2853">
        <v>0.95579999999999998</v>
      </c>
      <c r="G27" s="2853">
        <v>0.95579999999999998</v>
      </c>
      <c r="H27" s="2853">
        <v>0.95579999999999998</v>
      </c>
      <c r="I27" s="2853">
        <v>0.88119999999999998</v>
      </c>
      <c r="J27" s="2853">
        <v>0.88119999999999998</v>
      </c>
      <c r="K27" s="2853">
        <v>0.88119999999999998</v>
      </c>
      <c r="L27" s="2853">
        <v>0.88119999999999998</v>
      </c>
      <c r="M27" s="2854">
        <v>0.88119999999999998</v>
      </c>
    </row>
    <row r="28" spans="1:13">
      <c r="A28" s="2855">
        <v>3.5</v>
      </c>
      <c r="B28" s="2853">
        <v>1</v>
      </c>
      <c r="C28" s="2853">
        <v>1</v>
      </c>
      <c r="D28" s="2853">
        <v>0.95199999999999996</v>
      </c>
      <c r="E28" s="2853">
        <v>0.95199999999999996</v>
      </c>
      <c r="F28" s="2853">
        <v>0.95199999999999996</v>
      </c>
      <c r="G28" s="2853">
        <v>0.95199999999999996</v>
      </c>
      <c r="H28" s="2853">
        <v>0.95199999999999996</v>
      </c>
      <c r="I28" s="2853">
        <v>0.87549999999999994</v>
      </c>
      <c r="J28" s="2853">
        <v>0.87549999999999994</v>
      </c>
      <c r="K28" s="2853">
        <v>0.87549999999999994</v>
      </c>
      <c r="L28" s="2853">
        <v>0.87549999999999994</v>
      </c>
      <c r="M28" s="2854">
        <v>0.87549999999999994</v>
      </c>
    </row>
    <row r="29" spans="1:13">
      <c r="A29" s="2855">
        <v>3.6</v>
      </c>
      <c r="B29" s="2853">
        <v>0.99660000000000004</v>
      </c>
      <c r="C29" s="2853">
        <v>0.99660000000000004</v>
      </c>
      <c r="D29" s="2853">
        <v>0.94840000000000002</v>
      </c>
      <c r="E29" s="2853">
        <v>0.94840000000000002</v>
      </c>
      <c r="F29" s="2853">
        <v>0.94840000000000002</v>
      </c>
      <c r="G29" s="2853">
        <v>0.94840000000000002</v>
      </c>
      <c r="H29" s="2853">
        <v>0.94840000000000002</v>
      </c>
      <c r="I29" s="2853">
        <v>0.87</v>
      </c>
      <c r="J29" s="2853">
        <v>0.87</v>
      </c>
      <c r="K29" s="2853">
        <v>0.87</v>
      </c>
      <c r="L29" s="2853">
        <v>0.87</v>
      </c>
      <c r="M29" s="2854">
        <v>0.87</v>
      </c>
    </row>
    <row r="30" spans="1:13">
      <c r="A30" s="2855">
        <v>3.7</v>
      </c>
      <c r="B30" s="2853">
        <v>0.99329999999999996</v>
      </c>
      <c r="C30" s="2853">
        <v>0.99329999999999996</v>
      </c>
      <c r="D30" s="2853">
        <v>0.94499999999999995</v>
      </c>
      <c r="E30" s="2853">
        <v>0.94499999999999995</v>
      </c>
      <c r="F30" s="2853">
        <v>0.94499999999999995</v>
      </c>
      <c r="G30" s="2853">
        <v>0.94499999999999995</v>
      </c>
      <c r="H30" s="2853">
        <v>0.94499999999999995</v>
      </c>
      <c r="I30" s="2853">
        <v>0.86470000000000002</v>
      </c>
      <c r="J30" s="2853">
        <v>0.86470000000000002</v>
      </c>
      <c r="K30" s="2853">
        <v>0.86470000000000002</v>
      </c>
      <c r="L30" s="2853">
        <v>0.86470000000000002</v>
      </c>
      <c r="M30" s="2854">
        <v>0.86470000000000002</v>
      </c>
    </row>
    <row r="31" spans="1:13">
      <c r="A31" s="2855">
        <v>3.8</v>
      </c>
      <c r="B31" s="2853">
        <v>0.99009999999999998</v>
      </c>
      <c r="C31" s="2853">
        <v>0.99009999999999998</v>
      </c>
      <c r="D31" s="2853">
        <v>0.94169999999999998</v>
      </c>
      <c r="E31" s="2853">
        <v>0.94169999999999998</v>
      </c>
      <c r="F31" s="2853">
        <v>0.94169999999999998</v>
      </c>
      <c r="G31" s="2853">
        <v>0.94169999999999998</v>
      </c>
      <c r="H31" s="2853">
        <v>0.94169999999999998</v>
      </c>
      <c r="I31" s="2853">
        <v>0.85960000000000003</v>
      </c>
      <c r="J31" s="2853">
        <v>0.85960000000000003</v>
      </c>
      <c r="K31" s="2853">
        <v>0.85960000000000003</v>
      </c>
      <c r="L31" s="2853">
        <v>0.85960000000000003</v>
      </c>
      <c r="M31" s="2854">
        <v>0.85960000000000003</v>
      </c>
    </row>
    <row r="32" spans="1:13">
      <c r="A32" s="2855">
        <v>3.9</v>
      </c>
      <c r="B32" s="2853">
        <v>0.98699999999999999</v>
      </c>
      <c r="C32" s="2853">
        <v>0.98699999999999999</v>
      </c>
      <c r="D32" s="2853">
        <v>0.9385</v>
      </c>
      <c r="E32" s="2853">
        <v>0.9385</v>
      </c>
      <c r="F32" s="2853">
        <v>0.9385</v>
      </c>
      <c r="G32" s="2853">
        <v>0.9385</v>
      </c>
      <c r="H32" s="2853">
        <v>0.9385</v>
      </c>
      <c r="I32" s="2853">
        <v>0.85470000000000002</v>
      </c>
      <c r="J32" s="2853">
        <v>0.85470000000000002</v>
      </c>
      <c r="K32" s="2853">
        <v>0.85470000000000002</v>
      </c>
      <c r="L32" s="2853">
        <v>0.85470000000000002</v>
      </c>
      <c r="M32" s="2854">
        <v>0.85470000000000002</v>
      </c>
    </row>
    <row r="33" spans="1:13">
      <c r="A33" s="2855">
        <v>4</v>
      </c>
      <c r="B33" s="2853">
        <v>0.98399999999999999</v>
      </c>
      <c r="C33" s="2853">
        <v>0.98399999999999999</v>
      </c>
      <c r="D33" s="2853">
        <v>0.93540000000000001</v>
      </c>
      <c r="E33" s="2853">
        <v>0.93540000000000001</v>
      </c>
      <c r="F33" s="2853">
        <v>0.93540000000000001</v>
      </c>
      <c r="G33" s="2853">
        <v>0.93540000000000001</v>
      </c>
      <c r="H33" s="2853">
        <v>0.93540000000000001</v>
      </c>
      <c r="I33" s="2853">
        <v>0.84989999999999999</v>
      </c>
      <c r="J33" s="2853">
        <v>0.84989999999999999</v>
      </c>
      <c r="K33" s="2853">
        <v>0.84989999999999999</v>
      </c>
      <c r="L33" s="2853">
        <v>0.84989999999999999</v>
      </c>
      <c r="M33" s="2854">
        <v>0.84989999999999999</v>
      </c>
    </row>
    <row r="34" spans="1:13">
      <c r="A34" s="2855">
        <v>4.0999999999999996</v>
      </c>
      <c r="B34" s="2853">
        <v>0.98109999999999997</v>
      </c>
      <c r="C34" s="2853">
        <v>0.98109999999999997</v>
      </c>
      <c r="D34" s="2853">
        <v>0.93240000000000001</v>
      </c>
      <c r="E34" s="2853">
        <v>0.93240000000000001</v>
      </c>
      <c r="F34" s="2853">
        <v>0.93240000000000001</v>
      </c>
      <c r="G34" s="2853">
        <v>0.93240000000000001</v>
      </c>
      <c r="H34" s="2853">
        <v>0.93240000000000001</v>
      </c>
      <c r="I34" s="2853">
        <v>0.84519999999999995</v>
      </c>
      <c r="J34" s="2853">
        <v>0.84519999999999995</v>
      </c>
      <c r="K34" s="2853">
        <v>0.84519999999999995</v>
      </c>
      <c r="L34" s="2853">
        <v>0.84519999999999995</v>
      </c>
      <c r="M34" s="2854">
        <v>0.84519999999999995</v>
      </c>
    </row>
    <row r="35" spans="1:13">
      <c r="A35" s="2855">
        <v>4.2</v>
      </c>
      <c r="B35" s="2853">
        <v>0.97829999999999995</v>
      </c>
      <c r="C35" s="2853">
        <v>0.97829999999999995</v>
      </c>
      <c r="D35" s="2853">
        <v>0.92949999999999999</v>
      </c>
      <c r="E35" s="2853">
        <v>0.92949999999999999</v>
      </c>
      <c r="F35" s="2853">
        <v>0.92949999999999999</v>
      </c>
      <c r="G35" s="2853">
        <v>0.92949999999999999</v>
      </c>
      <c r="H35" s="2853">
        <v>0.92949999999999999</v>
      </c>
      <c r="I35" s="2853">
        <v>0.84060000000000001</v>
      </c>
      <c r="J35" s="2853">
        <v>0.84060000000000001</v>
      </c>
      <c r="K35" s="2853">
        <v>0.84060000000000001</v>
      </c>
      <c r="L35" s="2853">
        <v>0.84060000000000001</v>
      </c>
      <c r="M35" s="2854">
        <v>0.84060000000000001</v>
      </c>
    </row>
    <row r="36" spans="1:13">
      <c r="A36" s="2855">
        <v>4.3</v>
      </c>
      <c r="B36" s="2853">
        <v>0.97560000000000002</v>
      </c>
      <c r="C36" s="2853">
        <v>0.97560000000000002</v>
      </c>
      <c r="D36" s="2853">
        <v>0.92669999999999997</v>
      </c>
      <c r="E36" s="2853">
        <v>0.92669999999999997</v>
      </c>
      <c r="F36" s="2853">
        <v>0.92669999999999997</v>
      </c>
      <c r="G36" s="2853">
        <v>0.92669999999999997</v>
      </c>
      <c r="H36" s="2853">
        <v>0.92669999999999997</v>
      </c>
      <c r="I36" s="2853">
        <v>0.83609999999999995</v>
      </c>
      <c r="J36" s="2853">
        <v>0.83609999999999995</v>
      </c>
      <c r="K36" s="2853">
        <v>0.83609999999999995</v>
      </c>
      <c r="L36" s="2853">
        <v>0.83609999999999995</v>
      </c>
      <c r="M36" s="2854">
        <v>0.83609999999999995</v>
      </c>
    </row>
    <row r="37" spans="1:13">
      <c r="A37" s="2855">
        <v>4.4000000000000004</v>
      </c>
      <c r="B37" s="2853">
        <v>0.97299999999999998</v>
      </c>
      <c r="C37" s="2853">
        <v>0.97299999999999998</v>
      </c>
      <c r="D37" s="2853">
        <v>0.92400000000000004</v>
      </c>
      <c r="E37" s="2853">
        <v>0.92400000000000004</v>
      </c>
      <c r="F37" s="2853">
        <v>0.92400000000000004</v>
      </c>
      <c r="G37" s="2853">
        <v>0.92400000000000004</v>
      </c>
      <c r="H37" s="2853">
        <v>0.92400000000000004</v>
      </c>
      <c r="I37" s="2853">
        <v>0.83169999999999999</v>
      </c>
      <c r="J37" s="2853">
        <v>0.83169999999999999</v>
      </c>
      <c r="K37" s="2853">
        <v>0.83169999999999999</v>
      </c>
      <c r="L37" s="2853">
        <v>0.83169999999999999</v>
      </c>
      <c r="M37" s="2854">
        <v>0.83169999999999999</v>
      </c>
    </row>
    <row r="38" spans="1:13">
      <c r="A38" s="2855">
        <v>4.5</v>
      </c>
      <c r="B38" s="2853">
        <v>0.97050000000000003</v>
      </c>
      <c r="C38" s="2853">
        <v>0.97050000000000003</v>
      </c>
      <c r="D38" s="2853">
        <v>0.92130000000000001</v>
      </c>
      <c r="E38" s="2853">
        <v>0.92130000000000001</v>
      </c>
      <c r="F38" s="2853">
        <v>0.92130000000000001</v>
      </c>
      <c r="G38" s="2853">
        <v>0.92130000000000001</v>
      </c>
      <c r="H38" s="2853">
        <v>0.92130000000000001</v>
      </c>
      <c r="I38" s="2853">
        <v>0.82740000000000002</v>
      </c>
      <c r="J38" s="2853">
        <v>0.82740000000000002</v>
      </c>
      <c r="K38" s="2853">
        <v>0.82740000000000002</v>
      </c>
      <c r="L38" s="2853">
        <v>0.82740000000000002</v>
      </c>
      <c r="M38" s="2854">
        <v>0.82740000000000002</v>
      </c>
    </row>
    <row r="39" spans="1:13">
      <c r="A39" s="2855">
        <v>4.5999999999999996</v>
      </c>
      <c r="B39" s="2853">
        <v>0.96809999999999996</v>
      </c>
      <c r="C39" s="2853">
        <v>0.96809999999999996</v>
      </c>
      <c r="D39" s="2853">
        <v>0.91869999999999996</v>
      </c>
      <c r="E39" s="2853">
        <v>0.91869999999999996</v>
      </c>
      <c r="F39" s="2853">
        <v>0.91869999999999996</v>
      </c>
      <c r="G39" s="2853">
        <v>0.91869999999999996</v>
      </c>
      <c r="H39" s="2853">
        <v>0.91869999999999996</v>
      </c>
      <c r="I39" s="2853">
        <v>0.82320000000000004</v>
      </c>
      <c r="J39" s="2853">
        <v>0.82320000000000004</v>
      </c>
      <c r="K39" s="2853">
        <v>0.82320000000000004</v>
      </c>
      <c r="L39" s="2853">
        <v>0.82320000000000004</v>
      </c>
      <c r="M39" s="2854">
        <v>0.82320000000000004</v>
      </c>
    </row>
    <row r="40" spans="1:13">
      <c r="A40" s="2855">
        <v>4.7</v>
      </c>
      <c r="B40" s="2853">
        <v>0.96579999999999999</v>
      </c>
      <c r="C40" s="2853">
        <v>0.96579999999999999</v>
      </c>
      <c r="D40" s="2853">
        <v>0.91610000000000003</v>
      </c>
      <c r="E40" s="2853">
        <v>0.91610000000000003</v>
      </c>
      <c r="F40" s="2853">
        <v>0.91610000000000003</v>
      </c>
      <c r="G40" s="2853">
        <v>0.91610000000000003</v>
      </c>
      <c r="H40" s="2853">
        <v>0.91610000000000003</v>
      </c>
      <c r="I40" s="2853">
        <v>0.81910000000000005</v>
      </c>
      <c r="J40" s="2853">
        <v>0.81910000000000005</v>
      </c>
      <c r="K40" s="2853">
        <v>0.81910000000000005</v>
      </c>
      <c r="L40" s="2853">
        <v>0.81910000000000005</v>
      </c>
      <c r="M40" s="2854">
        <v>0.81910000000000005</v>
      </c>
    </row>
    <row r="41" spans="1:13">
      <c r="A41" s="2855">
        <v>4.8</v>
      </c>
      <c r="B41" s="2853">
        <v>0.96360000000000001</v>
      </c>
      <c r="C41" s="2853">
        <v>0.96360000000000001</v>
      </c>
      <c r="D41" s="2853">
        <v>0.91349999999999998</v>
      </c>
      <c r="E41" s="2853">
        <v>0.91349999999999998</v>
      </c>
      <c r="F41" s="2853">
        <v>0.91349999999999998</v>
      </c>
      <c r="G41" s="2853">
        <v>0.91349999999999998</v>
      </c>
      <c r="H41" s="2853">
        <v>0.91349999999999998</v>
      </c>
      <c r="I41" s="2853">
        <v>0.81510000000000005</v>
      </c>
      <c r="J41" s="2853">
        <v>0.81510000000000005</v>
      </c>
      <c r="K41" s="2853">
        <v>0.81510000000000005</v>
      </c>
      <c r="L41" s="2853">
        <v>0.81510000000000005</v>
      </c>
      <c r="M41" s="2854">
        <v>0.81510000000000005</v>
      </c>
    </row>
    <row r="42" spans="1:13">
      <c r="A42" s="2855">
        <v>4.9000000000000004</v>
      </c>
      <c r="B42" s="2853">
        <v>0.96150000000000002</v>
      </c>
      <c r="C42" s="2853">
        <v>0.96150000000000002</v>
      </c>
      <c r="D42" s="2853">
        <v>0.91100000000000003</v>
      </c>
      <c r="E42" s="2853">
        <v>0.91100000000000003</v>
      </c>
      <c r="F42" s="2853">
        <v>0.91100000000000003</v>
      </c>
      <c r="G42" s="2853">
        <v>0.91100000000000003</v>
      </c>
      <c r="H42" s="2853">
        <v>0.91100000000000003</v>
      </c>
      <c r="I42" s="2853">
        <v>0.81110000000000004</v>
      </c>
      <c r="J42" s="2853">
        <v>0.81110000000000004</v>
      </c>
      <c r="K42" s="2853">
        <v>0.81110000000000004</v>
      </c>
      <c r="L42" s="2853">
        <v>0.81110000000000004</v>
      </c>
      <c r="M42" s="2854">
        <v>0.81110000000000004</v>
      </c>
    </row>
    <row r="43" spans="1:13">
      <c r="A43" s="2855">
        <v>5</v>
      </c>
      <c r="B43" s="2853">
        <v>0.95940000000000003</v>
      </c>
      <c r="C43" s="2853">
        <v>0.95940000000000003</v>
      </c>
      <c r="D43" s="2853">
        <v>0.90849999999999997</v>
      </c>
      <c r="E43" s="2853">
        <v>0.90849999999999997</v>
      </c>
      <c r="F43" s="2853">
        <v>0.90849999999999997</v>
      </c>
      <c r="G43" s="2853">
        <v>0.90849999999999997</v>
      </c>
      <c r="H43" s="2853">
        <v>0.90849999999999997</v>
      </c>
      <c r="I43" s="2853">
        <v>0.80720000000000003</v>
      </c>
      <c r="J43" s="2853">
        <v>0.80720000000000003</v>
      </c>
      <c r="K43" s="2853">
        <v>0.80720000000000003</v>
      </c>
      <c r="L43" s="2853">
        <v>0.80720000000000003</v>
      </c>
      <c r="M43" s="2854">
        <v>0.80720000000000003</v>
      </c>
    </row>
    <row r="44" spans="1:13">
      <c r="A44" s="2852">
        <v>5.0999999999999996</v>
      </c>
      <c r="B44" s="2853">
        <v>0.95740000000000003</v>
      </c>
      <c r="C44" s="2853">
        <v>0.95740000000000003</v>
      </c>
      <c r="D44" s="2853">
        <v>0.90600000000000003</v>
      </c>
      <c r="E44" s="2853">
        <v>0.90600000000000003</v>
      </c>
      <c r="F44" s="2853">
        <v>0.90600000000000003</v>
      </c>
      <c r="G44" s="2853">
        <v>0.90600000000000003</v>
      </c>
      <c r="H44" s="2853">
        <v>0.90600000000000003</v>
      </c>
      <c r="I44" s="2853">
        <v>0.80330000000000001</v>
      </c>
      <c r="J44" s="2853">
        <v>0.80330000000000001</v>
      </c>
      <c r="K44" s="2853">
        <v>0.80330000000000001</v>
      </c>
      <c r="L44" s="2853">
        <v>0.80330000000000001</v>
      </c>
      <c r="M44" s="2854">
        <v>0.80330000000000001</v>
      </c>
    </row>
    <row r="45" spans="1:13">
      <c r="A45" s="2852">
        <v>5.2</v>
      </c>
      <c r="B45" s="2853">
        <v>0.95540000000000003</v>
      </c>
      <c r="C45" s="2853">
        <v>0.95540000000000003</v>
      </c>
      <c r="D45" s="2853">
        <v>0.90349999999999997</v>
      </c>
      <c r="E45" s="2853">
        <v>0.90349999999999997</v>
      </c>
      <c r="F45" s="2853">
        <v>0.90349999999999997</v>
      </c>
      <c r="G45" s="2853">
        <v>0.90349999999999997</v>
      </c>
      <c r="H45" s="2853">
        <v>0.90349999999999997</v>
      </c>
      <c r="I45" s="2853">
        <v>0.79949999999999999</v>
      </c>
      <c r="J45" s="2853">
        <v>0.79949999999999999</v>
      </c>
      <c r="K45" s="2853">
        <v>0.79949999999999999</v>
      </c>
      <c r="L45" s="2853">
        <v>0.79949999999999999</v>
      </c>
      <c r="M45" s="2854">
        <v>0.79949999999999999</v>
      </c>
    </row>
    <row r="46" spans="1:13">
      <c r="A46" s="2852">
        <v>5.3</v>
      </c>
      <c r="B46" s="2853">
        <v>0.95350000000000001</v>
      </c>
      <c r="C46" s="2853">
        <v>0.95350000000000001</v>
      </c>
      <c r="D46" s="2853">
        <v>0.90110000000000001</v>
      </c>
      <c r="E46" s="2853">
        <v>0.90110000000000001</v>
      </c>
      <c r="F46" s="2853">
        <v>0.90110000000000001</v>
      </c>
      <c r="G46" s="2853">
        <v>0.90110000000000001</v>
      </c>
      <c r="H46" s="2853">
        <v>0.90110000000000001</v>
      </c>
      <c r="I46" s="2853">
        <v>0.79569999999999996</v>
      </c>
      <c r="J46" s="2853">
        <v>0.79569999999999996</v>
      </c>
      <c r="K46" s="2853">
        <v>0.79569999999999996</v>
      </c>
      <c r="L46" s="2853">
        <v>0.79569999999999996</v>
      </c>
      <c r="M46" s="2854">
        <v>0.79569999999999996</v>
      </c>
    </row>
    <row r="47" spans="1:13">
      <c r="A47" s="2852">
        <v>5.4</v>
      </c>
      <c r="B47" s="2853">
        <v>0.9516</v>
      </c>
      <c r="C47" s="2853">
        <v>0.9516</v>
      </c>
      <c r="D47" s="2853">
        <v>0.89870000000000005</v>
      </c>
      <c r="E47" s="2853">
        <v>0.89870000000000005</v>
      </c>
      <c r="F47" s="2853">
        <v>0.89870000000000005</v>
      </c>
      <c r="G47" s="2853">
        <v>0.89870000000000005</v>
      </c>
      <c r="H47" s="2853">
        <v>0.89870000000000005</v>
      </c>
      <c r="I47" s="2853">
        <v>0.79200000000000004</v>
      </c>
      <c r="J47" s="2853">
        <v>0.79200000000000004</v>
      </c>
      <c r="K47" s="2853">
        <v>0.79200000000000004</v>
      </c>
      <c r="L47" s="2853">
        <v>0.79200000000000004</v>
      </c>
      <c r="M47" s="2854">
        <v>0.79200000000000004</v>
      </c>
    </row>
    <row r="48" spans="1:13">
      <c r="A48" s="2852">
        <v>5.5</v>
      </c>
      <c r="B48" s="2853">
        <v>0.94979999999999998</v>
      </c>
      <c r="C48" s="2853">
        <v>0.94979999999999998</v>
      </c>
      <c r="D48" s="2853">
        <v>0.89629999999999999</v>
      </c>
      <c r="E48" s="2853">
        <v>0.89629999999999999</v>
      </c>
      <c r="F48" s="2853">
        <v>0.89629999999999999</v>
      </c>
      <c r="G48" s="2853">
        <v>0.89629999999999999</v>
      </c>
      <c r="H48" s="2853">
        <v>0.89629999999999999</v>
      </c>
      <c r="I48" s="2853">
        <v>0.7883</v>
      </c>
      <c r="J48" s="2853">
        <v>0.7883</v>
      </c>
      <c r="K48" s="2853">
        <v>0.7883</v>
      </c>
      <c r="L48" s="2853">
        <v>0.7883</v>
      </c>
      <c r="M48" s="2854">
        <v>0.7883</v>
      </c>
    </row>
    <row r="49" spans="1:13">
      <c r="A49" s="2852">
        <v>5.6</v>
      </c>
      <c r="B49" s="2853">
        <v>0.94799999999999995</v>
      </c>
      <c r="C49" s="2853">
        <v>0.94799999999999995</v>
      </c>
      <c r="D49" s="2853">
        <v>0.89390000000000003</v>
      </c>
      <c r="E49" s="2853">
        <v>0.89390000000000003</v>
      </c>
      <c r="F49" s="2853">
        <v>0.89390000000000003</v>
      </c>
      <c r="G49" s="2853">
        <v>0.89390000000000003</v>
      </c>
      <c r="H49" s="2853">
        <v>0.89390000000000003</v>
      </c>
      <c r="I49" s="2853">
        <v>0.78469999999999995</v>
      </c>
      <c r="J49" s="2853">
        <v>0.78469999999999995</v>
      </c>
      <c r="K49" s="2853">
        <v>0.78469999999999995</v>
      </c>
      <c r="L49" s="2853">
        <v>0.78469999999999995</v>
      </c>
      <c r="M49" s="2854">
        <v>0.78469999999999995</v>
      </c>
    </row>
    <row r="50" spans="1:13">
      <c r="A50" s="2855">
        <v>5.7</v>
      </c>
      <c r="B50" s="2853">
        <v>0.94620000000000004</v>
      </c>
      <c r="C50" s="2853">
        <v>0.94620000000000004</v>
      </c>
      <c r="D50" s="2853">
        <v>0.89149999999999996</v>
      </c>
      <c r="E50" s="2853">
        <v>0.89149999999999996</v>
      </c>
      <c r="F50" s="2853">
        <v>0.89149999999999996</v>
      </c>
      <c r="G50" s="2853">
        <v>0.89149999999999996</v>
      </c>
      <c r="H50" s="2853">
        <v>0.89149999999999996</v>
      </c>
      <c r="I50" s="2853">
        <v>0.78110000000000002</v>
      </c>
      <c r="J50" s="2853">
        <v>0.78110000000000002</v>
      </c>
      <c r="K50" s="2853">
        <v>0.78110000000000002</v>
      </c>
      <c r="L50" s="2853">
        <v>0.78110000000000002</v>
      </c>
      <c r="M50" s="2854">
        <v>0.78110000000000002</v>
      </c>
    </row>
    <row r="51" spans="1:13">
      <c r="A51" s="2852">
        <v>5.8</v>
      </c>
      <c r="B51" s="2853">
        <v>0.94450000000000001</v>
      </c>
      <c r="C51" s="2853">
        <v>0.94450000000000001</v>
      </c>
      <c r="D51" s="2853">
        <v>0.88919999999999999</v>
      </c>
      <c r="E51" s="2853">
        <v>0.88919999999999999</v>
      </c>
      <c r="F51" s="2853">
        <v>0.88919999999999999</v>
      </c>
      <c r="G51" s="2853">
        <v>0.88919999999999999</v>
      </c>
      <c r="H51" s="2853">
        <v>0.88919999999999999</v>
      </c>
      <c r="I51" s="2853">
        <v>0.77759999999999996</v>
      </c>
      <c r="J51" s="2853">
        <v>0.77759999999999996</v>
      </c>
      <c r="K51" s="2853">
        <v>0.77759999999999996</v>
      </c>
      <c r="L51" s="2853">
        <v>0.77759999999999996</v>
      </c>
      <c r="M51" s="2854">
        <v>0.77759999999999996</v>
      </c>
    </row>
    <row r="52" spans="1:13">
      <c r="A52" s="2852">
        <v>5.9</v>
      </c>
      <c r="B52" s="2853">
        <v>0.94279999999999997</v>
      </c>
      <c r="C52" s="2853">
        <v>0.94279999999999997</v>
      </c>
      <c r="D52" s="2853">
        <v>0.88690000000000002</v>
      </c>
      <c r="E52" s="2853">
        <v>0.88690000000000002</v>
      </c>
      <c r="F52" s="2853">
        <v>0.88690000000000002</v>
      </c>
      <c r="G52" s="2853">
        <v>0.88690000000000002</v>
      </c>
      <c r="H52" s="2853">
        <v>0.88690000000000002</v>
      </c>
      <c r="I52" s="2853">
        <v>0.77410000000000001</v>
      </c>
      <c r="J52" s="2853">
        <v>0.77410000000000001</v>
      </c>
      <c r="K52" s="2853">
        <v>0.77410000000000001</v>
      </c>
      <c r="L52" s="2853">
        <v>0.77410000000000001</v>
      </c>
      <c r="M52" s="2854">
        <v>0.77410000000000001</v>
      </c>
    </row>
    <row r="53" spans="1:13">
      <c r="A53" s="2852">
        <v>6</v>
      </c>
      <c r="B53" s="2853">
        <v>0.94110000000000005</v>
      </c>
      <c r="C53" s="2853">
        <v>0.94110000000000005</v>
      </c>
      <c r="D53" s="2853">
        <v>0.88460000000000005</v>
      </c>
      <c r="E53" s="2853">
        <v>0.88460000000000005</v>
      </c>
      <c r="F53" s="2853">
        <v>0.88460000000000005</v>
      </c>
      <c r="G53" s="2853">
        <v>0.88460000000000005</v>
      </c>
      <c r="H53" s="2853">
        <v>0.88460000000000005</v>
      </c>
      <c r="I53" s="2853">
        <v>0.77070000000000005</v>
      </c>
      <c r="J53" s="2853">
        <v>0.77070000000000005</v>
      </c>
      <c r="K53" s="2853">
        <v>0.77070000000000005</v>
      </c>
      <c r="L53" s="2853">
        <v>0.77070000000000005</v>
      </c>
      <c r="M53" s="2854">
        <v>0.77070000000000005</v>
      </c>
    </row>
    <row r="54" spans="1:13">
      <c r="A54" s="2852">
        <v>6.1</v>
      </c>
      <c r="B54" s="2853">
        <v>0.93940000000000001</v>
      </c>
      <c r="C54" s="2853">
        <v>0.93940000000000001</v>
      </c>
      <c r="D54" s="2853">
        <v>0.88229999999999997</v>
      </c>
      <c r="E54" s="2853">
        <v>0.88229999999999997</v>
      </c>
      <c r="F54" s="2853">
        <v>0.88229999999999997</v>
      </c>
      <c r="G54" s="2853">
        <v>0.88229999999999997</v>
      </c>
      <c r="H54" s="2853">
        <v>0.88229999999999997</v>
      </c>
      <c r="I54" s="2853">
        <v>0.76729999999999998</v>
      </c>
      <c r="J54" s="2853">
        <v>0.76729999999999998</v>
      </c>
      <c r="K54" s="2853">
        <v>0.76729999999999998</v>
      </c>
      <c r="L54" s="2853">
        <v>0.76729999999999998</v>
      </c>
      <c r="M54" s="2854">
        <v>0.76729999999999998</v>
      </c>
    </row>
    <row r="55" spans="1:13">
      <c r="A55" s="2852">
        <v>6.2</v>
      </c>
      <c r="B55" s="2853">
        <v>0.93769999999999998</v>
      </c>
      <c r="C55" s="2853">
        <v>0.93769999999999998</v>
      </c>
      <c r="D55" s="2853">
        <v>0.88</v>
      </c>
      <c r="E55" s="2853">
        <v>0.88</v>
      </c>
      <c r="F55" s="2853">
        <v>0.88</v>
      </c>
      <c r="G55" s="2853">
        <v>0.88</v>
      </c>
      <c r="H55" s="2853">
        <v>0.88</v>
      </c>
      <c r="I55" s="2853">
        <v>0.76400000000000001</v>
      </c>
      <c r="J55" s="2853">
        <v>0.76400000000000001</v>
      </c>
      <c r="K55" s="2853">
        <v>0.76400000000000001</v>
      </c>
      <c r="L55" s="2853">
        <v>0.76400000000000001</v>
      </c>
      <c r="M55" s="2854">
        <v>0.76400000000000001</v>
      </c>
    </row>
    <row r="56" spans="1:13">
      <c r="A56" s="2852">
        <v>6.3</v>
      </c>
      <c r="B56" s="2853">
        <v>0.93610000000000004</v>
      </c>
      <c r="C56" s="2853">
        <v>0.93610000000000004</v>
      </c>
      <c r="D56" s="2853">
        <v>0.87780000000000002</v>
      </c>
      <c r="E56" s="2853">
        <v>0.87780000000000002</v>
      </c>
      <c r="F56" s="2853">
        <v>0.87780000000000002</v>
      </c>
      <c r="G56" s="2853">
        <v>0.87780000000000002</v>
      </c>
      <c r="H56" s="2853">
        <v>0.87780000000000002</v>
      </c>
      <c r="I56" s="2853">
        <v>0.76070000000000004</v>
      </c>
      <c r="J56" s="2853">
        <v>0.76070000000000004</v>
      </c>
      <c r="K56" s="2853">
        <v>0.76070000000000004</v>
      </c>
      <c r="L56" s="2853">
        <v>0.76070000000000004</v>
      </c>
      <c r="M56" s="2854">
        <v>0.76070000000000004</v>
      </c>
    </row>
    <row r="57" spans="1:13">
      <c r="A57" s="2852">
        <v>6.4</v>
      </c>
      <c r="B57" s="2853">
        <v>0.9345</v>
      </c>
      <c r="C57" s="2853">
        <v>0.9345</v>
      </c>
      <c r="D57" s="2853">
        <v>0.87560000000000004</v>
      </c>
      <c r="E57" s="2853">
        <v>0.87560000000000004</v>
      </c>
      <c r="F57" s="2853">
        <v>0.87560000000000004</v>
      </c>
      <c r="G57" s="2853">
        <v>0.87560000000000004</v>
      </c>
      <c r="H57" s="2853">
        <v>0.87560000000000004</v>
      </c>
      <c r="I57" s="2853">
        <v>0.75749999999999995</v>
      </c>
      <c r="J57" s="2853">
        <v>0.75749999999999995</v>
      </c>
      <c r="K57" s="2853">
        <v>0.75749999999999995</v>
      </c>
      <c r="L57" s="2853">
        <v>0.75749999999999995</v>
      </c>
      <c r="M57" s="2854">
        <v>0.75749999999999995</v>
      </c>
    </row>
    <row r="58" spans="1:13">
      <c r="A58" s="2852">
        <v>6.5</v>
      </c>
      <c r="B58" s="2853">
        <v>0.93289999999999995</v>
      </c>
      <c r="C58" s="2853">
        <v>0.93289999999999995</v>
      </c>
      <c r="D58" s="2853">
        <v>0.87339999999999995</v>
      </c>
      <c r="E58" s="2853">
        <v>0.87339999999999995</v>
      </c>
      <c r="F58" s="2853">
        <v>0.87339999999999995</v>
      </c>
      <c r="G58" s="2853">
        <v>0.87339999999999995</v>
      </c>
      <c r="H58" s="2853">
        <v>0.87339999999999995</v>
      </c>
      <c r="I58" s="2853">
        <v>0.75429999999999997</v>
      </c>
      <c r="J58" s="2853">
        <v>0.75429999999999997</v>
      </c>
      <c r="K58" s="2853">
        <v>0.75429999999999997</v>
      </c>
      <c r="L58" s="2853">
        <v>0.75429999999999997</v>
      </c>
      <c r="M58" s="2854">
        <v>0.75429999999999997</v>
      </c>
    </row>
    <row r="59" spans="1:13">
      <c r="A59" s="2852">
        <v>6.6</v>
      </c>
      <c r="B59" s="2853">
        <v>0.93130000000000002</v>
      </c>
      <c r="C59" s="2853">
        <v>0.93130000000000002</v>
      </c>
      <c r="D59" s="2853">
        <v>0.87119999999999997</v>
      </c>
      <c r="E59" s="2853">
        <v>0.87119999999999997</v>
      </c>
      <c r="F59" s="2853">
        <v>0.87119999999999997</v>
      </c>
      <c r="G59" s="2853">
        <v>0.87119999999999997</v>
      </c>
      <c r="H59" s="2853">
        <v>0.87119999999999997</v>
      </c>
      <c r="I59" s="2853">
        <v>0.75119999999999998</v>
      </c>
      <c r="J59" s="2853">
        <v>0.75119999999999998</v>
      </c>
      <c r="K59" s="2853">
        <v>0.75119999999999998</v>
      </c>
      <c r="L59" s="2853">
        <v>0.75119999999999998</v>
      </c>
      <c r="M59" s="2854">
        <v>0.75119999999999998</v>
      </c>
    </row>
    <row r="60" spans="1:13">
      <c r="A60" s="2852">
        <v>6.7</v>
      </c>
      <c r="B60" s="2853">
        <v>0.92969999999999997</v>
      </c>
      <c r="C60" s="2853">
        <v>0.92969999999999997</v>
      </c>
      <c r="D60" s="2853">
        <v>0.86899999999999999</v>
      </c>
      <c r="E60" s="2853">
        <v>0.86899999999999999</v>
      </c>
      <c r="F60" s="2853">
        <v>0.86899999999999999</v>
      </c>
      <c r="G60" s="2853">
        <v>0.86899999999999999</v>
      </c>
      <c r="H60" s="2853">
        <v>0.86899999999999999</v>
      </c>
      <c r="I60" s="2853">
        <v>0.74809999999999999</v>
      </c>
      <c r="J60" s="2853">
        <v>0.74809999999999999</v>
      </c>
      <c r="K60" s="2853">
        <v>0.74809999999999999</v>
      </c>
      <c r="L60" s="2853">
        <v>0.74809999999999999</v>
      </c>
      <c r="M60" s="2854">
        <v>0.74809999999999999</v>
      </c>
    </row>
    <row r="61" spans="1:13">
      <c r="A61" s="2852">
        <v>6.8</v>
      </c>
      <c r="B61" s="2853">
        <v>0.92820000000000003</v>
      </c>
      <c r="C61" s="2853">
        <v>0.92820000000000003</v>
      </c>
      <c r="D61" s="2853">
        <v>0.8669</v>
      </c>
      <c r="E61" s="2853">
        <v>0.8669</v>
      </c>
      <c r="F61" s="2853">
        <v>0.8669</v>
      </c>
      <c r="G61" s="2853">
        <v>0.8669</v>
      </c>
      <c r="H61" s="2853">
        <v>0.8669</v>
      </c>
      <c r="I61" s="2853">
        <v>0.74509999999999998</v>
      </c>
      <c r="J61" s="2853">
        <v>0.74509999999999998</v>
      </c>
      <c r="K61" s="2853">
        <v>0.74509999999999998</v>
      </c>
      <c r="L61" s="2853">
        <v>0.74509999999999998</v>
      </c>
      <c r="M61" s="2854">
        <v>0.74509999999999998</v>
      </c>
    </row>
    <row r="62" spans="1:13">
      <c r="A62" s="2852">
        <v>6.9</v>
      </c>
      <c r="B62" s="2853">
        <v>0.92669999999999997</v>
      </c>
      <c r="C62" s="2853">
        <v>0.92669999999999997</v>
      </c>
      <c r="D62" s="2853">
        <v>0.86480000000000001</v>
      </c>
      <c r="E62" s="2853">
        <v>0.86480000000000001</v>
      </c>
      <c r="F62" s="2853">
        <v>0.86480000000000001</v>
      </c>
      <c r="G62" s="2853">
        <v>0.86480000000000001</v>
      </c>
      <c r="H62" s="2853">
        <v>0.86480000000000001</v>
      </c>
      <c r="I62" s="2853">
        <v>0.74209999999999998</v>
      </c>
      <c r="J62" s="2853">
        <v>0.74209999999999998</v>
      </c>
      <c r="K62" s="2853">
        <v>0.74209999999999998</v>
      </c>
      <c r="L62" s="2853">
        <v>0.74209999999999998</v>
      </c>
      <c r="M62" s="2854">
        <v>0.74209999999999998</v>
      </c>
    </row>
    <row r="63" spans="1:13">
      <c r="A63" s="2852">
        <v>7</v>
      </c>
      <c r="B63" s="2853">
        <v>0.92520000000000002</v>
      </c>
      <c r="C63" s="2853">
        <v>0.92520000000000002</v>
      </c>
      <c r="D63" s="2853">
        <v>0.86270000000000002</v>
      </c>
      <c r="E63" s="2853">
        <v>0.86270000000000002</v>
      </c>
      <c r="F63" s="2853">
        <v>0.86270000000000002</v>
      </c>
      <c r="G63" s="2853">
        <v>0.86270000000000002</v>
      </c>
      <c r="H63" s="2853">
        <v>0.86270000000000002</v>
      </c>
      <c r="I63" s="2853">
        <v>0.73919999999999997</v>
      </c>
      <c r="J63" s="2853">
        <v>0.73919999999999997</v>
      </c>
      <c r="K63" s="2853">
        <v>0.73919999999999997</v>
      </c>
      <c r="L63" s="2853">
        <v>0.73919999999999997</v>
      </c>
      <c r="M63" s="2854">
        <v>0.73919999999999997</v>
      </c>
    </row>
    <row r="64" spans="1:13">
      <c r="A64" s="2852">
        <v>7.1</v>
      </c>
      <c r="B64" s="2853">
        <v>0.92369999999999997</v>
      </c>
      <c r="C64" s="2853">
        <v>0.92369999999999997</v>
      </c>
      <c r="D64" s="2853">
        <v>0.86060000000000003</v>
      </c>
      <c r="E64" s="2853">
        <v>0.86060000000000003</v>
      </c>
      <c r="F64" s="2853">
        <v>0.86060000000000003</v>
      </c>
      <c r="G64" s="2853">
        <v>0.86060000000000003</v>
      </c>
      <c r="H64" s="2853">
        <v>0.86060000000000003</v>
      </c>
      <c r="I64" s="2853">
        <v>0.73629999999999995</v>
      </c>
      <c r="J64" s="2853">
        <v>0.73629999999999995</v>
      </c>
      <c r="K64" s="2853">
        <v>0.73629999999999995</v>
      </c>
      <c r="L64" s="2853">
        <v>0.73629999999999995</v>
      </c>
      <c r="M64" s="2854">
        <v>0.73629999999999995</v>
      </c>
    </row>
    <row r="65" spans="1:13">
      <c r="A65" s="2852">
        <v>7.2</v>
      </c>
      <c r="B65" s="2853">
        <v>0.92220000000000002</v>
      </c>
      <c r="C65" s="2853">
        <v>0.92220000000000002</v>
      </c>
      <c r="D65" s="2853">
        <v>0.85850000000000004</v>
      </c>
      <c r="E65" s="2853">
        <v>0.85850000000000004</v>
      </c>
      <c r="F65" s="2853">
        <v>0.85850000000000004</v>
      </c>
      <c r="G65" s="2853">
        <v>0.85850000000000004</v>
      </c>
      <c r="H65" s="2853">
        <v>0.85850000000000004</v>
      </c>
      <c r="I65" s="2853">
        <v>0.73350000000000004</v>
      </c>
      <c r="J65" s="2853">
        <v>0.73350000000000004</v>
      </c>
      <c r="K65" s="2853">
        <v>0.73350000000000004</v>
      </c>
      <c r="L65" s="2853">
        <v>0.73350000000000004</v>
      </c>
      <c r="M65" s="2854">
        <v>0.73350000000000004</v>
      </c>
    </row>
    <row r="66" spans="1:13">
      <c r="A66" s="2852">
        <v>7.3</v>
      </c>
      <c r="B66" s="2853">
        <v>0.92069999999999996</v>
      </c>
      <c r="C66" s="2853">
        <v>0.92069999999999996</v>
      </c>
      <c r="D66" s="2853">
        <v>0.85650000000000004</v>
      </c>
      <c r="E66" s="2853">
        <v>0.85650000000000004</v>
      </c>
      <c r="F66" s="2853">
        <v>0.85650000000000004</v>
      </c>
      <c r="G66" s="2853">
        <v>0.85650000000000004</v>
      </c>
      <c r="H66" s="2853">
        <v>0.85650000000000004</v>
      </c>
      <c r="I66" s="2853">
        <v>0.73070000000000002</v>
      </c>
      <c r="J66" s="2853">
        <v>0.73070000000000002</v>
      </c>
      <c r="K66" s="2853">
        <v>0.73070000000000002</v>
      </c>
      <c r="L66" s="2853">
        <v>0.73070000000000002</v>
      </c>
      <c r="M66" s="2854">
        <v>0.73070000000000002</v>
      </c>
    </row>
    <row r="67" spans="1:13">
      <c r="A67" s="2852">
        <v>7.4</v>
      </c>
      <c r="B67" s="2853">
        <v>0.91930000000000001</v>
      </c>
      <c r="C67" s="2853">
        <v>0.91930000000000001</v>
      </c>
      <c r="D67" s="2853">
        <v>0.85450000000000004</v>
      </c>
      <c r="E67" s="2853">
        <v>0.85450000000000004</v>
      </c>
      <c r="F67" s="2853">
        <v>0.85450000000000004</v>
      </c>
      <c r="G67" s="2853">
        <v>0.85450000000000004</v>
      </c>
      <c r="H67" s="2853">
        <v>0.85450000000000004</v>
      </c>
      <c r="I67" s="2853">
        <v>0.72799999999999998</v>
      </c>
      <c r="J67" s="2853">
        <v>0.72799999999999998</v>
      </c>
      <c r="K67" s="2853">
        <v>0.72799999999999998</v>
      </c>
      <c r="L67" s="2853">
        <v>0.72799999999999998</v>
      </c>
      <c r="M67" s="2854">
        <v>0.72799999999999998</v>
      </c>
    </row>
    <row r="68" spans="1:13">
      <c r="A68" s="2852">
        <v>7.5</v>
      </c>
      <c r="B68" s="2853">
        <v>0.91790000000000005</v>
      </c>
      <c r="C68" s="2853">
        <v>0.91790000000000005</v>
      </c>
      <c r="D68" s="2853">
        <v>0.85250000000000004</v>
      </c>
      <c r="E68" s="2853">
        <v>0.85250000000000004</v>
      </c>
      <c r="F68" s="2853">
        <v>0.85250000000000004</v>
      </c>
      <c r="G68" s="2853">
        <v>0.85250000000000004</v>
      </c>
      <c r="H68" s="2853">
        <v>0.85250000000000004</v>
      </c>
      <c r="I68" s="2853">
        <v>0.72529999999999994</v>
      </c>
      <c r="J68" s="2853">
        <v>0.72529999999999994</v>
      </c>
      <c r="K68" s="2853">
        <v>0.72529999999999994</v>
      </c>
      <c r="L68" s="2853">
        <v>0.72529999999999994</v>
      </c>
      <c r="M68" s="2854">
        <v>0.72529999999999994</v>
      </c>
    </row>
    <row r="69" spans="1:13">
      <c r="A69" s="2852">
        <v>7.6</v>
      </c>
      <c r="B69" s="2853">
        <v>0.91649999999999998</v>
      </c>
      <c r="C69" s="2853">
        <v>0.91649999999999998</v>
      </c>
      <c r="D69" s="2853">
        <v>0.85050000000000003</v>
      </c>
      <c r="E69" s="2853">
        <v>0.85050000000000003</v>
      </c>
      <c r="F69" s="2853">
        <v>0.85050000000000003</v>
      </c>
      <c r="G69" s="2853">
        <v>0.85050000000000003</v>
      </c>
      <c r="H69" s="2853">
        <v>0.85050000000000003</v>
      </c>
      <c r="I69" s="2853">
        <v>0.72260000000000002</v>
      </c>
      <c r="J69" s="2853">
        <v>0.72260000000000002</v>
      </c>
      <c r="K69" s="2853">
        <v>0.72260000000000002</v>
      </c>
      <c r="L69" s="2853">
        <v>0.72260000000000002</v>
      </c>
      <c r="M69" s="2854">
        <v>0.72260000000000002</v>
      </c>
    </row>
    <row r="70" spans="1:13">
      <c r="A70" s="2852">
        <v>7.7</v>
      </c>
      <c r="B70" s="2853">
        <v>0.91510000000000002</v>
      </c>
      <c r="C70" s="2853">
        <v>0.91510000000000002</v>
      </c>
      <c r="D70" s="2853">
        <v>0.84850000000000003</v>
      </c>
      <c r="E70" s="2853">
        <v>0.84850000000000003</v>
      </c>
      <c r="F70" s="2853">
        <v>0.84850000000000003</v>
      </c>
      <c r="G70" s="2853">
        <v>0.84850000000000003</v>
      </c>
      <c r="H70" s="2853">
        <v>0.84850000000000003</v>
      </c>
      <c r="I70" s="2853">
        <v>0.72</v>
      </c>
      <c r="J70" s="2853">
        <v>0.72</v>
      </c>
      <c r="K70" s="2853">
        <v>0.72</v>
      </c>
      <c r="L70" s="2853">
        <v>0.72</v>
      </c>
      <c r="M70" s="2854">
        <v>0.72</v>
      </c>
    </row>
    <row r="71" spans="1:13">
      <c r="A71" s="2852">
        <v>7.8</v>
      </c>
      <c r="B71" s="2853">
        <v>0.91369999999999996</v>
      </c>
      <c r="C71" s="2853">
        <v>0.91369999999999996</v>
      </c>
      <c r="D71" s="2853">
        <v>0.84660000000000002</v>
      </c>
      <c r="E71" s="2853">
        <v>0.84660000000000002</v>
      </c>
      <c r="F71" s="2853">
        <v>0.84660000000000002</v>
      </c>
      <c r="G71" s="2853">
        <v>0.84660000000000002</v>
      </c>
      <c r="H71" s="2853">
        <v>0.84660000000000002</v>
      </c>
      <c r="I71" s="2853">
        <v>0.71740000000000004</v>
      </c>
      <c r="J71" s="2853">
        <v>0.71740000000000004</v>
      </c>
      <c r="K71" s="2853">
        <v>0.71740000000000004</v>
      </c>
      <c r="L71" s="2853">
        <v>0.71740000000000004</v>
      </c>
      <c r="M71" s="2854">
        <v>0.71740000000000004</v>
      </c>
    </row>
    <row r="72" spans="1:13">
      <c r="A72" s="2852">
        <v>7.9</v>
      </c>
      <c r="B72" s="2853">
        <v>0.9123</v>
      </c>
      <c r="C72" s="2853">
        <v>0.9123</v>
      </c>
      <c r="D72" s="2853">
        <v>0.84470000000000001</v>
      </c>
      <c r="E72" s="2853">
        <v>0.84470000000000001</v>
      </c>
      <c r="F72" s="2853">
        <v>0.84470000000000001</v>
      </c>
      <c r="G72" s="2853">
        <v>0.84470000000000001</v>
      </c>
      <c r="H72" s="2853">
        <v>0.84470000000000001</v>
      </c>
      <c r="I72" s="2853">
        <v>0.71479999999999999</v>
      </c>
      <c r="J72" s="2853">
        <v>0.71479999999999999</v>
      </c>
      <c r="K72" s="2853">
        <v>0.71479999999999999</v>
      </c>
      <c r="L72" s="2853">
        <v>0.71479999999999999</v>
      </c>
      <c r="M72" s="2854">
        <v>0.71479999999999999</v>
      </c>
    </row>
    <row r="73" spans="1:13">
      <c r="A73" s="2852">
        <v>8</v>
      </c>
      <c r="B73" s="2853">
        <v>0.91090000000000004</v>
      </c>
      <c r="C73" s="2853">
        <v>0.91090000000000004</v>
      </c>
      <c r="D73" s="2853">
        <v>0.84279999999999999</v>
      </c>
      <c r="E73" s="2853">
        <v>0.84279999999999999</v>
      </c>
      <c r="F73" s="2853">
        <v>0.84279999999999999</v>
      </c>
      <c r="G73" s="2853">
        <v>0.84279999999999999</v>
      </c>
      <c r="H73" s="2853">
        <v>0.84279999999999999</v>
      </c>
      <c r="I73" s="2853">
        <v>0.71230000000000004</v>
      </c>
      <c r="J73" s="2853">
        <v>0.71230000000000004</v>
      </c>
      <c r="K73" s="2853">
        <v>0.71230000000000004</v>
      </c>
      <c r="L73" s="2853">
        <v>0.71230000000000004</v>
      </c>
      <c r="M73" s="2854">
        <v>0.71230000000000004</v>
      </c>
    </row>
    <row r="74" spans="1:13">
      <c r="A74" s="2852">
        <v>8.1</v>
      </c>
      <c r="B74" s="2853">
        <v>0.90959999999999996</v>
      </c>
      <c r="C74" s="2853">
        <v>0.90959999999999996</v>
      </c>
      <c r="D74" s="2853">
        <v>0.84089999999999998</v>
      </c>
      <c r="E74" s="2853">
        <v>0.84089999999999998</v>
      </c>
      <c r="F74" s="2853">
        <v>0.84089999999999998</v>
      </c>
      <c r="G74" s="2853">
        <v>0.84089999999999998</v>
      </c>
      <c r="H74" s="2853">
        <v>0.84089999999999998</v>
      </c>
      <c r="I74" s="2853">
        <v>0.70979999999999999</v>
      </c>
      <c r="J74" s="2853">
        <v>0.70979999999999999</v>
      </c>
      <c r="K74" s="2853">
        <v>0.70979999999999999</v>
      </c>
      <c r="L74" s="2853">
        <v>0.70979999999999999</v>
      </c>
      <c r="M74" s="2854">
        <v>0.70979999999999999</v>
      </c>
    </row>
    <row r="75" spans="1:13">
      <c r="A75" s="2852">
        <v>8.1999999999999993</v>
      </c>
      <c r="B75" s="2853">
        <v>0.9083</v>
      </c>
      <c r="C75" s="2853">
        <v>0.9083</v>
      </c>
      <c r="D75" s="2853">
        <v>0.83899999999999997</v>
      </c>
      <c r="E75" s="2853">
        <v>0.83899999999999997</v>
      </c>
      <c r="F75" s="2853">
        <v>0.83899999999999997</v>
      </c>
      <c r="G75" s="2853">
        <v>0.83899999999999997</v>
      </c>
      <c r="H75" s="2853">
        <v>0.83899999999999997</v>
      </c>
      <c r="I75" s="2853">
        <v>0.70730000000000004</v>
      </c>
      <c r="J75" s="2853">
        <v>0.70730000000000004</v>
      </c>
      <c r="K75" s="2853">
        <v>0.70730000000000004</v>
      </c>
      <c r="L75" s="2853">
        <v>0.70730000000000004</v>
      </c>
      <c r="M75" s="2854">
        <v>0.70730000000000004</v>
      </c>
    </row>
    <row r="76" spans="1:13">
      <c r="A76" s="2852">
        <v>8.3000000000000007</v>
      </c>
      <c r="B76" s="2853">
        <v>0.90700000000000003</v>
      </c>
      <c r="C76" s="2853">
        <v>0.90700000000000003</v>
      </c>
      <c r="D76" s="2853">
        <v>0.83720000000000006</v>
      </c>
      <c r="E76" s="2853">
        <v>0.83720000000000006</v>
      </c>
      <c r="F76" s="2853">
        <v>0.83720000000000006</v>
      </c>
      <c r="G76" s="2853">
        <v>0.83720000000000006</v>
      </c>
      <c r="H76" s="2853">
        <v>0.83720000000000006</v>
      </c>
      <c r="I76" s="2853">
        <v>0.70489999999999997</v>
      </c>
      <c r="J76" s="2853">
        <v>0.70489999999999997</v>
      </c>
      <c r="K76" s="2853">
        <v>0.70489999999999997</v>
      </c>
      <c r="L76" s="2853">
        <v>0.70489999999999997</v>
      </c>
      <c r="M76" s="2854">
        <v>0.70489999999999997</v>
      </c>
    </row>
    <row r="77" spans="1:13">
      <c r="A77" s="2852">
        <v>8.4</v>
      </c>
      <c r="B77" s="2853">
        <v>0.90569999999999995</v>
      </c>
      <c r="C77" s="2853">
        <v>0.90569999999999995</v>
      </c>
      <c r="D77" s="2853">
        <v>0.83540000000000003</v>
      </c>
      <c r="E77" s="2853">
        <v>0.83540000000000003</v>
      </c>
      <c r="F77" s="2853">
        <v>0.83540000000000003</v>
      </c>
      <c r="G77" s="2853">
        <v>0.83540000000000003</v>
      </c>
      <c r="H77" s="2853">
        <v>0.83540000000000003</v>
      </c>
      <c r="I77" s="2853">
        <v>0.70250000000000001</v>
      </c>
      <c r="J77" s="2853">
        <v>0.70250000000000001</v>
      </c>
      <c r="K77" s="2853">
        <v>0.70250000000000001</v>
      </c>
      <c r="L77" s="2853">
        <v>0.70250000000000001</v>
      </c>
      <c r="M77" s="2854">
        <v>0.70250000000000001</v>
      </c>
    </row>
    <row r="78" spans="1:13">
      <c r="A78" s="2852">
        <v>8.5</v>
      </c>
      <c r="B78" s="2853">
        <v>0.90439999999999998</v>
      </c>
      <c r="C78" s="2853">
        <v>0.90439999999999998</v>
      </c>
      <c r="D78" s="2853">
        <v>0.83360000000000001</v>
      </c>
      <c r="E78" s="2853">
        <v>0.83360000000000001</v>
      </c>
      <c r="F78" s="2853">
        <v>0.83360000000000001</v>
      </c>
      <c r="G78" s="2853">
        <v>0.83360000000000001</v>
      </c>
      <c r="H78" s="2853">
        <v>0.83360000000000001</v>
      </c>
      <c r="I78" s="2853">
        <v>0.70009999999999994</v>
      </c>
      <c r="J78" s="2853">
        <v>0.70009999999999994</v>
      </c>
      <c r="K78" s="2853">
        <v>0.70009999999999994</v>
      </c>
      <c r="L78" s="2853">
        <v>0.70009999999999994</v>
      </c>
      <c r="M78" s="2854">
        <v>0.70009999999999994</v>
      </c>
    </row>
    <row r="79" spans="1:13">
      <c r="A79" s="2852">
        <v>8.6</v>
      </c>
      <c r="B79" s="2853">
        <v>0.90310000000000001</v>
      </c>
      <c r="C79" s="2853">
        <v>0.90310000000000001</v>
      </c>
      <c r="D79" s="2853">
        <v>0.83179999999999998</v>
      </c>
      <c r="E79" s="2853">
        <v>0.83179999999999998</v>
      </c>
      <c r="F79" s="2853">
        <v>0.83179999999999998</v>
      </c>
      <c r="G79" s="2853">
        <v>0.83179999999999998</v>
      </c>
      <c r="H79" s="2853">
        <v>0.83179999999999998</v>
      </c>
      <c r="I79" s="2853">
        <v>0.69779999999999998</v>
      </c>
      <c r="J79" s="2853">
        <v>0.69779999999999998</v>
      </c>
      <c r="K79" s="2853">
        <v>0.69779999999999998</v>
      </c>
      <c r="L79" s="2853">
        <v>0.69779999999999998</v>
      </c>
      <c r="M79" s="2854">
        <v>0.69779999999999998</v>
      </c>
    </row>
    <row r="80" spans="1:13">
      <c r="A80" s="2852">
        <v>8.6999999999999993</v>
      </c>
      <c r="B80" s="2853">
        <v>0.90180000000000005</v>
      </c>
      <c r="C80" s="2853">
        <v>0.90180000000000005</v>
      </c>
      <c r="D80" s="2853">
        <v>0.83</v>
      </c>
      <c r="E80" s="2853">
        <v>0.83</v>
      </c>
      <c r="F80" s="2853">
        <v>0.83</v>
      </c>
      <c r="G80" s="2853">
        <v>0.83</v>
      </c>
      <c r="H80" s="2853">
        <v>0.83</v>
      </c>
      <c r="I80" s="2853">
        <v>0.69550000000000001</v>
      </c>
      <c r="J80" s="2853">
        <v>0.69550000000000001</v>
      </c>
      <c r="K80" s="2853">
        <v>0.69550000000000001</v>
      </c>
      <c r="L80" s="2853">
        <v>0.69550000000000001</v>
      </c>
      <c r="M80" s="2854">
        <v>0.69550000000000001</v>
      </c>
    </row>
    <row r="81" spans="1:20">
      <c r="A81" s="2852">
        <v>8.8000000000000007</v>
      </c>
      <c r="B81" s="2853">
        <v>0.90059999999999996</v>
      </c>
      <c r="C81" s="2853">
        <v>0.90059999999999996</v>
      </c>
      <c r="D81" s="2853">
        <v>0.82830000000000004</v>
      </c>
      <c r="E81" s="2853">
        <v>0.82830000000000004</v>
      </c>
      <c r="F81" s="2853">
        <v>0.82830000000000004</v>
      </c>
      <c r="G81" s="2853">
        <v>0.82830000000000004</v>
      </c>
      <c r="H81" s="2853">
        <v>0.82830000000000004</v>
      </c>
      <c r="I81" s="2853">
        <v>0.69320000000000004</v>
      </c>
      <c r="J81" s="2853">
        <v>0.69320000000000004</v>
      </c>
      <c r="K81" s="2853">
        <v>0.69320000000000004</v>
      </c>
      <c r="L81" s="2853">
        <v>0.69320000000000004</v>
      </c>
      <c r="M81" s="2854">
        <v>0.69320000000000004</v>
      </c>
    </row>
    <row r="82" spans="1:20">
      <c r="A82" s="2852">
        <v>8.9</v>
      </c>
      <c r="B82" s="2853">
        <v>0.89939999999999998</v>
      </c>
      <c r="C82" s="2853">
        <v>0.89939999999999998</v>
      </c>
      <c r="D82" s="2853">
        <v>0.8266</v>
      </c>
      <c r="E82" s="2853">
        <v>0.8266</v>
      </c>
      <c r="F82" s="2853">
        <v>0.8266</v>
      </c>
      <c r="G82" s="2853">
        <v>0.8266</v>
      </c>
      <c r="H82" s="2853">
        <v>0.8266</v>
      </c>
      <c r="I82" s="2853">
        <v>0.69099999999999995</v>
      </c>
      <c r="J82" s="2853">
        <v>0.69099999999999995</v>
      </c>
      <c r="K82" s="2853">
        <v>0.69099999999999995</v>
      </c>
      <c r="L82" s="2853">
        <v>0.69099999999999995</v>
      </c>
      <c r="M82" s="2854">
        <v>0.69099999999999995</v>
      </c>
    </row>
    <row r="83" spans="1:20">
      <c r="A83" s="2855">
        <v>9</v>
      </c>
      <c r="B83" s="2853">
        <v>0.8982</v>
      </c>
      <c r="C83" s="2853">
        <v>0.8982</v>
      </c>
      <c r="D83" s="2853">
        <v>0.82489999999999997</v>
      </c>
      <c r="E83" s="2853">
        <v>0.82489999999999997</v>
      </c>
      <c r="F83" s="2853">
        <v>0.82489999999999997</v>
      </c>
      <c r="G83" s="2853">
        <v>0.82489999999999997</v>
      </c>
      <c r="H83" s="2853">
        <v>0.82489999999999997</v>
      </c>
      <c r="I83" s="2853">
        <v>0.68879999999999997</v>
      </c>
      <c r="J83" s="2853">
        <v>0.68879999999999997</v>
      </c>
      <c r="K83" s="2853">
        <v>0.68879999999999997</v>
      </c>
      <c r="L83" s="2853">
        <v>0.68879999999999997</v>
      </c>
      <c r="M83" s="2854">
        <v>0.68879999999999997</v>
      </c>
    </row>
    <row r="84" spans="1:20">
      <c r="A84" s="2855">
        <v>9.1</v>
      </c>
      <c r="B84" s="2853">
        <v>0.89700000000000002</v>
      </c>
      <c r="C84" s="2853">
        <v>0.89700000000000002</v>
      </c>
      <c r="D84" s="2853">
        <v>0.82320000000000004</v>
      </c>
      <c r="E84" s="2853">
        <v>0.82320000000000004</v>
      </c>
      <c r="F84" s="2853">
        <v>0.82320000000000004</v>
      </c>
      <c r="G84" s="2853">
        <v>0.82320000000000004</v>
      </c>
      <c r="H84" s="2853">
        <v>0.82320000000000004</v>
      </c>
      <c r="I84" s="2853">
        <v>0.68659999999999999</v>
      </c>
      <c r="J84" s="2853">
        <v>0.68659999999999999</v>
      </c>
      <c r="K84" s="2853">
        <v>0.68659999999999999</v>
      </c>
      <c r="L84" s="2853">
        <v>0.68659999999999999</v>
      </c>
      <c r="M84" s="2854">
        <v>0.68659999999999999</v>
      </c>
    </row>
    <row r="85" spans="1:20">
      <c r="A85" s="2855">
        <v>9.1999999999999993</v>
      </c>
      <c r="B85" s="2853">
        <v>0.89580000000000004</v>
      </c>
      <c r="C85" s="2853">
        <v>0.89580000000000004</v>
      </c>
      <c r="D85" s="2853">
        <v>0.82150000000000001</v>
      </c>
      <c r="E85" s="2853">
        <v>0.82150000000000001</v>
      </c>
      <c r="F85" s="2853">
        <v>0.82150000000000001</v>
      </c>
      <c r="G85" s="2853">
        <v>0.82150000000000001</v>
      </c>
      <c r="H85" s="2853">
        <v>0.82150000000000001</v>
      </c>
      <c r="I85" s="2853">
        <v>0.6845</v>
      </c>
      <c r="J85" s="2853">
        <v>0.6845</v>
      </c>
      <c r="K85" s="2853">
        <v>0.6845</v>
      </c>
      <c r="L85" s="2853">
        <v>0.6845</v>
      </c>
      <c r="M85" s="2854">
        <v>0.6845</v>
      </c>
    </row>
    <row r="86" spans="1:20">
      <c r="A86" s="2855">
        <v>9.3000000000000007</v>
      </c>
      <c r="B86" s="2853">
        <v>0.89459999999999995</v>
      </c>
      <c r="C86" s="2853">
        <v>0.89459999999999995</v>
      </c>
      <c r="D86" s="2853">
        <v>0.81989999999999996</v>
      </c>
      <c r="E86" s="2853">
        <v>0.81989999999999996</v>
      </c>
      <c r="F86" s="2853">
        <v>0.81989999999999996</v>
      </c>
      <c r="G86" s="2853">
        <v>0.81989999999999996</v>
      </c>
      <c r="H86" s="2853">
        <v>0.81989999999999996</v>
      </c>
      <c r="I86" s="2853">
        <v>0.68240000000000001</v>
      </c>
      <c r="J86" s="2853">
        <v>0.68240000000000001</v>
      </c>
      <c r="K86" s="2853">
        <v>0.68240000000000001</v>
      </c>
      <c r="L86" s="2853">
        <v>0.68240000000000001</v>
      </c>
      <c r="M86" s="2854">
        <v>0.68240000000000001</v>
      </c>
    </row>
    <row r="87" spans="1:20">
      <c r="A87" s="2855">
        <v>9.4</v>
      </c>
      <c r="B87" s="2853">
        <v>0.89339999999999997</v>
      </c>
      <c r="C87" s="2853">
        <v>0.89339999999999997</v>
      </c>
      <c r="D87" s="2853">
        <v>0.81830000000000003</v>
      </c>
      <c r="E87" s="2853">
        <v>0.81830000000000003</v>
      </c>
      <c r="F87" s="2853">
        <v>0.81830000000000003</v>
      </c>
      <c r="G87" s="2853">
        <v>0.81830000000000003</v>
      </c>
      <c r="H87" s="2853">
        <v>0.81830000000000003</v>
      </c>
      <c r="I87" s="2853">
        <v>0.68030000000000002</v>
      </c>
      <c r="J87" s="2853">
        <v>0.68030000000000002</v>
      </c>
      <c r="K87" s="2853">
        <v>0.68030000000000002</v>
      </c>
      <c r="L87" s="2853">
        <v>0.68030000000000002</v>
      </c>
      <c r="M87" s="2854">
        <v>0.68030000000000002</v>
      </c>
    </row>
    <row r="88" spans="1:20">
      <c r="A88" s="2855">
        <v>9.5</v>
      </c>
      <c r="B88" s="2853">
        <v>0.89229999999999998</v>
      </c>
      <c r="C88" s="2853">
        <v>0.89229999999999998</v>
      </c>
      <c r="D88" s="2853">
        <v>0.81669999999999998</v>
      </c>
      <c r="E88" s="2853">
        <v>0.81669999999999998</v>
      </c>
      <c r="F88" s="2853">
        <v>0.81669999999999998</v>
      </c>
      <c r="G88" s="2853">
        <v>0.81669999999999998</v>
      </c>
      <c r="H88" s="2853">
        <v>0.81669999999999998</v>
      </c>
      <c r="I88" s="2853">
        <v>0.67830000000000001</v>
      </c>
      <c r="J88" s="2853">
        <v>0.67830000000000001</v>
      </c>
      <c r="K88" s="2853">
        <v>0.67830000000000001</v>
      </c>
      <c r="L88" s="2853">
        <v>0.67830000000000001</v>
      </c>
      <c r="M88" s="2854">
        <v>0.67830000000000001</v>
      </c>
    </row>
    <row r="89" spans="1:20">
      <c r="A89" s="2855">
        <v>9.6</v>
      </c>
      <c r="B89" s="2853">
        <v>0.89119999999999999</v>
      </c>
      <c r="C89" s="2853">
        <v>0.89119999999999999</v>
      </c>
      <c r="D89" s="2853">
        <v>0.81510000000000005</v>
      </c>
      <c r="E89" s="2853">
        <v>0.81510000000000005</v>
      </c>
      <c r="F89" s="2853">
        <v>0.81510000000000005</v>
      </c>
      <c r="G89" s="2853">
        <v>0.81510000000000005</v>
      </c>
      <c r="H89" s="2853">
        <v>0.81510000000000005</v>
      </c>
      <c r="I89" s="2853">
        <v>0.67630000000000001</v>
      </c>
      <c r="J89" s="2853">
        <v>0.67630000000000001</v>
      </c>
      <c r="K89" s="2853">
        <v>0.67630000000000001</v>
      </c>
      <c r="L89" s="2853">
        <v>0.67630000000000001</v>
      </c>
      <c r="M89" s="2854">
        <v>0.67630000000000001</v>
      </c>
    </row>
    <row r="90" spans="1:20">
      <c r="A90" s="2855">
        <v>9.6999999999999993</v>
      </c>
      <c r="B90" s="2853">
        <v>0.8901</v>
      </c>
      <c r="C90" s="2853">
        <v>0.8901</v>
      </c>
      <c r="D90" s="2853">
        <v>0.8135</v>
      </c>
      <c r="E90" s="2853">
        <v>0.8135</v>
      </c>
      <c r="F90" s="2853">
        <v>0.8135</v>
      </c>
      <c r="G90" s="2853">
        <v>0.8135</v>
      </c>
      <c r="H90" s="2853">
        <v>0.8135</v>
      </c>
      <c r="I90" s="2853">
        <v>0.67430000000000001</v>
      </c>
      <c r="J90" s="2853">
        <v>0.67430000000000001</v>
      </c>
      <c r="K90" s="2853">
        <v>0.67430000000000001</v>
      </c>
      <c r="L90" s="2853">
        <v>0.67430000000000001</v>
      </c>
      <c r="M90" s="2854">
        <v>0.67430000000000001</v>
      </c>
    </row>
    <row r="91" spans="1:20">
      <c r="A91" s="2855">
        <v>9.8000000000000007</v>
      </c>
      <c r="B91" s="2853">
        <v>0.88900000000000001</v>
      </c>
      <c r="C91" s="2853">
        <v>0.88900000000000001</v>
      </c>
      <c r="D91" s="2853">
        <v>0.81200000000000006</v>
      </c>
      <c r="E91" s="2853">
        <v>0.81200000000000006</v>
      </c>
      <c r="F91" s="2853">
        <v>0.81200000000000006</v>
      </c>
      <c r="G91" s="2853">
        <v>0.81200000000000006</v>
      </c>
      <c r="H91" s="2853">
        <v>0.81200000000000006</v>
      </c>
      <c r="I91" s="2853">
        <v>0.6724</v>
      </c>
      <c r="J91" s="2853">
        <v>0.6724</v>
      </c>
      <c r="K91" s="2853">
        <v>0.6724</v>
      </c>
      <c r="L91" s="2853">
        <v>0.6724</v>
      </c>
      <c r="M91" s="2854">
        <v>0.6724</v>
      </c>
    </row>
    <row r="92" spans="1:20" ht="14.25" thickBot="1">
      <c r="A92" s="2856">
        <v>9.9</v>
      </c>
      <c r="B92" s="2857">
        <v>0.88790000000000002</v>
      </c>
      <c r="C92" s="2857">
        <v>0.88790000000000002</v>
      </c>
      <c r="D92" s="2857">
        <v>0.8105</v>
      </c>
      <c r="E92" s="2857">
        <v>0.8105</v>
      </c>
      <c r="F92" s="2857">
        <v>0.8105</v>
      </c>
      <c r="G92" s="2857">
        <v>0.8105</v>
      </c>
      <c r="H92" s="2857">
        <v>0.8105</v>
      </c>
      <c r="I92" s="2857">
        <v>0.67049999999999998</v>
      </c>
      <c r="J92" s="2857">
        <v>0.67049999999999998</v>
      </c>
      <c r="K92" s="2857">
        <v>0.67049999999999998</v>
      </c>
      <c r="L92" s="2857">
        <v>0.67049999999999998</v>
      </c>
      <c r="M92" s="2858">
        <v>0.67049999999999998</v>
      </c>
    </row>
    <row r="93" spans="1:20" ht="15" thickBot="1">
      <c r="A93" s="2846" t="s">
        <v>2798</v>
      </c>
      <c r="B93" s="2846"/>
      <c r="C93" s="2846"/>
      <c r="D93" s="2846"/>
      <c r="E93" s="2846"/>
      <c r="F93" s="2846"/>
      <c r="G93" s="2846"/>
      <c r="H93" s="2846"/>
      <c r="I93" s="2846"/>
      <c r="J93" s="2846"/>
      <c r="K93" s="2846"/>
      <c r="L93" s="2846"/>
      <c r="M93" s="2846"/>
    </row>
    <row r="94" spans="1:20">
      <c r="A94" s="2847" t="s">
        <v>2797</v>
      </c>
      <c r="B94" s="2848" t="s">
        <v>2593</v>
      </c>
      <c r="C94" s="2848" t="s">
        <v>2594</v>
      </c>
      <c r="D94" s="2848" t="s">
        <v>2595</v>
      </c>
      <c r="E94" s="2848" t="s">
        <v>2596</v>
      </c>
      <c r="F94" s="2848" t="s">
        <v>2597</v>
      </c>
      <c r="G94" s="2848" t="s">
        <v>2598</v>
      </c>
      <c r="H94" s="2849" t="s">
        <v>2599</v>
      </c>
      <c r="I94" s="2849" t="s">
        <v>2600</v>
      </c>
      <c r="J94" s="2850" t="s">
        <v>2601</v>
      </c>
      <c r="K94" s="2850" t="s">
        <v>2602</v>
      </c>
      <c r="L94" s="2850" t="s">
        <v>2603</v>
      </c>
      <c r="M94" s="2851" t="s">
        <v>2604</v>
      </c>
      <c r="N94">
        <f>SUMPRODUCT((A95:A184=ROUNDDOWN(基准地价修正!G3,1))*(B94:M94=基准地价修正!G2)*(B95:M184))</f>
        <v>1</v>
      </c>
      <c r="Q94" s="2861" t="s">
        <v>2802</v>
      </c>
      <c r="R94" s="2861" t="s">
        <v>2803</v>
      </c>
      <c r="S94" s="2861" t="s">
        <v>2804</v>
      </c>
      <c r="T94" s="2861" t="s">
        <v>2805</v>
      </c>
    </row>
    <row r="95" spans="1:20">
      <c r="A95" s="2852">
        <v>1</v>
      </c>
      <c r="B95" s="2853">
        <v>1.2501</v>
      </c>
      <c r="C95" s="2853">
        <v>1.2501</v>
      </c>
      <c r="D95" s="2853">
        <v>1.2158</v>
      </c>
      <c r="E95" s="2853">
        <v>1.2158</v>
      </c>
      <c r="F95" s="2853">
        <v>1.2158</v>
      </c>
      <c r="G95" s="2853">
        <v>1.2158</v>
      </c>
      <c r="H95" s="2853">
        <v>1.2158</v>
      </c>
      <c r="I95" s="2853">
        <v>1.2302</v>
      </c>
      <c r="J95" s="2853">
        <v>1.2302</v>
      </c>
      <c r="K95" s="2853">
        <v>1.2302</v>
      </c>
      <c r="L95" s="2853">
        <v>1.2302</v>
      </c>
      <c r="M95" s="2854">
        <v>1.2302</v>
      </c>
      <c r="Q95" s="2861">
        <v>10</v>
      </c>
      <c r="R95" s="2861">
        <f>ROUND(0.993-0.0112*Q95,4)</f>
        <v>0.88100000000000001</v>
      </c>
      <c r="S95" s="2861">
        <f>ROUND(0.9415-0.0142*Q95,4)</f>
        <v>0.79949999999999999</v>
      </c>
      <c r="T95" s="2861">
        <f>ROUND(0.8438-0.0182*Q95,4)</f>
        <v>0.66180000000000005</v>
      </c>
    </row>
    <row r="96" spans="1:20">
      <c r="A96" s="2852">
        <v>1.1000000000000001</v>
      </c>
      <c r="B96" s="2853">
        <v>1.2310000000000001</v>
      </c>
      <c r="C96" s="2853">
        <v>1.2310000000000001</v>
      </c>
      <c r="D96" s="2853">
        <v>1.1947000000000001</v>
      </c>
      <c r="E96" s="2853">
        <v>1.1947000000000001</v>
      </c>
      <c r="F96" s="2853">
        <v>1.1947000000000001</v>
      </c>
      <c r="G96" s="2853">
        <v>1.1947000000000001</v>
      </c>
      <c r="H96" s="2853">
        <v>1.1947000000000001</v>
      </c>
      <c r="I96" s="2853">
        <v>1.2008000000000001</v>
      </c>
      <c r="J96" s="2853">
        <v>1.2008000000000001</v>
      </c>
      <c r="K96" s="2853">
        <v>1.2008000000000001</v>
      </c>
      <c r="L96" s="2853">
        <v>1.2008000000000001</v>
      </c>
      <c r="M96" s="2854">
        <v>1.2008000000000001</v>
      </c>
    </row>
    <row r="97" spans="1:14">
      <c r="A97" s="2852">
        <v>1.2</v>
      </c>
      <c r="B97" s="2853">
        <v>1.2130000000000001</v>
      </c>
      <c r="C97" s="2853">
        <v>1.2130000000000001</v>
      </c>
      <c r="D97" s="2853">
        <v>1.1748000000000001</v>
      </c>
      <c r="E97" s="2853">
        <v>1.1748000000000001</v>
      </c>
      <c r="F97" s="2853">
        <v>1.1748000000000001</v>
      </c>
      <c r="G97" s="2853">
        <v>1.1748000000000001</v>
      </c>
      <c r="H97" s="2853">
        <v>1.1748000000000001</v>
      </c>
      <c r="I97" s="2853">
        <v>1.173</v>
      </c>
      <c r="J97" s="2853">
        <v>1.173</v>
      </c>
      <c r="K97" s="2853">
        <v>1.173</v>
      </c>
      <c r="L97" s="2853">
        <v>1.173</v>
      </c>
      <c r="M97" s="2854">
        <v>1.173</v>
      </c>
    </row>
    <row r="98" spans="1:14">
      <c r="A98" s="2852">
        <v>1.3</v>
      </c>
      <c r="B98" s="2853">
        <v>1.196</v>
      </c>
      <c r="C98" s="2853">
        <v>1.196</v>
      </c>
      <c r="D98" s="2853">
        <v>1.1559999999999999</v>
      </c>
      <c r="E98" s="2853">
        <v>1.1559999999999999</v>
      </c>
      <c r="F98" s="2853">
        <v>1.1559999999999999</v>
      </c>
      <c r="G98" s="2853">
        <v>1.1559999999999999</v>
      </c>
      <c r="H98" s="2853">
        <v>1.1559999999999999</v>
      </c>
      <c r="I98" s="2853">
        <v>1.1468</v>
      </c>
      <c r="J98" s="2853">
        <v>1.1468</v>
      </c>
      <c r="K98" s="2853">
        <v>1.1468</v>
      </c>
      <c r="L98" s="2853">
        <v>1.1468</v>
      </c>
      <c r="M98" s="2854">
        <v>1.1468</v>
      </c>
    </row>
    <row r="99" spans="1:14">
      <c r="A99" s="2852">
        <v>1.4</v>
      </c>
      <c r="B99" s="2853">
        <v>1.18</v>
      </c>
      <c r="C99" s="2853">
        <v>1.18</v>
      </c>
      <c r="D99" s="2853">
        <v>1.1382000000000001</v>
      </c>
      <c r="E99" s="2853">
        <v>1.1382000000000001</v>
      </c>
      <c r="F99" s="2853">
        <v>1.1382000000000001</v>
      </c>
      <c r="G99" s="2853">
        <v>1.1382000000000001</v>
      </c>
      <c r="H99" s="2853">
        <v>1.1382000000000001</v>
      </c>
      <c r="I99" s="2853">
        <v>1.1220000000000001</v>
      </c>
      <c r="J99" s="2853">
        <v>1.1220000000000001</v>
      </c>
      <c r="K99" s="2853">
        <v>1.1220000000000001</v>
      </c>
      <c r="L99" s="2853">
        <v>1.1220000000000001</v>
      </c>
      <c r="M99" s="2854">
        <v>1.1220000000000001</v>
      </c>
    </row>
    <row r="100" spans="1:14">
      <c r="A100" s="2852">
        <v>1.5</v>
      </c>
      <c r="B100" s="2853">
        <v>1.1649</v>
      </c>
      <c r="C100" s="2853">
        <v>1.1649</v>
      </c>
      <c r="D100" s="2853">
        <v>1.1214999999999999</v>
      </c>
      <c r="E100" s="2853">
        <v>1.1214999999999999</v>
      </c>
      <c r="F100" s="2853">
        <v>1.1214999999999999</v>
      </c>
      <c r="G100" s="2853">
        <v>1.1214999999999999</v>
      </c>
      <c r="H100" s="2853">
        <v>1.1214999999999999</v>
      </c>
      <c r="I100" s="2853">
        <v>1.0985</v>
      </c>
      <c r="J100" s="2853">
        <v>1.0985</v>
      </c>
      <c r="K100" s="2853">
        <v>1.0985</v>
      </c>
      <c r="L100" s="2853">
        <v>1.0985</v>
      </c>
      <c r="M100" s="2854">
        <v>1.0985</v>
      </c>
    </row>
    <row r="101" spans="1:14">
      <c r="A101" s="2852">
        <v>1.6</v>
      </c>
      <c r="B101" s="2853">
        <v>1.1507000000000001</v>
      </c>
      <c r="C101" s="2853">
        <v>1.1507000000000001</v>
      </c>
      <c r="D101" s="2853">
        <v>1.1056999999999999</v>
      </c>
      <c r="E101" s="2853">
        <v>1.1056999999999999</v>
      </c>
      <c r="F101" s="2853">
        <v>1.1056999999999999</v>
      </c>
      <c r="G101" s="2853">
        <v>1.1056999999999999</v>
      </c>
      <c r="H101" s="2853">
        <v>1.1056999999999999</v>
      </c>
      <c r="I101" s="2853">
        <v>1.0764</v>
      </c>
      <c r="J101" s="2853">
        <v>1.0764</v>
      </c>
      <c r="K101" s="2853">
        <v>1.0764</v>
      </c>
      <c r="L101" s="2853">
        <v>1.0764</v>
      </c>
      <c r="M101" s="2854">
        <v>1.0764</v>
      </c>
    </row>
    <row r="102" spans="1:14">
      <c r="A102" s="2852">
        <v>1.7</v>
      </c>
      <c r="B102" s="2853">
        <v>1.1373</v>
      </c>
      <c r="C102" s="2853">
        <v>1.1373</v>
      </c>
      <c r="D102" s="2853">
        <v>1.0908</v>
      </c>
      <c r="E102" s="2853">
        <v>1.0908</v>
      </c>
      <c r="F102" s="2853">
        <v>1.0908</v>
      </c>
      <c r="G102" s="2853">
        <v>1.0908</v>
      </c>
      <c r="H102" s="2853">
        <v>1.0908</v>
      </c>
      <c r="I102" s="2853">
        <v>1.0556000000000001</v>
      </c>
      <c r="J102" s="2853">
        <v>1.0556000000000001</v>
      </c>
      <c r="K102" s="2853">
        <v>1.0556000000000001</v>
      </c>
      <c r="L102" s="2853">
        <v>1.0556000000000001</v>
      </c>
      <c r="M102" s="2854">
        <v>1.0556000000000001</v>
      </c>
    </row>
    <row r="103" spans="1:14" ht="14.25">
      <c r="A103" s="2852">
        <v>1.8</v>
      </c>
      <c r="B103" s="2853">
        <v>1.1247</v>
      </c>
      <c r="C103" s="2853">
        <v>1.1247</v>
      </c>
      <c r="D103" s="2853">
        <v>1.0768</v>
      </c>
      <c r="E103" s="2853">
        <v>1.0768</v>
      </c>
      <c r="F103" s="2853">
        <v>1.0768</v>
      </c>
      <c r="G103" s="2853">
        <v>1.0768</v>
      </c>
      <c r="H103" s="2853">
        <v>1.0768</v>
      </c>
      <c r="I103" s="2853">
        <v>1.0359</v>
      </c>
      <c r="J103" s="2853">
        <v>1.0359</v>
      </c>
      <c r="K103" s="2853">
        <v>1.0359</v>
      </c>
      <c r="L103" s="2853">
        <v>1.0359</v>
      </c>
      <c r="M103" s="2854">
        <v>1.0359</v>
      </c>
      <c r="N103" s="700"/>
    </row>
    <row r="104" spans="1:14" ht="14.25">
      <c r="A104" s="2852">
        <v>1.9</v>
      </c>
      <c r="B104" s="2853">
        <v>1.1128</v>
      </c>
      <c r="C104" s="2853">
        <v>1.1128</v>
      </c>
      <c r="D104" s="2853">
        <v>1.0637000000000001</v>
      </c>
      <c r="E104" s="2853">
        <v>1.0637000000000001</v>
      </c>
      <c r="F104" s="2853">
        <v>1.0637000000000001</v>
      </c>
      <c r="G104" s="2853">
        <v>1.0637000000000001</v>
      </c>
      <c r="H104" s="2853">
        <v>1.0637000000000001</v>
      </c>
      <c r="I104" s="2853">
        <v>1.0174000000000001</v>
      </c>
      <c r="J104" s="2853">
        <v>1.0174000000000001</v>
      </c>
      <c r="K104" s="2853">
        <v>1.0174000000000001</v>
      </c>
      <c r="L104" s="2853">
        <v>1.0174000000000001</v>
      </c>
      <c r="M104" s="2854">
        <v>1.0174000000000001</v>
      </c>
      <c r="N104" s="700"/>
    </row>
    <row r="105" spans="1:14">
      <c r="A105" s="2852">
        <v>2</v>
      </c>
      <c r="B105" s="2853">
        <v>1.1016999999999999</v>
      </c>
      <c r="C105" s="2853">
        <v>1.1016999999999999</v>
      </c>
      <c r="D105" s="2853">
        <v>1.0512999999999999</v>
      </c>
      <c r="E105" s="2853">
        <v>1.0512999999999999</v>
      </c>
      <c r="F105" s="2853">
        <v>1.0512999999999999</v>
      </c>
      <c r="G105" s="2853">
        <v>1.0512999999999999</v>
      </c>
      <c r="H105" s="2853">
        <v>1.0512999999999999</v>
      </c>
      <c r="I105" s="2853">
        <v>1</v>
      </c>
      <c r="J105" s="2853">
        <v>1</v>
      </c>
      <c r="K105" s="2853">
        <v>1</v>
      </c>
      <c r="L105" s="2853">
        <v>1</v>
      </c>
      <c r="M105" s="2854">
        <v>1</v>
      </c>
    </row>
    <row r="106" spans="1:14">
      <c r="A106" s="2855">
        <v>2.1</v>
      </c>
      <c r="B106" s="2853">
        <v>1.0912999999999999</v>
      </c>
      <c r="C106" s="2853">
        <v>1.0912999999999999</v>
      </c>
      <c r="D106" s="2853">
        <v>1.0397000000000001</v>
      </c>
      <c r="E106" s="2853">
        <v>1.0397000000000001</v>
      </c>
      <c r="F106" s="2853">
        <v>1.0397000000000001</v>
      </c>
      <c r="G106" s="2853">
        <v>1.0397000000000001</v>
      </c>
      <c r="H106" s="2853">
        <v>1.0397000000000001</v>
      </c>
      <c r="I106" s="2853">
        <v>0.98360000000000003</v>
      </c>
      <c r="J106" s="2853">
        <v>0.98360000000000003</v>
      </c>
      <c r="K106" s="2853">
        <v>0.98360000000000003</v>
      </c>
      <c r="L106" s="2853">
        <v>0.98360000000000003</v>
      </c>
      <c r="M106" s="2854">
        <v>0.98360000000000003</v>
      </c>
    </row>
    <row r="107" spans="1:14">
      <c r="A107" s="2855">
        <v>2.2000000000000002</v>
      </c>
      <c r="B107" s="2853">
        <v>1.0814999999999999</v>
      </c>
      <c r="C107" s="2853">
        <v>1.0814999999999999</v>
      </c>
      <c r="D107" s="2853">
        <v>1.0287999999999999</v>
      </c>
      <c r="E107" s="2853">
        <v>1.0287999999999999</v>
      </c>
      <c r="F107" s="2853">
        <v>1.0287999999999999</v>
      </c>
      <c r="G107" s="2853">
        <v>1.0287999999999999</v>
      </c>
      <c r="H107" s="2853">
        <v>1.0287999999999999</v>
      </c>
      <c r="I107" s="2853">
        <v>0.96819999999999995</v>
      </c>
      <c r="J107" s="2853">
        <v>0.96819999999999995</v>
      </c>
      <c r="K107" s="2853">
        <v>0.96819999999999995</v>
      </c>
      <c r="L107" s="2853">
        <v>0.96819999999999995</v>
      </c>
      <c r="M107" s="2854">
        <v>0.96819999999999995</v>
      </c>
    </row>
    <row r="108" spans="1:14">
      <c r="A108" s="2855">
        <v>2.2999999999999998</v>
      </c>
      <c r="B108" s="2853">
        <v>1.0724</v>
      </c>
      <c r="C108" s="2853">
        <v>1.0724</v>
      </c>
      <c r="D108" s="2853">
        <v>1.0185999999999999</v>
      </c>
      <c r="E108" s="2853">
        <v>1.0185999999999999</v>
      </c>
      <c r="F108" s="2853">
        <v>1.0185999999999999</v>
      </c>
      <c r="G108" s="2853">
        <v>1.0185999999999999</v>
      </c>
      <c r="H108" s="2853">
        <v>1.0185999999999999</v>
      </c>
      <c r="I108" s="2853">
        <v>0.95369999999999999</v>
      </c>
      <c r="J108" s="2853">
        <v>0.95369999999999999</v>
      </c>
      <c r="K108" s="2853">
        <v>0.95369999999999999</v>
      </c>
      <c r="L108" s="2853">
        <v>0.95369999999999999</v>
      </c>
      <c r="M108" s="2854">
        <v>0.95369999999999999</v>
      </c>
    </row>
    <row r="109" spans="1:14">
      <c r="A109" s="2855">
        <v>2.4</v>
      </c>
      <c r="B109" s="2853">
        <v>1.0638000000000001</v>
      </c>
      <c r="C109" s="2853">
        <v>1.0638000000000001</v>
      </c>
      <c r="D109" s="2853">
        <v>1.0089999999999999</v>
      </c>
      <c r="E109" s="2853">
        <v>1.0089999999999999</v>
      </c>
      <c r="F109" s="2853">
        <v>1.0089999999999999</v>
      </c>
      <c r="G109" s="2853">
        <v>1.0089999999999999</v>
      </c>
      <c r="H109" s="2853">
        <v>1.0089999999999999</v>
      </c>
      <c r="I109" s="2853">
        <v>0.94010000000000005</v>
      </c>
      <c r="J109" s="2853">
        <v>0.94010000000000005</v>
      </c>
      <c r="K109" s="2853">
        <v>0.94010000000000005</v>
      </c>
      <c r="L109" s="2853">
        <v>0.94010000000000005</v>
      </c>
      <c r="M109" s="2854">
        <v>0.94010000000000005</v>
      </c>
    </row>
    <row r="110" spans="1:14">
      <c r="A110" s="2855">
        <v>2.5</v>
      </c>
      <c r="B110" s="2853">
        <v>1.0558000000000001</v>
      </c>
      <c r="C110" s="2853">
        <v>1.0558000000000001</v>
      </c>
      <c r="D110" s="2853">
        <v>1</v>
      </c>
      <c r="E110" s="2853">
        <v>1</v>
      </c>
      <c r="F110" s="2853">
        <v>1</v>
      </c>
      <c r="G110" s="2853">
        <v>1</v>
      </c>
      <c r="H110" s="2853">
        <v>1</v>
      </c>
      <c r="I110" s="2853">
        <v>0.9274</v>
      </c>
      <c r="J110" s="2853">
        <v>0.9274</v>
      </c>
      <c r="K110" s="2853">
        <v>0.9274</v>
      </c>
      <c r="L110" s="2853">
        <v>0.9274</v>
      </c>
      <c r="M110" s="2854">
        <v>0.9274</v>
      </c>
    </row>
    <row r="111" spans="1:14">
      <c r="A111" s="2855">
        <v>2.6</v>
      </c>
      <c r="B111" s="2853">
        <v>1.0483</v>
      </c>
      <c r="C111" s="2853">
        <v>1.0483</v>
      </c>
      <c r="D111" s="2853">
        <v>0.99160000000000004</v>
      </c>
      <c r="E111" s="2853">
        <v>0.99160000000000004</v>
      </c>
      <c r="F111" s="2853">
        <v>0.99160000000000004</v>
      </c>
      <c r="G111" s="2853">
        <v>0.99160000000000004</v>
      </c>
      <c r="H111" s="2853">
        <v>0.99160000000000004</v>
      </c>
      <c r="I111" s="2853">
        <v>0.91539999999999999</v>
      </c>
      <c r="J111" s="2853">
        <v>0.91539999999999999</v>
      </c>
      <c r="K111" s="2853">
        <v>0.91539999999999999</v>
      </c>
      <c r="L111" s="2853">
        <v>0.91539999999999999</v>
      </c>
      <c r="M111" s="2854">
        <v>0.91539999999999999</v>
      </c>
    </row>
    <row r="112" spans="1:14">
      <c r="A112" s="2855">
        <v>2.7</v>
      </c>
      <c r="B112" s="2853">
        <v>1.0412999999999999</v>
      </c>
      <c r="C112" s="2853">
        <v>1.0412999999999999</v>
      </c>
      <c r="D112" s="2853">
        <v>0.98370000000000002</v>
      </c>
      <c r="E112" s="2853">
        <v>0.98370000000000002</v>
      </c>
      <c r="F112" s="2853">
        <v>0.98370000000000002</v>
      </c>
      <c r="G112" s="2853">
        <v>0.98370000000000002</v>
      </c>
      <c r="H112" s="2853">
        <v>0.98370000000000002</v>
      </c>
      <c r="I112" s="2853">
        <v>0.90429999999999999</v>
      </c>
      <c r="J112" s="2853">
        <v>0.90429999999999999</v>
      </c>
      <c r="K112" s="2853">
        <v>0.90429999999999999</v>
      </c>
      <c r="L112" s="2853">
        <v>0.90429999999999999</v>
      </c>
      <c r="M112" s="2854">
        <v>0.90429999999999999</v>
      </c>
    </row>
    <row r="113" spans="1:13">
      <c r="A113" s="2855">
        <v>2.8</v>
      </c>
      <c r="B113" s="2853">
        <v>1.0347999999999999</v>
      </c>
      <c r="C113" s="2853">
        <v>1.0347999999999999</v>
      </c>
      <c r="D113" s="2853">
        <v>0.97640000000000005</v>
      </c>
      <c r="E113" s="2853">
        <v>0.97640000000000005</v>
      </c>
      <c r="F113" s="2853">
        <v>0.97640000000000005</v>
      </c>
      <c r="G113" s="2853">
        <v>0.97640000000000005</v>
      </c>
      <c r="H113" s="2853">
        <v>0.97640000000000005</v>
      </c>
      <c r="I113" s="2853">
        <v>0.89370000000000005</v>
      </c>
      <c r="J113" s="2853">
        <v>0.89370000000000005</v>
      </c>
      <c r="K113" s="2853">
        <v>0.89370000000000005</v>
      </c>
      <c r="L113" s="2853">
        <v>0.89370000000000005</v>
      </c>
      <c r="M113" s="2854">
        <v>0.89370000000000005</v>
      </c>
    </row>
    <row r="114" spans="1:13">
      <c r="A114" s="2855">
        <v>2.9</v>
      </c>
      <c r="B114" s="2853">
        <v>1.0286999999999999</v>
      </c>
      <c r="C114" s="2853">
        <v>1.0286999999999999</v>
      </c>
      <c r="D114" s="2853">
        <v>0.96950000000000003</v>
      </c>
      <c r="E114" s="2853">
        <v>0.96950000000000003</v>
      </c>
      <c r="F114" s="2853">
        <v>0.96950000000000003</v>
      </c>
      <c r="G114" s="2853">
        <v>0.96950000000000003</v>
      </c>
      <c r="H114" s="2853">
        <v>0.96950000000000003</v>
      </c>
      <c r="I114" s="2853">
        <v>0.88390000000000002</v>
      </c>
      <c r="J114" s="2853">
        <v>0.88390000000000002</v>
      </c>
      <c r="K114" s="2853">
        <v>0.88390000000000002</v>
      </c>
      <c r="L114" s="2853">
        <v>0.88390000000000002</v>
      </c>
      <c r="M114" s="2854">
        <v>0.88390000000000002</v>
      </c>
    </row>
    <row r="115" spans="1:13">
      <c r="A115" s="2855">
        <v>3</v>
      </c>
      <c r="B115" s="2853">
        <v>1.0229999999999999</v>
      </c>
      <c r="C115" s="2853">
        <v>1.0229999999999999</v>
      </c>
      <c r="D115" s="2853">
        <v>0.96309999999999996</v>
      </c>
      <c r="E115" s="2853">
        <v>0.96309999999999996</v>
      </c>
      <c r="F115" s="2853">
        <v>0.96309999999999996</v>
      </c>
      <c r="G115" s="2853">
        <v>0.96309999999999996</v>
      </c>
      <c r="H115" s="2853">
        <v>0.96309999999999996</v>
      </c>
      <c r="I115" s="2853">
        <v>0.87460000000000004</v>
      </c>
      <c r="J115" s="2853">
        <v>0.87460000000000004</v>
      </c>
      <c r="K115" s="2853">
        <v>0.87460000000000004</v>
      </c>
      <c r="L115" s="2853">
        <v>0.87460000000000004</v>
      </c>
      <c r="M115" s="2854">
        <v>0.87460000000000004</v>
      </c>
    </row>
    <row r="116" spans="1:13">
      <c r="A116" s="2855">
        <v>3.1</v>
      </c>
      <c r="B116" s="2853">
        <v>1.0177</v>
      </c>
      <c r="C116" s="2853">
        <v>1.0177</v>
      </c>
      <c r="D116" s="2853">
        <v>0.95709999999999995</v>
      </c>
      <c r="E116" s="2853">
        <v>0.95709999999999995</v>
      </c>
      <c r="F116" s="2853">
        <v>0.95709999999999995</v>
      </c>
      <c r="G116" s="2853">
        <v>0.95709999999999995</v>
      </c>
      <c r="H116" s="2853">
        <v>0.95709999999999995</v>
      </c>
      <c r="I116" s="2853">
        <v>0.8659</v>
      </c>
      <c r="J116" s="2853">
        <v>0.8659</v>
      </c>
      <c r="K116" s="2853">
        <v>0.8659</v>
      </c>
      <c r="L116" s="2853">
        <v>0.8659</v>
      </c>
      <c r="M116" s="2854">
        <v>0.8659</v>
      </c>
    </row>
    <row r="117" spans="1:13">
      <c r="A117" s="2855">
        <v>3.2</v>
      </c>
      <c r="B117" s="2853">
        <v>1.0127999999999999</v>
      </c>
      <c r="C117" s="2853">
        <v>1.0127999999999999</v>
      </c>
      <c r="D117" s="2853">
        <v>0.9516</v>
      </c>
      <c r="E117" s="2853">
        <v>0.9516</v>
      </c>
      <c r="F117" s="2853">
        <v>0.9516</v>
      </c>
      <c r="G117" s="2853">
        <v>0.9516</v>
      </c>
      <c r="H117" s="2853">
        <v>0.9516</v>
      </c>
      <c r="I117" s="2853">
        <v>0.85780000000000001</v>
      </c>
      <c r="J117" s="2853">
        <v>0.85780000000000001</v>
      </c>
      <c r="K117" s="2853">
        <v>0.85780000000000001</v>
      </c>
      <c r="L117" s="2853">
        <v>0.85780000000000001</v>
      </c>
      <c r="M117" s="2854">
        <v>0.85780000000000001</v>
      </c>
    </row>
    <row r="118" spans="1:13">
      <c r="A118" s="2855">
        <v>3.3</v>
      </c>
      <c r="B118" s="2853">
        <v>1.0082</v>
      </c>
      <c r="C118" s="2853">
        <v>1.0082</v>
      </c>
      <c r="D118" s="2853">
        <v>0.94640000000000002</v>
      </c>
      <c r="E118" s="2853">
        <v>0.94640000000000002</v>
      </c>
      <c r="F118" s="2853">
        <v>0.94640000000000002</v>
      </c>
      <c r="G118" s="2853">
        <v>0.94640000000000002</v>
      </c>
      <c r="H118" s="2853">
        <v>0.94640000000000002</v>
      </c>
      <c r="I118" s="2853">
        <v>0.85029999999999994</v>
      </c>
      <c r="J118" s="2853">
        <v>0.85029999999999994</v>
      </c>
      <c r="K118" s="2853">
        <v>0.85029999999999994</v>
      </c>
      <c r="L118" s="2853">
        <v>0.85029999999999994</v>
      </c>
      <c r="M118" s="2854">
        <v>0.85029999999999994</v>
      </c>
    </row>
    <row r="119" spans="1:13">
      <c r="A119" s="2855">
        <v>3.4</v>
      </c>
      <c r="B119" s="2853">
        <v>1.004</v>
      </c>
      <c r="C119" s="2853">
        <v>1.004</v>
      </c>
      <c r="D119" s="2853">
        <v>0.9415</v>
      </c>
      <c r="E119" s="2853">
        <v>0.9415</v>
      </c>
      <c r="F119" s="2853">
        <v>0.9415</v>
      </c>
      <c r="G119" s="2853">
        <v>0.9415</v>
      </c>
      <c r="H119" s="2853">
        <v>0.9415</v>
      </c>
      <c r="I119" s="2853">
        <v>0.84319999999999995</v>
      </c>
      <c r="J119" s="2853">
        <v>0.84319999999999995</v>
      </c>
      <c r="K119" s="2853">
        <v>0.84319999999999995</v>
      </c>
      <c r="L119" s="2853">
        <v>0.84319999999999995</v>
      </c>
      <c r="M119" s="2854">
        <v>0.84319999999999995</v>
      </c>
    </row>
    <row r="120" spans="1:13">
      <c r="A120" s="2855">
        <v>3.5</v>
      </c>
      <c r="B120" s="2853">
        <v>1</v>
      </c>
      <c r="C120" s="2853">
        <v>1</v>
      </c>
      <c r="D120" s="2853">
        <v>0.93700000000000006</v>
      </c>
      <c r="E120" s="2853">
        <v>0.93700000000000006</v>
      </c>
      <c r="F120" s="2853">
        <v>0.93700000000000006</v>
      </c>
      <c r="G120" s="2853">
        <v>0.93700000000000006</v>
      </c>
      <c r="H120" s="2853">
        <v>0.93700000000000006</v>
      </c>
      <c r="I120" s="2853">
        <v>0.83660000000000001</v>
      </c>
      <c r="J120" s="2853">
        <v>0.83660000000000001</v>
      </c>
      <c r="K120" s="2853">
        <v>0.83660000000000001</v>
      </c>
      <c r="L120" s="2853">
        <v>0.83660000000000001</v>
      </c>
      <c r="M120" s="2854">
        <v>0.83660000000000001</v>
      </c>
    </row>
    <row r="121" spans="1:13">
      <c r="A121" s="2855">
        <v>3.6</v>
      </c>
      <c r="B121" s="2853">
        <v>0.99629999999999996</v>
      </c>
      <c r="C121" s="2853">
        <v>0.99629999999999996</v>
      </c>
      <c r="D121" s="2853">
        <v>0.93279999999999996</v>
      </c>
      <c r="E121" s="2853">
        <v>0.93279999999999996</v>
      </c>
      <c r="F121" s="2853">
        <v>0.93279999999999996</v>
      </c>
      <c r="G121" s="2853">
        <v>0.93279999999999996</v>
      </c>
      <c r="H121" s="2853">
        <v>0.93279999999999996</v>
      </c>
      <c r="I121" s="2853">
        <v>0.83040000000000003</v>
      </c>
      <c r="J121" s="2853">
        <v>0.83040000000000003</v>
      </c>
      <c r="K121" s="2853">
        <v>0.83040000000000003</v>
      </c>
      <c r="L121" s="2853">
        <v>0.83040000000000003</v>
      </c>
      <c r="M121" s="2854">
        <v>0.83040000000000003</v>
      </c>
    </row>
    <row r="122" spans="1:13">
      <c r="A122" s="2855">
        <v>3.7</v>
      </c>
      <c r="B122" s="2853">
        <v>0.9929</v>
      </c>
      <c r="C122" s="2853">
        <v>0.9929</v>
      </c>
      <c r="D122" s="2853">
        <v>0.92879999999999996</v>
      </c>
      <c r="E122" s="2853">
        <v>0.92879999999999996</v>
      </c>
      <c r="F122" s="2853">
        <v>0.92879999999999996</v>
      </c>
      <c r="G122" s="2853">
        <v>0.92879999999999996</v>
      </c>
      <c r="H122" s="2853">
        <v>0.92879999999999996</v>
      </c>
      <c r="I122" s="2853">
        <v>0.8246</v>
      </c>
      <c r="J122" s="2853">
        <v>0.8246</v>
      </c>
      <c r="K122" s="2853">
        <v>0.8246</v>
      </c>
      <c r="L122" s="2853">
        <v>0.8246</v>
      </c>
      <c r="M122" s="2854">
        <v>0.8246</v>
      </c>
    </row>
    <row r="123" spans="1:13">
      <c r="A123" s="2855">
        <v>3.8</v>
      </c>
      <c r="B123" s="2853">
        <v>0.98970000000000002</v>
      </c>
      <c r="C123" s="2853">
        <v>0.98970000000000002</v>
      </c>
      <c r="D123" s="2853">
        <v>0.92520000000000002</v>
      </c>
      <c r="E123" s="2853">
        <v>0.92520000000000002</v>
      </c>
      <c r="F123" s="2853">
        <v>0.92520000000000002</v>
      </c>
      <c r="G123" s="2853">
        <v>0.92520000000000002</v>
      </c>
      <c r="H123" s="2853">
        <v>0.92520000000000002</v>
      </c>
      <c r="I123" s="2853">
        <v>0.81920000000000004</v>
      </c>
      <c r="J123" s="2853">
        <v>0.81920000000000004</v>
      </c>
      <c r="K123" s="2853">
        <v>0.81920000000000004</v>
      </c>
      <c r="L123" s="2853">
        <v>0.81920000000000004</v>
      </c>
      <c r="M123" s="2854">
        <v>0.81920000000000004</v>
      </c>
    </row>
    <row r="124" spans="1:13">
      <c r="A124" s="2855">
        <v>3.9</v>
      </c>
      <c r="B124" s="2853">
        <v>0.98670000000000002</v>
      </c>
      <c r="C124" s="2853">
        <v>0.98670000000000002</v>
      </c>
      <c r="D124" s="2853">
        <v>0.92179999999999995</v>
      </c>
      <c r="E124" s="2853">
        <v>0.92179999999999995</v>
      </c>
      <c r="F124" s="2853">
        <v>0.92179999999999995</v>
      </c>
      <c r="G124" s="2853">
        <v>0.92179999999999995</v>
      </c>
      <c r="H124" s="2853">
        <v>0.92179999999999995</v>
      </c>
      <c r="I124" s="2853">
        <v>0.81410000000000005</v>
      </c>
      <c r="J124" s="2853">
        <v>0.81410000000000005</v>
      </c>
      <c r="K124" s="2853">
        <v>0.81410000000000005</v>
      </c>
      <c r="L124" s="2853">
        <v>0.81410000000000005</v>
      </c>
      <c r="M124" s="2854">
        <v>0.81410000000000005</v>
      </c>
    </row>
    <row r="125" spans="1:13">
      <c r="A125" s="2855">
        <v>4</v>
      </c>
      <c r="B125" s="2853">
        <v>0.98380000000000001</v>
      </c>
      <c r="C125" s="2853">
        <v>0.98380000000000001</v>
      </c>
      <c r="D125" s="2853">
        <v>0.91859999999999997</v>
      </c>
      <c r="E125" s="2853">
        <v>0.91859999999999997</v>
      </c>
      <c r="F125" s="2853">
        <v>0.91859999999999997</v>
      </c>
      <c r="G125" s="2853">
        <v>0.91859999999999997</v>
      </c>
      <c r="H125" s="2853">
        <v>0.91859999999999997</v>
      </c>
      <c r="I125" s="2853">
        <v>0.80940000000000001</v>
      </c>
      <c r="J125" s="2853">
        <v>0.80940000000000001</v>
      </c>
      <c r="K125" s="2853">
        <v>0.80940000000000001</v>
      </c>
      <c r="L125" s="2853">
        <v>0.80940000000000001</v>
      </c>
      <c r="M125" s="2854">
        <v>0.80940000000000001</v>
      </c>
    </row>
    <row r="126" spans="1:13">
      <c r="A126" s="2855">
        <v>4.0999999999999996</v>
      </c>
      <c r="B126" s="2853">
        <v>0.98099999999999998</v>
      </c>
      <c r="C126" s="2853">
        <v>0.98099999999999998</v>
      </c>
      <c r="D126" s="2853">
        <v>0.91559999999999997</v>
      </c>
      <c r="E126" s="2853">
        <v>0.91559999999999997</v>
      </c>
      <c r="F126" s="2853">
        <v>0.91559999999999997</v>
      </c>
      <c r="G126" s="2853">
        <v>0.91559999999999997</v>
      </c>
      <c r="H126" s="2853">
        <v>0.91559999999999997</v>
      </c>
      <c r="I126" s="2853">
        <v>0.80489999999999995</v>
      </c>
      <c r="J126" s="2853">
        <v>0.80489999999999995</v>
      </c>
      <c r="K126" s="2853">
        <v>0.80489999999999995</v>
      </c>
      <c r="L126" s="2853">
        <v>0.80489999999999995</v>
      </c>
      <c r="M126" s="2854">
        <v>0.80489999999999995</v>
      </c>
    </row>
    <row r="127" spans="1:13">
      <c r="A127" s="2855">
        <v>4.2</v>
      </c>
      <c r="B127" s="2853">
        <v>0.97829999999999995</v>
      </c>
      <c r="C127" s="2853">
        <v>0.97829999999999995</v>
      </c>
      <c r="D127" s="2853">
        <v>0.91269999999999996</v>
      </c>
      <c r="E127" s="2853">
        <v>0.91269999999999996</v>
      </c>
      <c r="F127" s="2853">
        <v>0.91269999999999996</v>
      </c>
      <c r="G127" s="2853">
        <v>0.91269999999999996</v>
      </c>
      <c r="H127" s="2853">
        <v>0.91269999999999996</v>
      </c>
      <c r="I127" s="2853">
        <v>0.80059999999999998</v>
      </c>
      <c r="J127" s="2853">
        <v>0.80059999999999998</v>
      </c>
      <c r="K127" s="2853">
        <v>0.80059999999999998</v>
      </c>
      <c r="L127" s="2853">
        <v>0.80059999999999998</v>
      </c>
      <c r="M127" s="2854">
        <v>0.80059999999999998</v>
      </c>
    </row>
    <row r="128" spans="1:13">
      <c r="A128" s="2855">
        <v>4.3</v>
      </c>
      <c r="B128" s="2853">
        <v>0.97570000000000001</v>
      </c>
      <c r="C128" s="2853">
        <v>0.97570000000000001</v>
      </c>
      <c r="D128" s="2853">
        <v>0.90990000000000004</v>
      </c>
      <c r="E128" s="2853">
        <v>0.90990000000000004</v>
      </c>
      <c r="F128" s="2853">
        <v>0.90990000000000004</v>
      </c>
      <c r="G128" s="2853">
        <v>0.90990000000000004</v>
      </c>
      <c r="H128" s="2853">
        <v>0.90990000000000004</v>
      </c>
      <c r="I128" s="2853">
        <v>0.79649999999999999</v>
      </c>
      <c r="J128" s="2853">
        <v>0.79649999999999999</v>
      </c>
      <c r="K128" s="2853">
        <v>0.79649999999999999</v>
      </c>
      <c r="L128" s="2853">
        <v>0.79649999999999999</v>
      </c>
      <c r="M128" s="2854">
        <v>0.79649999999999999</v>
      </c>
    </row>
    <row r="129" spans="1:13">
      <c r="A129" s="2855">
        <v>4.4000000000000004</v>
      </c>
      <c r="B129" s="2853">
        <v>0.97319999999999995</v>
      </c>
      <c r="C129" s="2853">
        <v>0.97319999999999995</v>
      </c>
      <c r="D129" s="2853">
        <v>0.90720000000000001</v>
      </c>
      <c r="E129" s="2853">
        <v>0.90720000000000001</v>
      </c>
      <c r="F129" s="2853">
        <v>0.90720000000000001</v>
      </c>
      <c r="G129" s="2853">
        <v>0.90720000000000001</v>
      </c>
      <c r="H129" s="2853">
        <v>0.90720000000000001</v>
      </c>
      <c r="I129" s="2853">
        <v>0.79259999999999997</v>
      </c>
      <c r="J129" s="2853">
        <v>0.79259999999999997</v>
      </c>
      <c r="K129" s="2853">
        <v>0.79259999999999997</v>
      </c>
      <c r="L129" s="2853">
        <v>0.79259999999999997</v>
      </c>
      <c r="M129" s="2854">
        <v>0.79259999999999997</v>
      </c>
    </row>
    <row r="130" spans="1:13">
      <c r="A130" s="2855">
        <v>4.5</v>
      </c>
      <c r="B130" s="2853">
        <v>0.9708</v>
      </c>
      <c r="C130" s="2853">
        <v>0.9708</v>
      </c>
      <c r="D130" s="2853">
        <v>0.90459999999999996</v>
      </c>
      <c r="E130" s="2853">
        <v>0.90459999999999996</v>
      </c>
      <c r="F130" s="2853">
        <v>0.90459999999999996</v>
      </c>
      <c r="G130" s="2853">
        <v>0.90459999999999996</v>
      </c>
      <c r="H130" s="2853">
        <v>0.90459999999999996</v>
      </c>
      <c r="I130" s="2853">
        <v>0.78890000000000005</v>
      </c>
      <c r="J130" s="2853">
        <v>0.78890000000000005</v>
      </c>
      <c r="K130" s="2853">
        <v>0.78890000000000005</v>
      </c>
      <c r="L130" s="2853">
        <v>0.78890000000000005</v>
      </c>
      <c r="M130" s="2854">
        <v>0.78890000000000005</v>
      </c>
    </row>
    <row r="131" spans="1:13">
      <c r="A131" s="2855">
        <v>4.5999999999999996</v>
      </c>
      <c r="B131" s="2853">
        <v>0.96850000000000003</v>
      </c>
      <c r="C131" s="2853">
        <v>0.96850000000000003</v>
      </c>
      <c r="D131" s="2853">
        <v>0.90210000000000001</v>
      </c>
      <c r="E131" s="2853">
        <v>0.90210000000000001</v>
      </c>
      <c r="F131" s="2853">
        <v>0.90210000000000001</v>
      </c>
      <c r="G131" s="2853">
        <v>0.90210000000000001</v>
      </c>
      <c r="H131" s="2853">
        <v>0.90210000000000001</v>
      </c>
      <c r="I131" s="2853">
        <v>0.78539999999999999</v>
      </c>
      <c r="J131" s="2853">
        <v>0.78539999999999999</v>
      </c>
      <c r="K131" s="2853">
        <v>0.78539999999999999</v>
      </c>
      <c r="L131" s="2853">
        <v>0.78539999999999999</v>
      </c>
      <c r="M131" s="2854">
        <v>0.78539999999999999</v>
      </c>
    </row>
    <row r="132" spans="1:13">
      <c r="A132" s="2855">
        <v>4.7</v>
      </c>
      <c r="B132" s="2853">
        <v>0.96630000000000005</v>
      </c>
      <c r="C132" s="2853">
        <v>0.96630000000000005</v>
      </c>
      <c r="D132" s="2853">
        <v>0.89959999999999996</v>
      </c>
      <c r="E132" s="2853">
        <v>0.89959999999999996</v>
      </c>
      <c r="F132" s="2853">
        <v>0.89959999999999996</v>
      </c>
      <c r="G132" s="2853">
        <v>0.89959999999999996</v>
      </c>
      <c r="H132" s="2853">
        <v>0.89959999999999996</v>
      </c>
      <c r="I132" s="2853">
        <v>0.78210000000000002</v>
      </c>
      <c r="J132" s="2853">
        <v>0.78210000000000002</v>
      </c>
      <c r="K132" s="2853">
        <v>0.78210000000000002</v>
      </c>
      <c r="L132" s="2853">
        <v>0.78210000000000002</v>
      </c>
      <c r="M132" s="2854">
        <v>0.78210000000000002</v>
      </c>
    </row>
    <row r="133" spans="1:13">
      <c r="A133" s="2855">
        <v>4.8</v>
      </c>
      <c r="B133" s="2853">
        <v>0.96409999999999996</v>
      </c>
      <c r="C133" s="2853">
        <v>0.96409999999999996</v>
      </c>
      <c r="D133" s="2853">
        <v>0.8972</v>
      </c>
      <c r="E133" s="2853">
        <v>0.8972</v>
      </c>
      <c r="F133" s="2853">
        <v>0.8972</v>
      </c>
      <c r="G133" s="2853">
        <v>0.8972</v>
      </c>
      <c r="H133" s="2853">
        <v>0.8972</v>
      </c>
      <c r="I133" s="2853">
        <v>0.77890000000000004</v>
      </c>
      <c r="J133" s="2853">
        <v>0.77890000000000004</v>
      </c>
      <c r="K133" s="2853">
        <v>0.77890000000000004</v>
      </c>
      <c r="L133" s="2853">
        <v>0.77890000000000004</v>
      </c>
      <c r="M133" s="2854">
        <v>0.77890000000000004</v>
      </c>
    </row>
    <row r="134" spans="1:13">
      <c r="A134" s="2855">
        <v>4.9000000000000004</v>
      </c>
      <c r="B134" s="2853">
        <v>0.96199999999999997</v>
      </c>
      <c r="C134" s="2853">
        <v>0.96199999999999997</v>
      </c>
      <c r="D134" s="2853">
        <v>0.89480000000000004</v>
      </c>
      <c r="E134" s="2853">
        <v>0.89480000000000004</v>
      </c>
      <c r="F134" s="2853">
        <v>0.89480000000000004</v>
      </c>
      <c r="G134" s="2853">
        <v>0.89480000000000004</v>
      </c>
      <c r="H134" s="2853">
        <v>0.89480000000000004</v>
      </c>
      <c r="I134" s="2853">
        <v>0.77580000000000005</v>
      </c>
      <c r="J134" s="2853">
        <v>0.77580000000000005</v>
      </c>
      <c r="K134" s="2853">
        <v>0.77580000000000005</v>
      </c>
      <c r="L134" s="2853">
        <v>0.77580000000000005</v>
      </c>
      <c r="M134" s="2854">
        <v>0.77580000000000005</v>
      </c>
    </row>
    <row r="135" spans="1:13">
      <c r="A135" s="2855">
        <v>5</v>
      </c>
      <c r="B135" s="2853">
        <v>0.95989999999999998</v>
      </c>
      <c r="C135" s="2853">
        <v>0.95989999999999998</v>
      </c>
      <c r="D135" s="2853">
        <v>0.89239999999999997</v>
      </c>
      <c r="E135" s="2853">
        <v>0.89239999999999997</v>
      </c>
      <c r="F135" s="2853">
        <v>0.89239999999999997</v>
      </c>
      <c r="G135" s="2853">
        <v>0.89239999999999997</v>
      </c>
      <c r="H135" s="2853">
        <v>0.89239999999999997</v>
      </c>
      <c r="I135" s="2853">
        <v>0.77280000000000004</v>
      </c>
      <c r="J135" s="2853">
        <v>0.77280000000000004</v>
      </c>
      <c r="K135" s="2853">
        <v>0.77280000000000004</v>
      </c>
      <c r="L135" s="2853">
        <v>0.77280000000000004</v>
      </c>
      <c r="M135" s="2854">
        <v>0.77280000000000004</v>
      </c>
    </row>
    <row r="136" spans="1:13">
      <c r="A136" s="2852">
        <v>5.0999999999999996</v>
      </c>
      <c r="B136" s="2853">
        <v>0.95779999999999998</v>
      </c>
      <c r="C136" s="2853">
        <v>0.95779999999999998</v>
      </c>
      <c r="D136" s="2853">
        <v>0.8901</v>
      </c>
      <c r="E136" s="2853">
        <v>0.8901</v>
      </c>
      <c r="F136" s="2853">
        <v>0.8901</v>
      </c>
      <c r="G136" s="2853">
        <v>0.8901</v>
      </c>
      <c r="H136" s="2853">
        <v>0.8901</v>
      </c>
      <c r="I136" s="2853">
        <v>0.76990000000000003</v>
      </c>
      <c r="J136" s="2853">
        <v>0.76990000000000003</v>
      </c>
      <c r="K136" s="2853">
        <v>0.76990000000000003</v>
      </c>
      <c r="L136" s="2853">
        <v>0.76990000000000003</v>
      </c>
      <c r="M136" s="2854">
        <v>0.76990000000000003</v>
      </c>
    </row>
    <row r="137" spans="1:13">
      <c r="A137" s="2852">
        <v>5.2</v>
      </c>
      <c r="B137" s="2853">
        <v>0.95579999999999998</v>
      </c>
      <c r="C137" s="2853">
        <v>0.95579999999999998</v>
      </c>
      <c r="D137" s="2853">
        <v>0.88780000000000003</v>
      </c>
      <c r="E137" s="2853">
        <v>0.88780000000000003</v>
      </c>
      <c r="F137" s="2853">
        <v>0.88780000000000003</v>
      </c>
      <c r="G137" s="2853">
        <v>0.88780000000000003</v>
      </c>
      <c r="H137" s="2853">
        <v>0.88780000000000003</v>
      </c>
      <c r="I137" s="2853">
        <v>0.76700000000000002</v>
      </c>
      <c r="J137" s="2853">
        <v>0.76700000000000002</v>
      </c>
      <c r="K137" s="2853">
        <v>0.76700000000000002</v>
      </c>
      <c r="L137" s="2853">
        <v>0.76700000000000002</v>
      </c>
      <c r="M137" s="2854">
        <v>0.76700000000000002</v>
      </c>
    </row>
    <row r="138" spans="1:13">
      <c r="A138" s="2852">
        <v>5.3</v>
      </c>
      <c r="B138" s="2853">
        <v>0.95379999999999998</v>
      </c>
      <c r="C138" s="2853">
        <v>0.95379999999999998</v>
      </c>
      <c r="D138" s="2853">
        <v>0.88549999999999995</v>
      </c>
      <c r="E138" s="2853">
        <v>0.88549999999999995</v>
      </c>
      <c r="F138" s="2853">
        <v>0.88549999999999995</v>
      </c>
      <c r="G138" s="2853">
        <v>0.88549999999999995</v>
      </c>
      <c r="H138" s="2853">
        <v>0.88549999999999995</v>
      </c>
      <c r="I138" s="2853">
        <v>0.76419999999999999</v>
      </c>
      <c r="J138" s="2853">
        <v>0.76419999999999999</v>
      </c>
      <c r="K138" s="2853">
        <v>0.76419999999999999</v>
      </c>
      <c r="L138" s="2853">
        <v>0.76419999999999999</v>
      </c>
      <c r="M138" s="2854">
        <v>0.76419999999999999</v>
      </c>
    </row>
    <row r="139" spans="1:13">
      <c r="A139" s="2852">
        <v>5.4</v>
      </c>
      <c r="B139" s="2853">
        <v>0.95179999999999998</v>
      </c>
      <c r="C139" s="2853">
        <v>0.95179999999999998</v>
      </c>
      <c r="D139" s="2853">
        <v>0.88329999999999997</v>
      </c>
      <c r="E139" s="2853">
        <v>0.88329999999999997</v>
      </c>
      <c r="F139" s="2853">
        <v>0.88329999999999997</v>
      </c>
      <c r="G139" s="2853">
        <v>0.88329999999999997</v>
      </c>
      <c r="H139" s="2853">
        <v>0.88329999999999997</v>
      </c>
      <c r="I139" s="2853">
        <v>0.76139999999999997</v>
      </c>
      <c r="J139" s="2853">
        <v>0.76139999999999997</v>
      </c>
      <c r="K139" s="2853">
        <v>0.76139999999999997</v>
      </c>
      <c r="L139" s="2853">
        <v>0.76139999999999997</v>
      </c>
      <c r="M139" s="2854">
        <v>0.76139999999999997</v>
      </c>
    </row>
    <row r="140" spans="1:13">
      <c r="A140" s="2852">
        <v>5.5</v>
      </c>
      <c r="B140" s="2853">
        <v>0.94979999999999998</v>
      </c>
      <c r="C140" s="2853">
        <v>0.94979999999999998</v>
      </c>
      <c r="D140" s="2853">
        <v>0.88109999999999999</v>
      </c>
      <c r="E140" s="2853">
        <v>0.88109999999999999</v>
      </c>
      <c r="F140" s="2853">
        <v>0.88109999999999999</v>
      </c>
      <c r="G140" s="2853">
        <v>0.88109999999999999</v>
      </c>
      <c r="H140" s="2853">
        <v>0.88109999999999999</v>
      </c>
      <c r="I140" s="2853">
        <v>0.75860000000000005</v>
      </c>
      <c r="J140" s="2853">
        <v>0.75860000000000005</v>
      </c>
      <c r="K140" s="2853">
        <v>0.75860000000000005</v>
      </c>
      <c r="L140" s="2853">
        <v>0.75860000000000005</v>
      </c>
      <c r="M140" s="2854">
        <v>0.75860000000000005</v>
      </c>
    </row>
    <row r="141" spans="1:13">
      <c r="A141" s="2852">
        <v>5.6</v>
      </c>
      <c r="B141" s="2853">
        <v>0.94789999999999996</v>
      </c>
      <c r="C141" s="2853">
        <v>0.94789999999999996</v>
      </c>
      <c r="D141" s="2853">
        <v>0.87890000000000001</v>
      </c>
      <c r="E141" s="2853">
        <v>0.87890000000000001</v>
      </c>
      <c r="F141" s="2853">
        <v>0.87890000000000001</v>
      </c>
      <c r="G141" s="2853">
        <v>0.87890000000000001</v>
      </c>
      <c r="H141" s="2853">
        <v>0.87890000000000001</v>
      </c>
      <c r="I141" s="2853">
        <v>0.75590000000000002</v>
      </c>
      <c r="J141" s="2853">
        <v>0.75590000000000002</v>
      </c>
      <c r="K141" s="2853">
        <v>0.75590000000000002</v>
      </c>
      <c r="L141" s="2853">
        <v>0.75590000000000002</v>
      </c>
      <c r="M141" s="2854">
        <v>0.75590000000000002</v>
      </c>
    </row>
    <row r="142" spans="1:13">
      <c r="A142" s="2855">
        <v>5.7</v>
      </c>
      <c r="B142" s="2853">
        <v>0.94599999999999995</v>
      </c>
      <c r="C142" s="2853">
        <v>0.94599999999999995</v>
      </c>
      <c r="D142" s="2853">
        <v>0.87670000000000003</v>
      </c>
      <c r="E142" s="2853">
        <v>0.87670000000000003</v>
      </c>
      <c r="F142" s="2853">
        <v>0.87670000000000003</v>
      </c>
      <c r="G142" s="2853">
        <v>0.87670000000000003</v>
      </c>
      <c r="H142" s="2853">
        <v>0.87670000000000003</v>
      </c>
      <c r="I142" s="2853">
        <v>0.75319999999999998</v>
      </c>
      <c r="J142" s="2853">
        <v>0.75319999999999998</v>
      </c>
      <c r="K142" s="2853">
        <v>0.75319999999999998</v>
      </c>
      <c r="L142" s="2853">
        <v>0.75319999999999998</v>
      </c>
      <c r="M142" s="2854">
        <v>0.75319999999999998</v>
      </c>
    </row>
    <row r="143" spans="1:13">
      <c r="A143" s="2852">
        <v>5.8</v>
      </c>
      <c r="B143" s="2853">
        <v>0.94410000000000005</v>
      </c>
      <c r="C143" s="2853">
        <v>0.94410000000000005</v>
      </c>
      <c r="D143" s="2853">
        <v>0.87460000000000004</v>
      </c>
      <c r="E143" s="2853">
        <v>0.87460000000000004</v>
      </c>
      <c r="F143" s="2853">
        <v>0.87460000000000004</v>
      </c>
      <c r="G143" s="2853">
        <v>0.87460000000000004</v>
      </c>
      <c r="H143" s="2853">
        <v>0.87460000000000004</v>
      </c>
      <c r="I143" s="2853">
        <v>0.75049999999999994</v>
      </c>
      <c r="J143" s="2853">
        <v>0.75049999999999994</v>
      </c>
      <c r="K143" s="2853">
        <v>0.75049999999999994</v>
      </c>
      <c r="L143" s="2853">
        <v>0.75049999999999994</v>
      </c>
      <c r="M143" s="2854">
        <v>0.75049999999999994</v>
      </c>
    </row>
    <row r="144" spans="1:13">
      <c r="A144" s="2852">
        <v>5.9</v>
      </c>
      <c r="B144" s="2853">
        <v>0.94220000000000004</v>
      </c>
      <c r="C144" s="2853">
        <v>0.94220000000000004</v>
      </c>
      <c r="D144" s="2853">
        <v>0.87250000000000005</v>
      </c>
      <c r="E144" s="2853">
        <v>0.87250000000000005</v>
      </c>
      <c r="F144" s="2853">
        <v>0.87250000000000005</v>
      </c>
      <c r="G144" s="2853">
        <v>0.87250000000000005</v>
      </c>
      <c r="H144" s="2853">
        <v>0.87250000000000005</v>
      </c>
      <c r="I144" s="2853">
        <v>0.74780000000000002</v>
      </c>
      <c r="J144" s="2853">
        <v>0.74780000000000002</v>
      </c>
      <c r="K144" s="2853">
        <v>0.74780000000000002</v>
      </c>
      <c r="L144" s="2853">
        <v>0.74780000000000002</v>
      </c>
      <c r="M144" s="2854">
        <v>0.74780000000000002</v>
      </c>
    </row>
    <row r="145" spans="1:13">
      <c r="A145" s="2852">
        <v>6</v>
      </c>
      <c r="B145" s="2853">
        <v>0.94040000000000001</v>
      </c>
      <c r="C145" s="2853">
        <v>0.94040000000000001</v>
      </c>
      <c r="D145" s="2853">
        <v>0.87039999999999995</v>
      </c>
      <c r="E145" s="2853">
        <v>0.87039999999999995</v>
      </c>
      <c r="F145" s="2853">
        <v>0.87039999999999995</v>
      </c>
      <c r="G145" s="2853">
        <v>0.87039999999999995</v>
      </c>
      <c r="H145" s="2853">
        <v>0.87039999999999995</v>
      </c>
      <c r="I145" s="2853">
        <v>0.74519999999999997</v>
      </c>
      <c r="J145" s="2853">
        <v>0.74519999999999997</v>
      </c>
      <c r="K145" s="2853">
        <v>0.74519999999999997</v>
      </c>
      <c r="L145" s="2853">
        <v>0.74519999999999997</v>
      </c>
      <c r="M145" s="2854">
        <v>0.74519999999999997</v>
      </c>
    </row>
    <row r="146" spans="1:13">
      <c r="A146" s="2852">
        <v>6.1</v>
      </c>
      <c r="B146" s="2853">
        <v>0.93859999999999999</v>
      </c>
      <c r="C146" s="2853">
        <v>0.93859999999999999</v>
      </c>
      <c r="D146" s="2853">
        <v>0.86829999999999996</v>
      </c>
      <c r="E146" s="2853">
        <v>0.86829999999999996</v>
      </c>
      <c r="F146" s="2853">
        <v>0.86829999999999996</v>
      </c>
      <c r="G146" s="2853">
        <v>0.86829999999999996</v>
      </c>
      <c r="H146" s="2853">
        <v>0.86829999999999996</v>
      </c>
      <c r="I146" s="2853">
        <v>0.74260000000000004</v>
      </c>
      <c r="J146" s="2853">
        <v>0.74260000000000004</v>
      </c>
      <c r="K146" s="2853">
        <v>0.74260000000000004</v>
      </c>
      <c r="L146" s="2853">
        <v>0.74260000000000004</v>
      </c>
      <c r="M146" s="2854">
        <v>0.74260000000000004</v>
      </c>
    </row>
    <row r="147" spans="1:13">
      <c r="A147" s="2852">
        <v>6.2</v>
      </c>
      <c r="B147" s="2853">
        <v>0.93679999999999997</v>
      </c>
      <c r="C147" s="2853">
        <v>0.93679999999999997</v>
      </c>
      <c r="D147" s="2853">
        <v>0.86619999999999997</v>
      </c>
      <c r="E147" s="2853">
        <v>0.86619999999999997</v>
      </c>
      <c r="F147" s="2853">
        <v>0.86619999999999997</v>
      </c>
      <c r="G147" s="2853">
        <v>0.86619999999999997</v>
      </c>
      <c r="H147" s="2853">
        <v>0.86619999999999997</v>
      </c>
      <c r="I147" s="2853">
        <v>0.74</v>
      </c>
      <c r="J147" s="2853">
        <v>0.74</v>
      </c>
      <c r="K147" s="2853">
        <v>0.74</v>
      </c>
      <c r="L147" s="2853">
        <v>0.74</v>
      </c>
      <c r="M147" s="2854">
        <v>0.74</v>
      </c>
    </row>
    <row r="148" spans="1:13">
      <c r="A148" s="2852">
        <v>6.3</v>
      </c>
      <c r="B148" s="2853">
        <v>0.93500000000000005</v>
      </c>
      <c r="C148" s="2853">
        <v>0.93500000000000005</v>
      </c>
      <c r="D148" s="2853">
        <v>0.86409999999999998</v>
      </c>
      <c r="E148" s="2853">
        <v>0.86409999999999998</v>
      </c>
      <c r="F148" s="2853">
        <v>0.86409999999999998</v>
      </c>
      <c r="G148" s="2853">
        <v>0.86409999999999998</v>
      </c>
      <c r="H148" s="2853">
        <v>0.86409999999999998</v>
      </c>
      <c r="I148" s="2853">
        <v>0.73740000000000006</v>
      </c>
      <c r="J148" s="2853">
        <v>0.73740000000000006</v>
      </c>
      <c r="K148" s="2853">
        <v>0.73740000000000006</v>
      </c>
      <c r="L148" s="2853">
        <v>0.73740000000000006</v>
      </c>
      <c r="M148" s="2854">
        <v>0.73740000000000006</v>
      </c>
    </row>
    <row r="149" spans="1:13">
      <c r="A149" s="2852">
        <v>6.4</v>
      </c>
      <c r="B149" s="2853">
        <v>0.93320000000000003</v>
      </c>
      <c r="C149" s="2853">
        <v>0.93320000000000003</v>
      </c>
      <c r="D149" s="2853">
        <v>0.86209999999999998</v>
      </c>
      <c r="E149" s="2853">
        <v>0.86209999999999998</v>
      </c>
      <c r="F149" s="2853">
        <v>0.86209999999999998</v>
      </c>
      <c r="G149" s="2853">
        <v>0.86209999999999998</v>
      </c>
      <c r="H149" s="2853">
        <v>0.86209999999999998</v>
      </c>
      <c r="I149" s="2853">
        <v>0.73480000000000001</v>
      </c>
      <c r="J149" s="2853">
        <v>0.73480000000000001</v>
      </c>
      <c r="K149" s="2853">
        <v>0.73480000000000001</v>
      </c>
      <c r="L149" s="2853">
        <v>0.73480000000000001</v>
      </c>
      <c r="M149" s="2854">
        <v>0.73480000000000001</v>
      </c>
    </row>
    <row r="150" spans="1:13">
      <c r="A150" s="2852">
        <v>6.5</v>
      </c>
      <c r="B150" s="2853">
        <v>0.93149999999999999</v>
      </c>
      <c r="C150" s="2853">
        <v>0.93149999999999999</v>
      </c>
      <c r="D150" s="2853">
        <v>0.86009999999999998</v>
      </c>
      <c r="E150" s="2853">
        <v>0.86009999999999998</v>
      </c>
      <c r="F150" s="2853">
        <v>0.86009999999999998</v>
      </c>
      <c r="G150" s="2853">
        <v>0.86009999999999998</v>
      </c>
      <c r="H150" s="2853">
        <v>0.86009999999999998</v>
      </c>
      <c r="I150" s="2853">
        <v>0.73229999999999995</v>
      </c>
      <c r="J150" s="2853">
        <v>0.73229999999999995</v>
      </c>
      <c r="K150" s="2853">
        <v>0.73229999999999995</v>
      </c>
      <c r="L150" s="2853">
        <v>0.73229999999999995</v>
      </c>
      <c r="M150" s="2854">
        <v>0.73229999999999995</v>
      </c>
    </row>
    <row r="151" spans="1:13">
      <c r="A151" s="2852">
        <v>6.6</v>
      </c>
      <c r="B151" s="2853">
        <v>0.92979999999999996</v>
      </c>
      <c r="C151" s="2853">
        <v>0.92979999999999996</v>
      </c>
      <c r="D151" s="2853">
        <v>0.85809999999999997</v>
      </c>
      <c r="E151" s="2853">
        <v>0.85809999999999997</v>
      </c>
      <c r="F151" s="2853">
        <v>0.85809999999999997</v>
      </c>
      <c r="G151" s="2853">
        <v>0.85809999999999997</v>
      </c>
      <c r="H151" s="2853">
        <v>0.85809999999999997</v>
      </c>
      <c r="I151" s="2853">
        <v>0.7298</v>
      </c>
      <c r="J151" s="2853">
        <v>0.7298</v>
      </c>
      <c r="K151" s="2853">
        <v>0.7298</v>
      </c>
      <c r="L151" s="2853">
        <v>0.7298</v>
      </c>
      <c r="M151" s="2854">
        <v>0.7298</v>
      </c>
    </row>
    <row r="152" spans="1:13">
      <c r="A152" s="2852">
        <v>6.7</v>
      </c>
      <c r="B152" s="2853">
        <v>0.92810000000000004</v>
      </c>
      <c r="C152" s="2853">
        <v>0.92810000000000004</v>
      </c>
      <c r="D152" s="2853">
        <v>0.85609999999999997</v>
      </c>
      <c r="E152" s="2853">
        <v>0.85609999999999997</v>
      </c>
      <c r="F152" s="2853">
        <v>0.85609999999999997</v>
      </c>
      <c r="G152" s="2853">
        <v>0.85609999999999997</v>
      </c>
      <c r="H152" s="2853">
        <v>0.85609999999999997</v>
      </c>
      <c r="I152" s="2853">
        <v>0.72729999999999995</v>
      </c>
      <c r="J152" s="2853">
        <v>0.72729999999999995</v>
      </c>
      <c r="K152" s="2853">
        <v>0.72729999999999995</v>
      </c>
      <c r="L152" s="2853">
        <v>0.72729999999999995</v>
      </c>
      <c r="M152" s="2854">
        <v>0.72729999999999995</v>
      </c>
    </row>
    <row r="153" spans="1:13">
      <c r="A153" s="2852">
        <v>6.8</v>
      </c>
      <c r="B153" s="2853">
        <v>0.9264</v>
      </c>
      <c r="C153" s="2853">
        <v>0.9264</v>
      </c>
      <c r="D153" s="2853">
        <v>0.85409999999999997</v>
      </c>
      <c r="E153" s="2853">
        <v>0.85409999999999997</v>
      </c>
      <c r="F153" s="2853">
        <v>0.85409999999999997</v>
      </c>
      <c r="G153" s="2853">
        <v>0.85409999999999997</v>
      </c>
      <c r="H153" s="2853">
        <v>0.85409999999999997</v>
      </c>
      <c r="I153" s="2853">
        <v>0.7248</v>
      </c>
      <c r="J153" s="2853">
        <v>0.7248</v>
      </c>
      <c r="K153" s="2853">
        <v>0.7248</v>
      </c>
      <c r="L153" s="2853">
        <v>0.7248</v>
      </c>
      <c r="M153" s="2854">
        <v>0.7248</v>
      </c>
    </row>
    <row r="154" spans="1:13">
      <c r="A154" s="2852">
        <v>6.9</v>
      </c>
      <c r="B154" s="2853">
        <v>0.92469999999999997</v>
      </c>
      <c r="C154" s="2853">
        <v>0.92469999999999997</v>
      </c>
      <c r="D154" s="2853">
        <v>0.85209999999999997</v>
      </c>
      <c r="E154" s="2853">
        <v>0.85209999999999997</v>
      </c>
      <c r="F154" s="2853">
        <v>0.85209999999999997</v>
      </c>
      <c r="G154" s="2853">
        <v>0.85209999999999997</v>
      </c>
      <c r="H154" s="2853">
        <v>0.85209999999999997</v>
      </c>
      <c r="I154" s="2853">
        <v>0.72230000000000005</v>
      </c>
      <c r="J154" s="2853">
        <v>0.72230000000000005</v>
      </c>
      <c r="K154" s="2853">
        <v>0.72230000000000005</v>
      </c>
      <c r="L154" s="2853">
        <v>0.72230000000000005</v>
      </c>
      <c r="M154" s="2854">
        <v>0.72230000000000005</v>
      </c>
    </row>
    <row r="155" spans="1:13">
      <c r="A155" s="2852">
        <v>7</v>
      </c>
      <c r="B155" s="2853">
        <v>0.92300000000000004</v>
      </c>
      <c r="C155" s="2853">
        <v>0.92300000000000004</v>
      </c>
      <c r="D155" s="2853">
        <v>0.85019999999999996</v>
      </c>
      <c r="E155" s="2853">
        <v>0.85019999999999996</v>
      </c>
      <c r="F155" s="2853">
        <v>0.85019999999999996</v>
      </c>
      <c r="G155" s="2853">
        <v>0.85019999999999996</v>
      </c>
      <c r="H155" s="2853">
        <v>0.85019999999999996</v>
      </c>
      <c r="I155" s="2853">
        <v>0.71989999999999998</v>
      </c>
      <c r="J155" s="2853">
        <v>0.71989999999999998</v>
      </c>
      <c r="K155" s="2853">
        <v>0.71989999999999998</v>
      </c>
      <c r="L155" s="2853">
        <v>0.71989999999999998</v>
      </c>
      <c r="M155" s="2854">
        <v>0.71989999999999998</v>
      </c>
    </row>
    <row r="156" spans="1:13">
      <c r="A156" s="2852">
        <v>7.1</v>
      </c>
      <c r="B156" s="2853">
        <v>0.9214</v>
      </c>
      <c r="C156" s="2853">
        <v>0.9214</v>
      </c>
      <c r="D156" s="2853">
        <v>0.84830000000000005</v>
      </c>
      <c r="E156" s="2853">
        <v>0.84830000000000005</v>
      </c>
      <c r="F156" s="2853">
        <v>0.84830000000000005</v>
      </c>
      <c r="G156" s="2853">
        <v>0.84830000000000005</v>
      </c>
      <c r="H156" s="2853">
        <v>0.84830000000000005</v>
      </c>
      <c r="I156" s="2853">
        <v>0.71750000000000003</v>
      </c>
      <c r="J156" s="2853">
        <v>0.71750000000000003</v>
      </c>
      <c r="K156" s="2853">
        <v>0.71750000000000003</v>
      </c>
      <c r="L156" s="2853">
        <v>0.71750000000000003</v>
      </c>
      <c r="M156" s="2854">
        <v>0.71750000000000003</v>
      </c>
    </row>
    <row r="157" spans="1:13">
      <c r="A157" s="2852">
        <v>7.2</v>
      </c>
      <c r="B157" s="2853">
        <v>0.91979999999999995</v>
      </c>
      <c r="C157" s="2853">
        <v>0.91979999999999995</v>
      </c>
      <c r="D157" s="2853">
        <v>0.84640000000000004</v>
      </c>
      <c r="E157" s="2853">
        <v>0.84640000000000004</v>
      </c>
      <c r="F157" s="2853">
        <v>0.84640000000000004</v>
      </c>
      <c r="G157" s="2853">
        <v>0.84640000000000004</v>
      </c>
      <c r="H157" s="2853">
        <v>0.84640000000000004</v>
      </c>
      <c r="I157" s="2853">
        <v>0.71509999999999996</v>
      </c>
      <c r="J157" s="2853">
        <v>0.71509999999999996</v>
      </c>
      <c r="K157" s="2853">
        <v>0.71509999999999996</v>
      </c>
      <c r="L157" s="2853">
        <v>0.71509999999999996</v>
      </c>
      <c r="M157" s="2854">
        <v>0.71509999999999996</v>
      </c>
    </row>
    <row r="158" spans="1:13">
      <c r="A158" s="2852">
        <v>7.3</v>
      </c>
      <c r="B158" s="2853">
        <v>0.91820000000000002</v>
      </c>
      <c r="C158" s="2853">
        <v>0.91820000000000002</v>
      </c>
      <c r="D158" s="2853">
        <v>0.84450000000000003</v>
      </c>
      <c r="E158" s="2853">
        <v>0.84450000000000003</v>
      </c>
      <c r="F158" s="2853">
        <v>0.84450000000000003</v>
      </c>
      <c r="G158" s="2853">
        <v>0.84450000000000003</v>
      </c>
      <c r="H158" s="2853">
        <v>0.84450000000000003</v>
      </c>
      <c r="I158" s="2853">
        <v>0.7127</v>
      </c>
      <c r="J158" s="2853">
        <v>0.7127</v>
      </c>
      <c r="K158" s="2853">
        <v>0.7127</v>
      </c>
      <c r="L158" s="2853">
        <v>0.7127</v>
      </c>
      <c r="M158" s="2854">
        <v>0.7127</v>
      </c>
    </row>
    <row r="159" spans="1:13">
      <c r="A159" s="2852">
        <v>7.4</v>
      </c>
      <c r="B159" s="2853">
        <v>0.91659999999999997</v>
      </c>
      <c r="C159" s="2853">
        <v>0.91659999999999997</v>
      </c>
      <c r="D159" s="2853">
        <v>0.84260000000000002</v>
      </c>
      <c r="E159" s="2853">
        <v>0.84260000000000002</v>
      </c>
      <c r="F159" s="2853">
        <v>0.84260000000000002</v>
      </c>
      <c r="G159" s="2853">
        <v>0.84260000000000002</v>
      </c>
      <c r="H159" s="2853">
        <v>0.84260000000000002</v>
      </c>
      <c r="I159" s="2853">
        <v>0.71030000000000004</v>
      </c>
      <c r="J159" s="2853">
        <v>0.71030000000000004</v>
      </c>
      <c r="K159" s="2853">
        <v>0.71030000000000004</v>
      </c>
      <c r="L159" s="2853">
        <v>0.71030000000000004</v>
      </c>
      <c r="M159" s="2854">
        <v>0.71030000000000004</v>
      </c>
    </row>
    <row r="160" spans="1:13">
      <c r="A160" s="2852">
        <v>7.5</v>
      </c>
      <c r="B160" s="2853">
        <v>0.91500000000000004</v>
      </c>
      <c r="C160" s="2853">
        <v>0.91500000000000004</v>
      </c>
      <c r="D160" s="2853">
        <v>0.8407</v>
      </c>
      <c r="E160" s="2853">
        <v>0.8407</v>
      </c>
      <c r="F160" s="2853">
        <v>0.8407</v>
      </c>
      <c r="G160" s="2853">
        <v>0.8407</v>
      </c>
      <c r="H160" s="2853">
        <v>0.8407</v>
      </c>
      <c r="I160" s="2853">
        <v>0.70799999999999996</v>
      </c>
      <c r="J160" s="2853">
        <v>0.70799999999999996</v>
      </c>
      <c r="K160" s="2853">
        <v>0.70799999999999996</v>
      </c>
      <c r="L160" s="2853">
        <v>0.70799999999999996</v>
      </c>
      <c r="M160" s="2854">
        <v>0.70799999999999996</v>
      </c>
    </row>
    <row r="161" spans="1:13">
      <c r="A161" s="2852">
        <v>7.6</v>
      </c>
      <c r="B161" s="2853">
        <v>0.91339999999999999</v>
      </c>
      <c r="C161" s="2853">
        <v>0.91339999999999999</v>
      </c>
      <c r="D161" s="2853">
        <v>0.83889999999999998</v>
      </c>
      <c r="E161" s="2853">
        <v>0.83889999999999998</v>
      </c>
      <c r="F161" s="2853">
        <v>0.83889999999999998</v>
      </c>
      <c r="G161" s="2853">
        <v>0.83889999999999998</v>
      </c>
      <c r="H161" s="2853">
        <v>0.83889999999999998</v>
      </c>
      <c r="I161" s="2853">
        <v>0.70569999999999999</v>
      </c>
      <c r="J161" s="2853">
        <v>0.70569999999999999</v>
      </c>
      <c r="K161" s="2853">
        <v>0.70569999999999999</v>
      </c>
      <c r="L161" s="2853">
        <v>0.70569999999999999</v>
      </c>
      <c r="M161" s="2854">
        <v>0.70569999999999999</v>
      </c>
    </row>
    <row r="162" spans="1:13">
      <c r="A162" s="2852">
        <v>7.7</v>
      </c>
      <c r="B162" s="2853">
        <v>0.91190000000000004</v>
      </c>
      <c r="C162" s="2853">
        <v>0.91190000000000004</v>
      </c>
      <c r="D162" s="2853">
        <v>0.83709999999999996</v>
      </c>
      <c r="E162" s="2853">
        <v>0.83709999999999996</v>
      </c>
      <c r="F162" s="2853">
        <v>0.83709999999999996</v>
      </c>
      <c r="G162" s="2853">
        <v>0.83709999999999996</v>
      </c>
      <c r="H162" s="2853">
        <v>0.83709999999999996</v>
      </c>
      <c r="I162" s="2853">
        <v>0.70340000000000003</v>
      </c>
      <c r="J162" s="2853">
        <v>0.70340000000000003</v>
      </c>
      <c r="K162" s="2853">
        <v>0.70340000000000003</v>
      </c>
      <c r="L162" s="2853">
        <v>0.70340000000000003</v>
      </c>
      <c r="M162" s="2854">
        <v>0.70340000000000003</v>
      </c>
    </row>
    <row r="163" spans="1:13">
      <c r="A163" s="2852">
        <v>7.8</v>
      </c>
      <c r="B163" s="2853">
        <v>0.91039999999999999</v>
      </c>
      <c r="C163" s="2853">
        <v>0.91039999999999999</v>
      </c>
      <c r="D163" s="2853">
        <v>0.83530000000000004</v>
      </c>
      <c r="E163" s="2853">
        <v>0.83530000000000004</v>
      </c>
      <c r="F163" s="2853">
        <v>0.83530000000000004</v>
      </c>
      <c r="G163" s="2853">
        <v>0.83530000000000004</v>
      </c>
      <c r="H163" s="2853">
        <v>0.83530000000000004</v>
      </c>
      <c r="I163" s="2853">
        <v>0.70109999999999995</v>
      </c>
      <c r="J163" s="2853">
        <v>0.70109999999999995</v>
      </c>
      <c r="K163" s="2853">
        <v>0.70109999999999995</v>
      </c>
      <c r="L163" s="2853">
        <v>0.70109999999999995</v>
      </c>
      <c r="M163" s="2854">
        <v>0.70109999999999995</v>
      </c>
    </row>
    <row r="164" spans="1:13">
      <c r="A164" s="2852">
        <v>7.9</v>
      </c>
      <c r="B164" s="2853">
        <v>0.90890000000000004</v>
      </c>
      <c r="C164" s="2853">
        <v>0.90890000000000004</v>
      </c>
      <c r="D164" s="2853">
        <v>0.83350000000000002</v>
      </c>
      <c r="E164" s="2853">
        <v>0.83350000000000002</v>
      </c>
      <c r="F164" s="2853">
        <v>0.83350000000000002</v>
      </c>
      <c r="G164" s="2853">
        <v>0.83350000000000002</v>
      </c>
      <c r="H164" s="2853">
        <v>0.83350000000000002</v>
      </c>
      <c r="I164" s="2853">
        <v>0.69879999999999998</v>
      </c>
      <c r="J164" s="2853">
        <v>0.69879999999999998</v>
      </c>
      <c r="K164" s="2853">
        <v>0.69879999999999998</v>
      </c>
      <c r="L164" s="2853">
        <v>0.69879999999999998</v>
      </c>
      <c r="M164" s="2854">
        <v>0.69879999999999998</v>
      </c>
    </row>
    <row r="165" spans="1:13">
      <c r="A165" s="2852">
        <v>8</v>
      </c>
      <c r="B165" s="2853">
        <v>0.90739999999999998</v>
      </c>
      <c r="C165" s="2853">
        <v>0.90739999999999998</v>
      </c>
      <c r="D165" s="2853">
        <v>0.83169999999999999</v>
      </c>
      <c r="E165" s="2853">
        <v>0.83169999999999999</v>
      </c>
      <c r="F165" s="2853">
        <v>0.83169999999999999</v>
      </c>
      <c r="G165" s="2853">
        <v>0.83169999999999999</v>
      </c>
      <c r="H165" s="2853">
        <v>0.83169999999999999</v>
      </c>
      <c r="I165" s="2853">
        <v>0.6966</v>
      </c>
      <c r="J165" s="2853">
        <v>0.6966</v>
      </c>
      <c r="K165" s="2853">
        <v>0.6966</v>
      </c>
      <c r="L165" s="2853">
        <v>0.6966</v>
      </c>
      <c r="M165" s="2854">
        <v>0.6966</v>
      </c>
    </row>
    <row r="166" spans="1:13">
      <c r="A166" s="2852">
        <v>8.1</v>
      </c>
      <c r="B166" s="2853">
        <v>0.90590000000000004</v>
      </c>
      <c r="C166" s="2853">
        <v>0.90590000000000004</v>
      </c>
      <c r="D166" s="2853">
        <v>0.82989999999999997</v>
      </c>
      <c r="E166" s="2853">
        <v>0.82989999999999997</v>
      </c>
      <c r="F166" s="2853">
        <v>0.82989999999999997</v>
      </c>
      <c r="G166" s="2853">
        <v>0.82989999999999997</v>
      </c>
      <c r="H166" s="2853">
        <v>0.82989999999999997</v>
      </c>
      <c r="I166" s="2853">
        <v>0.69440000000000002</v>
      </c>
      <c r="J166" s="2853">
        <v>0.69440000000000002</v>
      </c>
      <c r="K166" s="2853">
        <v>0.69440000000000002</v>
      </c>
      <c r="L166" s="2853">
        <v>0.69440000000000002</v>
      </c>
      <c r="M166" s="2854">
        <v>0.69440000000000002</v>
      </c>
    </row>
    <row r="167" spans="1:13">
      <c r="A167" s="2852">
        <v>8.1999999999999993</v>
      </c>
      <c r="B167" s="2853">
        <v>0.90439999999999998</v>
      </c>
      <c r="C167" s="2853">
        <v>0.90439999999999998</v>
      </c>
      <c r="D167" s="2853">
        <v>0.82820000000000005</v>
      </c>
      <c r="E167" s="2853">
        <v>0.82820000000000005</v>
      </c>
      <c r="F167" s="2853">
        <v>0.82820000000000005</v>
      </c>
      <c r="G167" s="2853">
        <v>0.82820000000000005</v>
      </c>
      <c r="H167" s="2853">
        <v>0.82820000000000005</v>
      </c>
      <c r="I167" s="2853">
        <v>0.69220000000000004</v>
      </c>
      <c r="J167" s="2853">
        <v>0.69220000000000004</v>
      </c>
      <c r="K167" s="2853">
        <v>0.69220000000000004</v>
      </c>
      <c r="L167" s="2853">
        <v>0.69220000000000004</v>
      </c>
      <c r="M167" s="2854">
        <v>0.69220000000000004</v>
      </c>
    </row>
    <row r="168" spans="1:13">
      <c r="A168" s="2852">
        <v>8.3000000000000007</v>
      </c>
      <c r="B168" s="2853">
        <v>0.90300000000000002</v>
      </c>
      <c r="C168" s="2853">
        <v>0.90300000000000002</v>
      </c>
      <c r="D168" s="2853">
        <v>0.82650000000000001</v>
      </c>
      <c r="E168" s="2853">
        <v>0.82650000000000001</v>
      </c>
      <c r="F168" s="2853">
        <v>0.82650000000000001</v>
      </c>
      <c r="G168" s="2853">
        <v>0.82650000000000001</v>
      </c>
      <c r="H168" s="2853">
        <v>0.82650000000000001</v>
      </c>
      <c r="I168" s="2853">
        <v>0.69</v>
      </c>
      <c r="J168" s="2853">
        <v>0.69</v>
      </c>
      <c r="K168" s="2853">
        <v>0.69</v>
      </c>
      <c r="L168" s="2853">
        <v>0.69</v>
      </c>
      <c r="M168" s="2854">
        <v>0.69</v>
      </c>
    </row>
    <row r="169" spans="1:13">
      <c r="A169" s="2852">
        <v>8.4</v>
      </c>
      <c r="B169" s="2853">
        <v>0.90159999999999996</v>
      </c>
      <c r="C169" s="2853">
        <v>0.90159999999999996</v>
      </c>
      <c r="D169" s="2853">
        <v>0.82479999999999998</v>
      </c>
      <c r="E169" s="2853">
        <v>0.82479999999999998</v>
      </c>
      <c r="F169" s="2853">
        <v>0.82479999999999998</v>
      </c>
      <c r="G169" s="2853">
        <v>0.82479999999999998</v>
      </c>
      <c r="H169" s="2853">
        <v>0.82479999999999998</v>
      </c>
      <c r="I169" s="2853">
        <v>0.68779999999999997</v>
      </c>
      <c r="J169" s="2853">
        <v>0.68779999999999997</v>
      </c>
      <c r="K169" s="2853">
        <v>0.68779999999999997</v>
      </c>
      <c r="L169" s="2853">
        <v>0.68779999999999997</v>
      </c>
      <c r="M169" s="2854">
        <v>0.68779999999999997</v>
      </c>
    </row>
    <row r="170" spans="1:13">
      <c r="A170" s="2852">
        <v>8.5</v>
      </c>
      <c r="B170" s="2853">
        <v>0.9002</v>
      </c>
      <c r="C170" s="2853">
        <v>0.9002</v>
      </c>
      <c r="D170" s="2853">
        <v>0.82310000000000005</v>
      </c>
      <c r="E170" s="2853">
        <v>0.82310000000000005</v>
      </c>
      <c r="F170" s="2853">
        <v>0.82310000000000005</v>
      </c>
      <c r="G170" s="2853">
        <v>0.82310000000000005</v>
      </c>
      <c r="H170" s="2853">
        <v>0.82310000000000005</v>
      </c>
      <c r="I170" s="2853">
        <v>0.68569999999999998</v>
      </c>
      <c r="J170" s="2853">
        <v>0.68569999999999998</v>
      </c>
      <c r="K170" s="2853">
        <v>0.68569999999999998</v>
      </c>
      <c r="L170" s="2853">
        <v>0.68569999999999998</v>
      </c>
      <c r="M170" s="2854">
        <v>0.68569999999999998</v>
      </c>
    </row>
    <row r="171" spans="1:13">
      <c r="A171" s="2852">
        <v>8.6</v>
      </c>
      <c r="B171" s="2853">
        <v>0.89880000000000004</v>
      </c>
      <c r="C171" s="2853">
        <v>0.89880000000000004</v>
      </c>
      <c r="D171" s="2853">
        <v>0.82140000000000002</v>
      </c>
      <c r="E171" s="2853">
        <v>0.82140000000000002</v>
      </c>
      <c r="F171" s="2853">
        <v>0.82140000000000002</v>
      </c>
      <c r="G171" s="2853">
        <v>0.82140000000000002</v>
      </c>
      <c r="H171" s="2853">
        <v>0.82140000000000002</v>
      </c>
      <c r="I171" s="2853">
        <v>0.68359999999999999</v>
      </c>
      <c r="J171" s="2853">
        <v>0.68359999999999999</v>
      </c>
      <c r="K171" s="2853">
        <v>0.68359999999999999</v>
      </c>
      <c r="L171" s="2853">
        <v>0.68359999999999999</v>
      </c>
      <c r="M171" s="2854">
        <v>0.68359999999999999</v>
      </c>
    </row>
    <row r="172" spans="1:13">
      <c r="A172" s="2852">
        <v>8.6999999999999993</v>
      </c>
      <c r="B172" s="2853">
        <v>0.89739999999999998</v>
      </c>
      <c r="C172" s="2853">
        <v>0.89739999999999998</v>
      </c>
      <c r="D172" s="2853">
        <v>0.81969999999999998</v>
      </c>
      <c r="E172" s="2853">
        <v>0.81969999999999998</v>
      </c>
      <c r="F172" s="2853">
        <v>0.81969999999999998</v>
      </c>
      <c r="G172" s="2853">
        <v>0.81969999999999998</v>
      </c>
      <c r="H172" s="2853">
        <v>0.81969999999999998</v>
      </c>
      <c r="I172" s="2853">
        <v>0.68149999999999999</v>
      </c>
      <c r="J172" s="2853">
        <v>0.68149999999999999</v>
      </c>
      <c r="K172" s="2853">
        <v>0.68149999999999999</v>
      </c>
      <c r="L172" s="2853">
        <v>0.68149999999999999</v>
      </c>
      <c r="M172" s="2854">
        <v>0.68149999999999999</v>
      </c>
    </row>
    <row r="173" spans="1:13">
      <c r="A173" s="2852">
        <v>8.8000000000000007</v>
      </c>
      <c r="B173" s="2853">
        <v>0.89600000000000002</v>
      </c>
      <c r="C173" s="2853">
        <v>0.89600000000000002</v>
      </c>
      <c r="D173" s="2853">
        <v>0.81810000000000005</v>
      </c>
      <c r="E173" s="2853">
        <v>0.81810000000000005</v>
      </c>
      <c r="F173" s="2853">
        <v>0.81810000000000005</v>
      </c>
      <c r="G173" s="2853">
        <v>0.81810000000000005</v>
      </c>
      <c r="H173" s="2853">
        <v>0.81810000000000005</v>
      </c>
      <c r="I173" s="2853">
        <v>0.6794</v>
      </c>
      <c r="J173" s="2853">
        <v>0.6794</v>
      </c>
      <c r="K173" s="2853">
        <v>0.6794</v>
      </c>
      <c r="L173" s="2853">
        <v>0.6794</v>
      </c>
      <c r="M173" s="2854">
        <v>0.6794</v>
      </c>
    </row>
    <row r="174" spans="1:13">
      <c r="A174" s="2852">
        <v>8.9</v>
      </c>
      <c r="B174" s="2853">
        <v>0.89470000000000005</v>
      </c>
      <c r="C174" s="2853">
        <v>0.89470000000000005</v>
      </c>
      <c r="D174" s="2853">
        <v>0.8165</v>
      </c>
      <c r="E174" s="2853">
        <v>0.8165</v>
      </c>
      <c r="F174" s="2853">
        <v>0.8165</v>
      </c>
      <c r="G174" s="2853">
        <v>0.8165</v>
      </c>
      <c r="H174" s="2853">
        <v>0.8165</v>
      </c>
      <c r="I174" s="2853">
        <v>0.6774</v>
      </c>
      <c r="J174" s="2853">
        <v>0.6774</v>
      </c>
      <c r="K174" s="2853">
        <v>0.6774</v>
      </c>
      <c r="L174" s="2853">
        <v>0.6774</v>
      </c>
      <c r="M174" s="2854">
        <v>0.6774</v>
      </c>
    </row>
    <row r="175" spans="1:13">
      <c r="A175" s="2855">
        <v>9</v>
      </c>
      <c r="B175" s="2853">
        <v>0.89339999999999997</v>
      </c>
      <c r="C175" s="2853">
        <v>0.89339999999999997</v>
      </c>
      <c r="D175" s="2853">
        <v>0.81489999999999996</v>
      </c>
      <c r="E175" s="2853">
        <v>0.81489999999999996</v>
      </c>
      <c r="F175" s="2853">
        <v>0.81489999999999996</v>
      </c>
      <c r="G175" s="2853">
        <v>0.81489999999999996</v>
      </c>
      <c r="H175" s="2853">
        <v>0.81489999999999996</v>
      </c>
      <c r="I175" s="2853">
        <v>0.6754</v>
      </c>
      <c r="J175" s="2853">
        <v>0.6754</v>
      </c>
      <c r="K175" s="2853">
        <v>0.6754</v>
      </c>
      <c r="L175" s="2853">
        <v>0.6754</v>
      </c>
      <c r="M175" s="2854">
        <v>0.6754</v>
      </c>
    </row>
    <row r="176" spans="1:13">
      <c r="A176" s="2855">
        <v>9.1</v>
      </c>
      <c r="B176" s="2853">
        <v>0.8921</v>
      </c>
      <c r="C176" s="2853">
        <v>0.8921</v>
      </c>
      <c r="D176" s="2853">
        <v>0.81330000000000002</v>
      </c>
      <c r="E176" s="2853">
        <v>0.81330000000000002</v>
      </c>
      <c r="F176" s="2853">
        <v>0.81330000000000002</v>
      </c>
      <c r="G176" s="2853">
        <v>0.81330000000000002</v>
      </c>
      <c r="H176" s="2853">
        <v>0.81330000000000002</v>
      </c>
      <c r="I176" s="2853">
        <v>0.6734</v>
      </c>
      <c r="J176" s="2853">
        <v>0.6734</v>
      </c>
      <c r="K176" s="2853">
        <v>0.6734</v>
      </c>
      <c r="L176" s="2853">
        <v>0.6734</v>
      </c>
      <c r="M176" s="2854">
        <v>0.6734</v>
      </c>
    </row>
    <row r="177" spans="1:20">
      <c r="A177" s="2855">
        <v>9.1999999999999993</v>
      </c>
      <c r="B177" s="2853">
        <v>0.89080000000000004</v>
      </c>
      <c r="C177" s="2853">
        <v>0.89080000000000004</v>
      </c>
      <c r="D177" s="2853">
        <v>0.81169999999999998</v>
      </c>
      <c r="E177" s="2853">
        <v>0.81169999999999998</v>
      </c>
      <c r="F177" s="2853">
        <v>0.81169999999999998</v>
      </c>
      <c r="G177" s="2853">
        <v>0.81169999999999998</v>
      </c>
      <c r="H177" s="2853">
        <v>0.81169999999999998</v>
      </c>
      <c r="I177" s="2853">
        <v>0.6714</v>
      </c>
      <c r="J177" s="2853">
        <v>0.6714</v>
      </c>
      <c r="K177" s="2853">
        <v>0.6714</v>
      </c>
      <c r="L177" s="2853">
        <v>0.6714</v>
      </c>
      <c r="M177" s="2854">
        <v>0.6714</v>
      </c>
    </row>
    <row r="178" spans="1:20">
      <c r="A178" s="2855">
        <v>9.3000000000000007</v>
      </c>
      <c r="B178" s="2853">
        <v>0.88949999999999996</v>
      </c>
      <c r="C178" s="2853">
        <v>0.88949999999999996</v>
      </c>
      <c r="D178" s="2853">
        <v>0.81010000000000004</v>
      </c>
      <c r="E178" s="2853">
        <v>0.81010000000000004</v>
      </c>
      <c r="F178" s="2853">
        <v>0.81010000000000004</v>
      </c>
      <c r="G178" s="2853">
        <v>0.81010000000000004</v>
      </c>
      <c r="H178" s="2853">
        <v>0.81010000000000004</v>
      </c>
      <c r="I178" s="2853">
        <v>0.6694</v>
      </c>
      <c r="J178" s="2853">
        <v>0.6694</v>
      </c>
      <c r="K178" s="2853">
        <v>0.6694</v>
      </c>
      <c r="L178" s="2853">
        <v>0.6694</v>
      </c>
      <c r="M178" s="2854">
        <v>0.6694</v>
      </c>
    </row>
    <row r="179" spans="1:20">
      <c r="A179" s="2855">
        <v>9.4</v>
      </c>
      <c r="B179" s="2853">
        <v>0.88819999999999999</v>
      </c>
      <c r="C179" s="2853">
        <v>0.88819999999999999</v>
      </c>
      <c r="D179" s="2853">
        <v>0.8085</v>
      </c>
      <c r="E179" s="2853">
        <v>0.8085</v>
      </c>
      <c r="F179" s="2853">
        <v>0.8085</v>
      </c>
      <c r="G179" s="2853">
        <v>0.8085</v>
      </c>
      <c r="H179" s="2853">
        <v>0.8085</v>
      </c>
      <c r="I179" s="2853">
        <v>0.66739999999999999</v>
      </c>
      <c r="J179" s="2853">
        <v>0.66739999999999999</v>
      </c>
      <c r="K179" s="2853">
        <v>0.66739999999999999</v>
      </c>
      <c r="L179" s="2853">
        <v>0.66739999999999999</v>
      </c>
      <c r="M179" s="2854">
        <v>0.66739999999999999</v>
      </c>
    </row>
    <row r="180" spans="1:20">
      <c r="A180" s="2855">
        <v>9.5</v>
      </c>
      <c r="B180" s="2853">
        <v>0.88700000000000001</v>
      </c>
      <c r="C180" s="2853">
        <v>0.88700000000000001</v>
      </c>
      <c r="D180" s="2853">
        <v>0.80700000000000005</v>
      </c>
      <c r="E180" s="2853">
        <v>0.80700000000000005</v>
      </c>
      <c r="F180" s="2853">
        <v>0.80700000000000005</v>
      </c>
      <c r="G180" s="2853">
        <v>0.80700000000000005</v>
      </c>
      <c r="H180" s="2853">
        <v>0.80700000000000005</v>
      </c>
      <c r="I180" s="2853">
        <v>0.66549999999999998</v>
      </c>
      <c r="J180" s="2853">
        <v>0.66549999999999998</v>
      </c>
      <c r="K180" s="2853">
        <v>0.66549999999999998</v>
      </c>
      <c r="L180" s="2853">
        <v>0.66549999999999998</v>
      </c>
      <c r="M180" s="2854">
        <v>0.66549999999999998</v>
      </c>
    </row>
    <row r="181" spans="1:20">
      <c r="A181" s="2855">
        <v>9.6</v>
      </c>
      <c r="B181" s="2853">
        <v>0.88580000000000003</v>
      </c>
      <c r="C181" s="2853">
        <v>0.88580000000000003</v>
      </c>
      <c r="D181" s="2853">
        <v>0.80549999999999999</v>
      </c>
      <c r="E181" s="2853">
        <v>0.80549999999999999</v>
      </c>
      <c r="F181" s="2853">
        <v>0.80549999999999999</v>
      </c>
      <c r="G181" s="2853">
        <v>0.80549999999999999</v>
      </c>
      <c r="H181" s="2853">
        <v>0.80549999999999999</v>
      </c>
      <c r="I181" s="2853">
        <v>0.66359999999999997</v>
      </c>
      <c r="J181" s="2853">
        <v>0.66359999999999997</v>
      </c>
      <c r="K181" s="2853">
        <v>0.66359999999999997</v>
      </c>
      <c r="L181" s="2853">
        <v>0.66359999999999997</v>
      </c>
      <c r="M181" s="2854">
        <v>0.66359999999999997</v>
      </c>
    </row>
    <row r="182" spans="1:20">
      <c r="A182" s="2855">
        <v>9.6999999999999993</v>
      </c>
      <c r="B182" s="2853">
        <v>0.88460000000000005</v>
      </c>
      <c r="C182" s="2853">
        <v>0.88460000000000005</v>
      </c>
      <c r="D182" s="2853">
        <v>0.80400000000000005</v>
      </c>
      <c r="E182" s="2853">
        <v>0.80400000000000005</v>
      </c>
      <c r="F182" s="2853">
        <v>0.80400000000000005</v>
      </c>
      <c r="G182" s="2853">
        <v>0.80400000000000005</v>
      </c>
      <c r="H182" s="2853">
        <v>0.80400000000000005</v>
      </c>
      <c r="I182" s="2853">
        <v>0.66169999999999995</v>
      </c>
      <c r="J182" s="2853">
        <v>0.66169999999999995</v>
      </c>
      <c r="K182" s="2853">
        <v>0.66169999999999995</v>
      </c>
      <c r="L182" s="2853">
        <v>0.66169999999999995</v>
      </c>
      <c r="M182" s="2854">
        <v>0.66169999999999995</v>
      </c>
    </row>
    <row r="183" spans="1:20">
      <c r="A183" s="2855">
        <v>9.8000000000000007</v>
      </c>
      <c r="B183" s="2853">
        <v>0.88339999999999996</v>
      </c>
      <c r="C183" s="2853">
        <v>0.88339999999999996</v>
      </c>
      <c r="D183" s="2853">
        <v>0.80249999999999999</v>
      </c>
      <c r="E183" s="2853">
        <v>0.80249999999999999</v>
      </c>
      <c r="F183" s="2853">
        <v>0.80249999999999999</v>
      </c>
      <c r="G183" s="2853">
        <v>0.80249999999999999</v>
      </c>
      <c r="H183" s="2853">
        <v>0.80249999999999999</v>
      </c>
      <c r="I183" s="2853">
        <v>0.65980000000000005</v>
      </c>
      <c r="J183" s="2853">
        <v>0.65980000000000005</v>
      </c>
      <c r="K183" s="2853">
        <v>0.65980000000000005</v>
      </c>
      <c r="L183" s="2853">
        <v>0.65980000000000005</v>
      </c>
      <c r="M183" s="2854">
        <v>0.65980000000000005</v>
      </c>
    </row>
    <row r="184" spans="1:20" ht="14.25" thickBot="1">
      <c r="A184" s="2856">
        <v>9.9</v>
      </c>
      <c r="B184" s="2857">
        <v>0.88219999999999998</v>
      </c>
      <c r="C184" s="2857">
        <v>0.88219999999999998</v>
      </c>
      <c r="D184" s="2857">
        <v>0.80100000000000005</v>
      </c>
      <c r="E184" s="2857">
        <v>0.80100000000000005</v>
      </c>
      <c r="F184" s="2857">
        <v>0.80100000000000005</v>
      </c>
      <c r="G184" s="2857">
        <v>0.80100000000000005</v>
      </c>
      <c r="H184" s="2857">
        <v>0.80100000000000005</v>
      </c>
      <c r="I184" s="2857">
        <v>0.65790000000000004</v>
      </c>
      <c r="J184" s="2857">
        <v>0.65790000000000004</v>
      </c>
      <c r="K184" s="2857">
        <v>0.65790000000000004</v>
      </c>
      <c r="L184" s="2857">
        <v>0.65790000000000004</v>
      </c>
      <c r="M184" s="2858">
        <v>0.65790000000000004</v>
      </c>
    </row>
    <row r="185" spans="1:20" ht="15" thickBot="1">
      <c r="A185" s="2846" t="s">
        <v>2799</v>
      </c>
      <c r="B185" s="2846"/>
      <c r="C185" s="2846"/>
      <c r="D185" s="2846"/>
      <c r="E185" s="2846"/>
      <c r="F185" s="2846"/>
      <c r="G185" s="2846"/>
      <c r="H185" s="2846"/>
      <c r="I185" s="2846"/>
      <c r="J185" s="2846"/>
      <c r="K185" s="2846"/>
      <c r="L185" s="2846"/>
      <c r="M185" s="2846"/>
    </row>
    <row r="186" spans="1:20">
      <c r="A186" s="2847" t="s">
        <v>2797</v>
      </c>
      <c r="B186" s="2848" t="s">
        <v>2593</v>
      </c>
      <c r="C186" s="2848" t="s">
        <v>2594</v>
      </c>
      <c r="D186" s="2848" t="s">
        <v>2595</v>
      </c>
      <c r="E186" s="2848" t="s">
        <v>2596</v>
      </c>
      <c r="F186" s="2848" t="s">
        <v>2597</v>
      </c>
      <c r="G186" s="2848" t="s">
        <v>2598</v>
      </c>
      <c r="H186" s="2849" t="s">
        <v>2599</v>
      </c>
      <c r="I186" s="2849" t="s">
        <v>2600</v>
      </c>
      <c r="J186" s="2850" t="s">
        <v>2601</v>
      </c>
      <c r="K186" s="2850" t="s">
        <v>2602</v>
      </c>
      <c r="L186" s="2850" t="s">
        <v>2603</v>
      </c>
      <c r="M186" s="2851" t="s">
        <v>2604</v>
      </c>
      <c r="Q186" s="2861" t="s">
        <v>2802</v>
      </c>
      <c r="R186" s="2861" t="s">
        <v>2803</v>
      </c>
      <c r="S186" s="2861" t="s">
        <v>2804</v>
      </c>
      <c r="T186" s="2861" t="s">
        <v>2805</v>
      </c>
    </row>
    <row r="187" spans="1:20">
      <c r="A187" s="2852">
        <v>1</v>
      </c>
      <c r="B187" s="2853">
        <v>1.1901999999999999</v>
      </c>
      <c r="C187" s="2853">
        <v>1.1901999999999999</v>
      </c>
      <c r="D187" s="2853">
        <v>1.222</v>
      </c>
      <c r="E187" s="2853">
        <v>1.222</v>
      </c>
      <c r="F187" s="2853">
        <v>1.222</v>
      </c>
      <c r="G187" s="2853">
        <v>1.222</v>
      </c>
      <c r="H187" s="2853">
        <v>1.222</v>
      </c>
      <c r="I187" s="2853">
        <v>1.1054999999999999</v>
      </c>
      <c r="J187" s="2853">
        <v>1.1054999999999999</v>
      </c>
      <c r="K187" s="2853">
        <v>1.1054999999999999</v>
      </c>
      <c r="L187" s="2853">
        <v>1.1054999999999999</v>
      </c>
      <c r="M187" s="2854">
        <v>1.1054999999999999</v>
      </c>
      <c r="Q187" s="2861">
        <v>10</v>
      </c>
      <c r="R187" s="2861">
        <f>ROUND(0.9448-0.0115*Q187,4)</f>
        <v>0.82979999999999998</v>
      </c>
      <c r="S187" s="2861">
        <f>ROUND(0.937-0.0145*Q187,4)</f>
        <v>0.79200000000000004</v>
      </c>
      <c r="T187" s="2861">
        <f>ROUND(0.7965-0.0185*Q187,4)</f>
        <v>0.61150000000000004</v>
      </c>
    </row>
    <row r="188" spans="1:20">
      <c r="A188" s="2852">
        <v>1.1000000000000001</v>
      </c>
      <c r="B188" s="2853">
        <v>1.1715</v>
      </c>
      <c r="C188" s="2853">
        <v>1.1715</v>
      </c>
      <c r="D188" s="2853">
        <v>1.2002999999999999</v>
      </c>
      <c r="E188" s="2853">
        <v>1.2002999999999999</v>
      </c>
      <c r="F188" s="2853">
        <v>1.2002999999999999</v>
      </c>
      <c r="G188" s="2853">
        <v>1.2002999999999999</v>
      </c>
      <c r="H188" s="2853">
        <v>1.2002999999999999</v>
      </c>
      <c r="I188" s="2853">
        <v>1.0819000000000001</v>
      </c>
      <c r="J188" s="2853">
        <v>1.0819000000000001</v>
      </c>
      <c r="K188" s="2853">
        <v>1.0819000000000001</v>
      </c>
      <c r="L188" s="2853">
        <v>1.0819000000000001</v>
      </c>
      <c r="M188" s="2854">
        <v>1.0819000000000001</v>
      </c>
    </row>
    <row r="189" spans="1:20">
      <c r="A189" s="2852">
        <v>1.2</v>
      </c>
      <c r="B189" s="2853">
        <v>1.1538999999999999</v>
      </c>
      <c r="C189" s="2853">
        <v>1.1538999999999999</v>
      </c>
      <c r="D189" s="2853">
        <v>1.1798</v>
      </c>
      <c r="E189" s="2853">
        <v>1.1798</v>
      </c>
      <c r="F189" s="2853">
        <v>1.1798</v>
      </c>
      <c r="G189" s="2853">
        <v>1.1798</v>
      </c>
      <c r="H189" s="2853">
        <v>1.1798</v>
      </c>
      <c r="I189" s="2853">
        <v>1.0597000000000001</v>
      </c>
      <c r="J189" s="2853">
        <v>1.0597000000000001</v>
      </c>
      <c r="K189" s="2853">
        <v>1.0597000000000001</v>
      </c>
      <c r="L189" s="2853">
        <v>1.0597000000000001</v>
      </c>
      <c r="M189" s="2854">
        <v>1.0597000000000001</v>
      </c>
    </row>
    <row r="190" spans="1:20">
      <c r="A190" s="2852">
        <v>1.3</v>
      </c>
      <c r="B190" s="2853">
        <v>1.1372</v>
      </c>
      <c r="C190" s="2853">
        <v>1.1372</v>
      </c>
      <c r="D190" s="2853">
        <v>1.1605000000000001</v>
      </c>
      <c r="E190" s="2853">
        <v>1.1605000000000001</v>
      </c>
      <c r="F190" s="2853">
        <v>1.1605000000000001</v>
      </c>
      <c r="G190" s="2853">
        <v>1.1605000000000001</v>
      </c>
      <c r="H190" s="2853">
        <v>1.1605000000000001</v>
      </c>
      <c r="I190" s="2853">
        <v>1.0386</v>
      </c>
      <c r="J190" s="2853">
        <v>1.0386</v>
      </c>
      <c r="K190" s="2853">
        <v>1.0386</v>
      </c>
      <c r="L190" s="2853">
        <v>1.0386</v>
      </c>
      <c r="M190" s="2854">
        <v>1.0386</v>
      </c>
    </row>
    <row r="191" spans="1:20">
      <c r="A191" s="2852">
        <v>1.4</v>
      </c>
      <c r="B191" s="2853">
        <v>1.1215999999999999</v>
      </c>
      <c r="C191" s="2853">
        <v>1.1215999999999999</v>
      </c>
      <c r="D191" s="2853">
        <v>1.1422000000000001</v>
      </c>
      <c r="E191" s="2853">
        <v>1.1422000000000001</v>
      </c>
      <c r="F191" s="2853">
        <v>1.1422000000000001</v>
      </c>
      <c r="G191" s="2853">
        <v>1.1422000000000001</v>
      </c>
      <c r="H191" s="2853">
        <v>1.1422000000000001</v>
      </c>
      <c r="I191" s="2853">
        <v>1.0187999999999999</v>
      </c>
      <c r="J191" s="2853">
        <v>1.0187999999999999</v>
      </c>
      <c r="K191" s="2853">
        <v>1.0187999999999999</v>
      </c>
      <c r="L191" s="2853">
        <v>1.0187999999999999</v>
      </c>
      <c r="M191" s="2854">
        <v>1.0187999999999999</v>
      </c>
    </row>
    <row r="192" spans="1:20">
      <c r="A192" s="2852">
        <v>1.5</v>
      </c>
      <c r="B192" s="2853">
        <v>1.1069</v>
      </c>
      <c r="C192" s="2853">
        <v>1.1069</v>
      </c>
      <c r="D192" s="2853">
        <v>1.125</v>
      </c>
      <c r="E192" s="2853">
        <v>1.125</v>
      </c>
      <c r="F192" s="2853">
        <v>1.125</v>
      </c>
      <c r="G192" s="2853">
        <v>1.125</v>
      </c>
      <c r="H192" s="2853">
        <v>1.125</v>
      </c>
      <c r="I192" s="2853">
        <v>1</v>
      </c>
      <c r="J192" s="2853">
        <v>1</v>
      </c>
      <c r="K192" s="2853">
        <v>1</v>
      </c>
      <c r="L192" s="2853">
        <v>1</v>
      </c>
      <c r="M192" s="2854">
        <v>1</v>
      </c>
    </row>
    <row r="193" spans="1:13">
      <c r="A193" s="2852">
        <v>1.6</v>
      </c>
      <c r="B193" s="2853">
        <v>1.0929</v>
      </c>
      <c r="C193" s="2853">
        <v>1.0929</v>
      </c>
      <c r="D193" s="2853">
        <v>1.1087</v>
      </c>
      <c r="E193" s="2853">
        <v>1.1087</v>
      </c>
      <c r="F193" s="2853">
        <v>1.1087</v>
      </c>
      <c r="G193" s="2853">
        <v>1.1087</v>
      </c>
      <c r="H193" s="2853">
        <v>1.1087</v>
      </c>
      <c r="I193" s="2853">
        <v>0.98229999999999995</v>
      </c>
      <c r="J193" s="2853">
        <v>0.98229999999999995</v>
      </c>
      <c r="K193" s="2853">
        <v>0.98229999999999995</v>
      </c>
      <c r="L193" s="2853">
        <v>0.98229999999999995</v>
      </c>
      <c r="M193" s="2854">
        <v>0.98229999999999995</v>
      </c>
    </row>
    <row r="194" spans="1:13">
      <c r="A194" s="2852">
        <v>1.7</v>
      </c>
      <c r="B194" s="2853">
        <v>1.0798000000000001</v>
      </c>
      <c r="C194" s="2853">
        <v>1.0798000000000001</v>
      </c>
      <c r="D194" s="2853">
        <v>1.0933999999999999</v>
      </c>
      <c r="E194" s="2853">
        <v>1.0933999999999999</v>
      </c>
      <c r="F194" s="2853">
        <v>1.0933999999999999</v>
      </c>
      <c r="G194" s="2853">
        <v>1.0933999999999999</v>
      </c>
      <c r="H194" s="2853">
        <v>1.0933999999999999</v>
      </c>
      <c r="I194" s="2853">
        <v>0.96560000000000001</v>
      </c>
      <c r="J194" s="2853">
        <v>0.96560000000000001</v>
      </c>
      <c r="K194" s="2853">
        <v>0.96560000000000001</v>
      </c>
      <c r="L194" s="2853">
        <v>0.96560000000000001</v>
      </c>
      <c r="M194" s="2854">
        <v>0.96560000000000001</v>
      </c>
    </row>
    <row r="195" spans="1:13">
      <c r="A195" s="2852">
        <v>1.8</v>
      </c>
      <c r="B195" s="2853">
        <v>1.0674999999999999</v>
      </c>
      <c r="C195" s="2853">
        <v>1.0674999999999999</v>
      </c>
      <c r="D195" s="2853">
        <v>1.0790999999999999</v>
      </c>
      <c r="E195" s="2853">
        <v>1.0790999999999999</v>
      </c>
      <c r="F195" s="2853">
        <v>1.0790999999999999</v>
      </c>
      <c r="G195" s="2853">
        <v>1.0790999999999999</v>
      </c>
      <c r="H195" s="2853">
        <v>1.0790999999999999</v>
      </c>
      <c r="I195" s="2853">
        <v>0.94989999999999997</v>
      </c>
      <c r="J195" s="2853">
        <v>0.94989999999999997</v>
      </c>
      <c r="K195" s="2853">
        <v>0.94989999999999997</v>
      </c>
      <c r="L195" s="2853">
        <v>0.94989999999999997</v>
      </c>
      <c r="M195" s="2854">
        <v>0.94989999999999997</v>
      </c>
    </row>
    <row r="196" spans="1:13">
      <c r="A196" s="2852">
        <v>1.9</v>
      </c>
      <c r="B196" s="2853">
        <v>1.0558000000000001</v>
      </c>
      <c r="C196" s="2853">
        <v>1.0558000000000001</v>
      </c>
      <c r="D196" s="2853">
        <v>1.0654999999999999</v>
      </c>
      <c r="E196" s="2853">
        <v>1.0654999999999999</v>
      </c>
      <c r="F196" s="2853">
        <v>1.0654999999999999</v>
      </c>
      <c r="G196" s="2853">
        <v>1.0654999999999999</v>
      </c>
      <c r="H196" s="2853">
        <v>1.0654999999999999</v>
      </c>
      <c r="I196" s="2853">
        <v>0.93520000000000003</v>
      </c>
      <c r="J196" s="2853">
        <v>0.93520000000000003</v>
      </c>
      <c r="K196" s="2853">
        <v>0.93520000000000003</v>
      </c>
      <c r="L196" s="2853">
        <v>0.93520000000000003</v>
      </c>
      <c r="M196" s="2854">
        <v>0.93520000000000003</v>
      </c>
    </row>
    <row r="197" spans="1:13">
      <c r="A197" s="2852">
        <v>2</v>
      </c>
      <c r="B197" s="2853">
        <v>1.0449999999999999</v>
      </c>
      <c r="C197" s="2853">
        <v>1.0449999999999999</v>
      </c>
      <c r="D197" s="2853">
        <v>1.0528</v>
      </c>
      <c r="E197" s="2853">
        <v>1.0528</v>
      </c>
      <c r="F197" s="2853">
        <v>1.0528</v>
      </c>
      <c r="G197" s="2853">
        <v>1.0528</v>
      </c>
      <c r="H197" s="2853">
        <v>1.0528</v>
      </c>
      <c r="I197" s="2853">
        <v>0.92130000000000001</v>
      </c>
      <c r="J197" s="2853">
        <v>0.92130000000000001</v>
      </c>
      <c r="K197" s="2853">
        <v>0.92130000000000001</v>
      </c>
      <c r="L197" s="2853">
        <v>0.92130000000000001</v>
      </c>
      <c r="M197" s="2854">
        <v>0.92130000000000001</v>
      </c>
    </row>
    <row r="198" spans="1:13">
      <c r="A198" s="2855">
        <v>2.1</v>
      </c>
      <c r="B198" s="2853">
        <v>1.0347999999999999</v>
      </c>
      <c r="C198" s="2853">
        <v>1.0347999999999999</v>
      </c>
      <c r="D198" s="2853">
        <v>1.0407999999999999</v>
      </c>
      <c r="E198" s="2853">
        <v>1.0407999999999999</v>
      </c>
      <c r="F198" s="2853">
        <v>1.0407999999999999</v>
      </c>
      <c r="G198" s="2853">
        <v>1.0407999999999999</v>
      </c>
      <c r="H198" s="2853">
        <v>1.0407999999999999</v>
      </c>
      <c r="I198" s="2853">
        <v>0.90820000000000001</v>
      </c>
      <c r="J198" s="2853">
        <v>0.90820000000000001</v>
      </c>
      <c r="K198" s="2853">
        <v>0.90820000000000001</v>
      </c>
      <c r="L198" s="2853">
        <v>0.90820000000000001</v>
      </c>
      <c r="M198" s="2854">
        <v>0.90820000000000001</v>
      </c>
    </row>
    <row r="199" spans="1:13">
      <c r="A199" s="2855">
        <v>2.2000000000000002</v>
      </c>
      <c r="B199" s="2853">
        <v>1.0251999999999999</v>
      </c>
      <c r="C199" s="2853">
        <v>1.0251999999999999</v>
      </c>
      <c r="D199" s="2853">
        <v>1.0296000000000001</v>
      </c>
      <c r="E199" s="2853">
        <v>1.0296000000000001</v>
      </c>
      <c r="F199" s="2853">
        <v>1.0296000000000001</v>
      </c>
      <c r="G199" s="2853">
        <v>1.0296000000000001</v>
      </c>
      <c r="H199" s="2853">
        <v>1.0296000000000001</v>
      </c>
      <c r="I199" s="2853">
        <v>0.89570000000000005</v>
      </c>
      <c r="J199" s="2853">
        <v>0.89570000000000005</v>
      </c>
      <c r="K199" s="2853">
        <v>0.89570000000000005</v>
      </c>
      <c r="L199" s="2853">
        <v>0.89570000000000005</v>
      </c>
      <c r="M199" s="2854">
        <v>0.89570000000000005</v>
      </c>
    </row>
    <row r="200" spans="1:13">
      <c r="A200" s="2855">
        <v>2.2999999999999998</v>
      </c>
      <c r="B200" s="2853">
        <v>1.0162</v>
      </c>
      <c r="C200" s="2853">
        <v>1.0162</v>
      </c>
      <c r="D200" s="2853">
        <v>1.0190999999999999</v>
      </c>
      <c r="E200" s="2853">
        <v>1.0190999999999999</v>
      </c>
      <c r="F200" s="2853">
        <v>1.0190999999999999</v>
      </c>
      <c r="G200" s="2853">
        <v>1.0190999999999999</v>
      </c>
      <c r="H200" s="2853">
        <v>1.0190999999999999</v>
      </c>
      <c r="I200" s="2853">
        <v>0.88419999999999999</v>
      </c>
      <c r="J200" s="2853">
        <v>0.88419999999999999</v>
      </c>
      <c r="K200" s="2853">
        <v>0.88419999999999999</v>
      </c>
      <c r="L200" s="2853">
        <v>0.88419999999999999</v>
      </c>
      <c r="M200" s="2854">
        <v>0.88419999999999999</v>
      </c>
    </row>
    <row r="201" spans="1:13">
      <c r="A201" s="2855">
        <v>2.4</v>
      </c>
      <c r="B201" s="2853">
        <v>1.0078</v>
      </c>
      <c r="C201" s="2853">
        <v>1.0078</v>
      </c>
      <c r="D201" s="2853">
        <v>1.0092000000000001</v>
      </c>
      <c r="E201" s="2853">
        <v>1.0092000000000001</v>
      </c>
      <c r="F201" s="2853">
        <v>1.0092000000000001</v>
      </c>
      <c r="G201" s="2853">
        <v>1.0092000000000001</v>
      </c>
      <c r="H201" s="2853">
        <v>1.0092000000000001</v>
      </c>
      <c r="I201" s="2853">
        <v>0.87329999999999997</v>
      </c>
      <c r="J201" s="2853">
        <v>0.87329999999999997</v>
      </c>
      <c r="K201" s="2853">
        <v>0.87329999999999997</v>
      </c>
      <c r="L201" s="2853">
        <v>0.87329999999999997</v>
      </c>
      <c r="M201" s="2854">
        <v>0.87329999999999997</v>
      </c>
    </row>
    <row r="202" spans="1:13">
      <c r="A202" s="2855">
        <v>2.5</v>
      </c>
      <c r="B202" s="2853">
        <v>1</v>
      </c>
      <c r="C202" s="2853">
        <v>1</v>
      </c>
      <c r="D202" s="2853">
        <v>1</v>
      </c>
      <c r="E202" s="2853">
        <v>1</v>
      </c>
      <c r="F202" s="2853">
        <v>1</v>
      </c>
      <c r="G202" s="2853">
        <v>1</v>
      </c>
      <c r="H202" s="2853">
        <v>1</v>
      </c>
      <c r="I202" s="2853">
        <v>0.86299999999999999</v>
      </c>
      <c r="J202" s="2853">
        <v>0.86299999999999999</v>
      </c>
      <c r="K202" s="2853">
        <v>0.86299999999999999</v>
      </c>
      <c r="L202" s="2853">
        <v>0.86299999999999999</v>
      </c>
      <c r="M202" s="2854">
        <v>0.86299999999999999</v>
      </c>
    </row>
    <row r="203" spans="1:13">
      <c r="A203" s="2855">
        <v>2.6</v>
      </c>
      <c r="B203" s="2853">
        <v>0.99270000000000003</v>
      </c>
      <c r="C203" s="2853">
        <v>0.99270000000000003</v>
      </c>
      <c r="D203" s="2853">
        <v>0.99139999999999995</v>
      </c>
      <c r="E203" s="2853">
        <v>0.99139999999999995</v>
      </c>
      <c r="F203" s="2853">
        <v>0.99139999999999995</v>
      </c>
      <c r="G203" s="2853">
        <v>0.99139999999999995</v>
      </c>
      <c r="H203" s="2853">
        <v>0.99139999999999995</v>
      </c>
      <c r="I203" s="2853">
        <v>0.85340000000000005</v>
      </c>
      <c r="J203" s="2853">
        <v>0.85340000000000005</v>
      </c>
      <c r="K203" s="2853">
        <v>0.85340000000000005</v>
      </c>
      <c r="L203" s="2853">
        <v>0.85340000000000005</v>
      </c>
      <c r="M203" s="2854">
        <v>0.85340000000000005</v>
      </c>
    </row>
    <row r="204" spans="1:13">
      <c r="A204" s="2855">
        <v>2.7</v>
      </c>
      <c r="B204" s="2853">
        <v>0.98580000000000001</v>
      </c>
      <c r="C204" s="2853">
        <v>0.98580000000000001</v>
      </c>
      <c r="D204" s="2853">
        <v>0.98329999999999995</v>
      </c>
      <c r="E204" s="2853">
        <v>0.98329999999999995</v>
      </c>
      <c r="F204" s="2853">
        <v>0.98329999999999995</v>
      </c>
      <c r="G204" s="2853">
        <v>0.98329999999999995</v>
      </c>
      <c r="H204" s="2853">
        <v>0.98329999999999995</v>
      </c>
      <c r="I204" s="2853">
        <v>0.84440000000000004</v>
      </c>
      <c r="J204" s="2853">
        <v>0.84440000000000004</v>
      </c>
      <c r="K204" s="2853">
        <v>0.84440000000000004</v>
      </c>
      <c r="L204" s="2853">
        <v>0.84440000000000004</v>
      </c>
      <c r="M204" s="2854">
        <v>0.84440000000000004</v>
      </c>
    </row>
    <row r="205" spans="1:13">
      <c r="A205" s="2855">
        <v>2.8</v>
      </c>
      <c r="B205" s="2853">
        <v>0.97940000000000005</v>
      </c>
      <c r="C205" s="2853">
        <v>0.97940000000000005</v>
      </c>
      <c r="D205" s="2853">
        <v>0.97570000000000001</v>
      </c>
      <c r="E205" s="2853">
        <v>0.97570000000000001</v>
      </c>
      <c r="F205" s="2853">
        <v>0.97570000000000001</v>
      </c>
      <c r="G205" s="2853">
        <v>0.97570000000000001</v>
      </c>
      <c r="H205" s="2853">
        <v>0.97570000000000001</v>
      </c>
      <c r="I205" s="2853">
        <v>0.83599999999999997</v>
      </c>
      <c r="J205" s="2853">
        <v>0.83599999999999997</v>
      </c>
      <c r="K205" s="2853">
        <v>0.83599999999999997</v>
      </c>
      <c r="L205" s="2853">
        <v>0.83599999999999997</v>
      </c>
      <c r="M205" s="2854">
        <v>0.83599999999999997</v>
      </c>
    </row>
    <row r="206" spans="1:13">
      <c r="A206" s="2855">
        <v>2.9</v>
      </c>
      <c r="B206" s="2853">
        <v>0.97350000000000003</v>
      </c>
      <c r="C206" s="2853">
        <v>0.97350000000000003</v>
      </c>
      <c r="D206" s="2853">
        <v>0.96870000000000001</v>
      </c>
      <c r="E206" s="2853">
        <v>0.96870000000000001</v>
      </c>
      <c r="F206" s="2853">
        <v>0.96870000000000001</v>
      </c>
      <c r="G206" s="2853">
        <v>0.96870000000000001</v>
      </c>
      <c r="H206" s="2853">
        <v>0.96870000000000001</v>
      </c>
      <c r="I206" s="2853">
        <v>0.82820000000000005</v>
      </c>
      <c r="J206" s="2853">
        <v>0.82820000000000005</v>
      </c>
      <c r="K206" s="2853">
        <v>0.82820000000000005</v>
      </c>
      <c r="L206" s="2853">
        <v>0.82820000000000005</v>
      </c>
      <c r="M206" s="2854">
        <v>0.82820000000000005</v>
      </c>
    </row>
    <row r="207" spans="1:13">
      <c r="A207" s="2855">
        <v>3</v>
      </c>
      <c r="B207" s="2853">
        <v>0.96789999999999998</v>
      </c>
      <c r="C207" s="2853">
        <v>0.96789999999999998</v>
      </c>
      <c r="D207" s="2853">
        <v>0.96209999999999996</v>
      </c>
      <c r="E207" s="2853">
        <v>0.96209999999999996</v>
      </c>
      <c r="F207" s="2853">
        <v>0.96209999999999996</v>
      </c>
      <c r="G207" s="2853">
        <v>0.96209999999999996</v>
      </c>
      <c r="H207" s="2853">
        <v>0.96209999999999996</v>
      </c>
      <c r="I207" s="2853">
        <v>0.82079999999999997</v>
      </c>
      <c r="J207" s="2853">
        <v>0.82079999999999997</v>
      </c>
      <c r="K207" s="2853">
        <v>0.82079999999999997</v>
      </c>
      <c r="L207" s="2853">
        <v>0.82079999999999997</v>
      </c>
      <c r="M207" s="2854">
        <v>0.82079999999999997</v>
      </c>
    </row>
    <row r="208" spans="1:13">
      <c r="A208" s="2855">
        <v>3.1</v>
      </c>
      <c r="B208" s="2853">
        <v>0.9627</v>
      </c>
      <c r="C208" s="2853">
        <v>0.9627</v>
      </c>
      <c r="D208" s="2853">
        <v>0.95589999999999997</v>
      </c>
      <c r="E208" s="2853">
        <v>0.95589999999999997</v>
      </c>
      <c r="F208" s="2853">
        <v>0.95589999999999997</v>
      </c>
      <c r="G208" s="2853">
        <v>0.95589999999999997</v>
      </c>
      <c r="H208" s="2853">
        <v>0.95589999999999997</v>
      </c>
      <c r="I208" s="2853">
        <v>0.81389999999999996</v>
      </c>
      <c r="J208" s="2853">
        <v>0.81389999999999996</v>
      </c>
      <c r="K208" s="2853">
        <v>0.81389999999999996</v>
      </c>
      <c r="L208" s="2853">
        <v>0.81389999999999996</v>
      </c>
      <c r="M208" s="2854">
        <v>0.81389999999999996</v>
      </c>
    </row>
    <row r="209" spans="1:13">
      <c r="A209" s="2855">
        <v>3.2</v>
      </c>
      <c r="B209" s="2853">
        <v>0.95789999999999997</v>
      </c>
      <c r="C209" s="2853">
        <v>0.95789999999999997</v>
      </c>
      <c r="D209" s="2853">
        <v>0.95020000000000004</v>
      </c>
      <c r="E209" s="2853">
        <v>0.95020000000000004</v>
      </c>
      <c r="F209" s="2853">
        <v>0.95020000000000004</v>
      </c>
      <c r="G209" s="2853">
        <v>0.95020000000000004</v>
      </c>
      <c r="H209" s="2853">
        <v>0.95020000000000004</v>
      </c>
      <c r="I209" s="2853">
        <v>0.8075</v>
      </c>
      <c r="J209" s="2853">
        <v>0.8075</v>
      </c>
      <c r="K209" s="2853">
        <v>0.8075</v>
      </c>
      <c r="L209" s="2853">
        <v>0.8075</v>
      </c>
      <c r="M209" s="2854">
        <v>0.8075</v>
      </c>
    </row>
    <row r="210" spans="1:13">
      <c r="A210" s="2855">
        <v>3.3</v>
      </c>
      <c r="B210" s="2853">
        <v>0.95340000000000003</v>
      </c>
      <c r="C210" s="2853">
        <v>0.95340000000000003</v>
      </c>
      <c r="D210" s="2853">
        <v>0.94479999999999997</v>
      </c>
      <c r="E210" s="2853">
        <v>0.94479999999999997</v>
      </c>
      <c r="F210" s="2853">
        <v>0.94479999999999997</v>
      </c>
      <c r="G210" s="2853">
        <v>0.94479999999999997</v>
      </c>
      <c r="H210" s="2853">
        <v>0.94479999999999997</v>
      </c>
      <c r="I210" s="2853">
        <v>0.80149999999999999</v>
      </c>
      <c r="J210" s="2853">
        <v>0.80149999999999999</v>
      </c>
      <c r="K210" s="2853">
        <v>0.80149999999999999</v>
      </c>
      <c r="L210" s="2853">
        <v>0.80149999999999999</v>
      </c>
      <c r="M210" s="2854">
        <v>0.80149999999999999</v>
      </c>
    </row>
    <row r="211" spans="1:13">
      <c r="A211" s="2855">
        <v>3.4</v>
      </c>
      <c r="B211" s="2853">
        <v>0.94920000000000004</v>
      </c>
      <c r="C211" s="2853">
        <v>0.94920000000000004</v>
      </c>
      <c r="D211" s="2853">
        <v>0.93989999999999996</v>
      </c>
      <c r="E211" s="2853">
        <v>0.93989999999999996</v>
      </c>
      <c r="F211" s="2853">
        <v>0.93989999999999996</v>
      </c>
      <c r="G211" s="2853">
        <v>0.93989999999999996</v>
      </c>
      <c r="H211" s="2853">
        <v>0.93989999999999996</v>
      </c>
      <c r="I211" s="2853">
        <v>0.79590000000000005</v>
      </c>
      <c r="J211" s="2853">
        <v>0.79590000000000005</v>
      </c>
      <c r="K211" s="2853">
        <v>0.79590000000000005</v>
      </c>
      <c r="L211" s="2853">
        <v>0.79590000000000005</v>
      </c>
      <c r="M211" s="2854">
        <v>0.79590000000000005</v>
      </c>
    </row>
    <row r="212" spans="1:13">
      <c r="A212" s="2855">
        <v>3.5</v>
      </c>
      <c r="B212" s="2853">
        <v>0.94540000000000002</v>
      </c>
      <c r="C212" s="2853">
        <v>0.94540000000000002</v>
      </c>
      <c r="D212" s="2853">
        <v>0.93520000000000003</v>
      </c>
      <c r="E212" s="2853">
        <v>0.93520000000000003</v>
      </c>
      <c r="F212" s="2853">
        <v>0.93520000000000003</v>
      </c>
      <c r="G212" s="2853">
        <v>0.93520000000000003</v>
      </c>
      <c r="H212" s="2853">
        <v>0.93520000000000003</v>
      </c>
      <c r="I212" s="2853">
        <v>0.79059999999999997</v>
      </c>
      <c r="J212" s="2853">
        <v>0.79059999999999997</v>
      </c>
      <c r="K212" s="2853">
        <v>0.79059999999999997</v>
      </c>
      <c r="L212" s="2853">
        <v>0.79059999999999997</v>
      </c>
      <c r="M212" s="2854">
        <v>0.79059999999999997</v>
      </c>
    </row>
    <row r="213" spans="1:13">
      <c r="A213" s="2855">
        <v>3.6</v>
      </c>
      <c r="B213" s="2853">
        <v>0.94179999999999997</v>
      </c>
      <c r="C213" s="2853">
        <v>0.94179999999999997</v>
      </c>
      <c r="D213" s="2853">
        <v>0.93089999999999995</v>
      </c>
      <c r="E213" s="2853">
        <v>0.93089999999999995</v>
      </c>
      <c r="F213" s="2853">
        <v>0.93089999999999995</v>
      </c>
      <c r="G213" s="2853">
        <v>0.93089999999999995</v>
      </c>
      <c r="H213" s="2853">
        <v>0.93089999999999995</v>
      </c>
      <c r="I213" s="2853">
        <v>0.78569999999999995</v>
      </c>
      <c r="J213" s="2853">
        <v>0.78569999999999995</v>
      </c>
      <c r="K213" s="2853">
        <v>0.78569999999999995</v>
      </c>
      <c r="L213" s="2853">
        <v>0.78569999999999995</v>
      </c>
      <c r="M213" s="2854">
        <v>0.78569999999999995</v>
      </c>
    </row>
    <row r="214" spans="1:13">
      <c r="A214" s="2855">
        <v>3.7</v>
      </c>
      <c r="B214" s="2853">
        <v>0.93840000000000001</v>
      </c>
      <c r="C214" s="2853">
        <v>0.93840000000000001</v>
      </c>
      <c r="D214" s="2853">
        <v>0.92689999999999995</v>
      </c>
      <c r="E214" s="2853">
        <v>0.92689999999999995</v>
      </c>
      <c r="F214" s="2853">
        <v>0.92689999999999995</v>
      </c>
      <c r="G214" s="2853">
        <v>0.92689999999999995</v>
      </c>
      <c r="H214" s="2853">
        <v>0.92689999999999995</v>
      </c>
      <c r="I214" s="2853">
        <v>0.78110000000000002</v>
      </c>
      <c r="J214" s="2853">
        <v>0.78110000000000002</v>
      </c>
      <c r="K214" s="2853">
        <v>0.78110000000000002</v>
      </c>
      <c r="L214" s="2853">
        <v>0.78110000000000002</v>
      </c>
      <c r="M214" s="2854">
        <v>0.78110000000000002</v>
      </c>
    </row>
    <row r="215" spans="1:13">
      <c r="A215" s="2855">
        <v>3.8</v>
      </c>
      <c r="B215" s="2853">
        <v>0.93530000000000002</v>
      </c>
      <c r="C215" s="2853">
        <v>0.93530000000000002</v>
      </c>
      <c r="D215" s="2853">
        <v>0.92310000000000003</v>
      </c>
      <c r="E215" s="2853">
        <v>0.92310000000000003</v>
      </c>
      <c r="F215" s="2853">
        <v>0.92310000000000003</v>
      </c>
      <c r="G215" s="2853">
        <v>0.92310000000000003</v>
      </c>
      <c r="H215" s="2853">
        <v>0.92310000000000003</v>
      </c>
      <c r="I215" s="2853">
        <v>0.77680000000000005</v>
      </c>
      <c r="J215" s="2853">
        <v>0.77680000000000005</v>
      </c>
      <c r="K215" s="2853">
        <v>0.77680000000000005</v>
      </c>
      <c r="L215" s="2853">
        <v>0.77680000000000005</v>
      </c>
      <c r="M215" s="2854">
        <v>0.77680000000000005</v>
      </c>
    </row>
    <row r="216" spans="1:13">
      <c r="A216" s="2855">
        <v>3.9</v>
      </c>
      <c r="B216" s="2853">
        <v>0.93240000000000001</v>
      </c>
      <c r="C216" s="2853">
        <v>0.93240000000000001</v>
      </c>
      <c r="D216" s="2853">
        <v>0.91959999999999997</v>
      </c>
      <c r="E216" s="2853">
        <v>0.91959999999999997</v>
      </c>
      <c r="F216" s="2853">
        <v>0.91959999999999997</v>
      </c>
      <c r="G216" s="2853">
        <v>0.91959999999999997</v>
      </c>
      <c r="H216" s="2853">
        <v>0.91959999999999997</v>
      </c>
      <c r="I216" s="2853">
        <v>0.77270000000000005</v>
      </c>
      <c r="J216" s="2853">
        <v>0.77270000000000005</v>
      </c>
      <c r="K216" s="2853">
        <v>0.77270000000000005</v>
      </c>
      <c r="L216" s="2853">
        <v>0.77270000000000005</v>
      </c>
      <c r="M216" s="2854">
        <v>0.77270000000000005</v>
      </c>
    </row>
    <row r="217" spans="1:13">
      <c r="A217" s="2855">
        <v>4</v>
      </c>
      <c r="B217" s="2853">
        <v>0.92969999999999997</v>
      </c>
      <c r="C217" s="2853">
        <v>0.92969999999999997</v>
      </c>
      <c r="D217" s="2853">
        <v>0.9163</v>
      </c>
      <c r="E217" s="2853">
        <v>0.9163</v>
      </c>
      <c r="F217" s="2853">
        <v>0.9163</v>
      </c>
      <c r="G217" s="2853">
        <v>0.9163</v>
      </c>
      <c r="H217" s="2853">
        <v>0.9163</v>
      </c>
      <c r="I217" s="2853">
        <v>0.76880000000000004</v>
      </c>
      <c r="J217" s="2853">
        <v>0.76880000000000004</v>
      </c>
      <c r="K217" s="2853">
        <v>0.76880000000000004</v>
      </c>
      <c r="L217" s="2853">
        <v>0.76880000000000004</v>
      </c>
      <c r="M217" s="2854">
        <v>0.76880000000000004</v>
      </c>
    </row>
    <row r="218" spans="1:13">
      <c r="A218" s="2855">
        <v>4.0999999999999996</v>
      </c>
      <c r="B218" s="2853">
        <v>0.92720000000000002</v>
      </c>
      <c r="C218" s="2853">
        <v>0.92720000000000002</v>
      </c>
      <c r="D218" s="2853">
        <v>0.91320000000000001</v>
      </c>
      <c r="E218" s="2853">
        <v>0.91320000000000001</v>
      </c>
      <c r="F218" s="2853">
        <v>0.91320000000000001</v>
      </c>
      <c r="G218" s="2853">
        <v>0.91320000000000001</v>
      </c>
      <c r="H218" s="2853">
        <v>0.91320000000000001</v>
      </c>
      <c r="I218" s="2853">
        <v>0.7651</v>
      </c>
      <c r="J218" s="2853">
        <v>0.7651</v>
      </c>
      <c r="K218" s="2853">
        <v>0.7651</v>
      </c>
      <c r="L218" s="2853">
        <v>0.7651</v>
      </c>
      <c r="M218" s="2854">
        <v>0.7651</v>
      </c>
    </row>
    <row r="219" spans="1:13">
      <c r="A219" s="2855">
        <v>4.2</v>
      </c>
      <c r="B219" s="2853">
        <v>0.92479999999999996</v>
      </c>
      <c r="C219" s="2853">
        <v>0.92479999999999996</v>
      </c>
      <c r="D219" s="2853">
        <v>0.91020000000000001</v>
      </c>
      <c r="E219" s="2853">
        <v>0.91020000000000001</v>
      </c>
      <c r="F219" s="2853">
        <v>0.91020000000000001</v>
      </c>
      <c r="G219" s="2853">
        <v>0.91020000000000001</v>
      </c>
      <c r="H219" s="2853">
        <v>0.91020000000000001</v>
      </c>
      <c r="I219" s="2853">
        <v>0.76149999999999995</v>
      </c>
      <c r="J219" s="2853">
        <v>0.76149999999999995</v>
      </c>
      <c r="K219" s="2853">
        <v>0.76149999999999995</v>
      </c>
      <c r="L219" s="2853">
        <v>0.76149999999999995</v>
      </c>
      <c r="M219" s="2854">
        <v>0.76149999999999995</v>
      </c>
    </row>
    <row r="220" spans="1:13">
      <c r="A220" s="2855">
        <v>4.3</v>
      </c>
      <c r="B220" s="2853">
        <v>0.92249999999999999</v>
      </c>
      <c r="C220" s="2853">
        <v>0.92249999999999999</v>
      </c>
      <c r="D220" s="2853">
        <v>0.9073</v>
      </c>
      <c r="E220" s="2853">
        <v>0.9073</v>
      </c>
      <c r="F220" s="2853">
        <v>0.9073</v>
      </c>
      <c r="G220" s="2853">
        <v>0.9073</v>
      </c>
      <c r="H220" s="2853">
        <v>0.9073</v>
      </c>
      <c r="I220" s="2853">
        <v>0.75800000000000001</v>
      </c>
      <c r="J220" s="2853">
        <v>0.75800000000000001</v>
      </c>
      <c r="K220" s="2853">
        <v>0.75800000000000001</v>
      </c>
      <c r="L220" s="2853">
        <v>0.75800000000000001</v>
      </c>
      <c r="M220" s="2854">
        <v>0.75800000000000001</v>
      </c>
    </row>
    <row r="221" spans="1:13">
      <c r="A221" s="2855">
        <v>4.4000000000000004</v>
      </c>
      <c r="B221" s="2853">
        <v>0.92030000000000001</v>
      </c>
      <c r="C221" s="2853">
        <v>0.92030000000000001</v>
      </c>
      <c r="D221" s="2853">
        <v>0.90449999999999997</v>
      </c>
      <c r="E221" s="2853">
        <v>0.90449999999999997</v>
      </c>
      <c r="F221" s="2853">
        <v>0.90449999999999997</v>
      </c>
      <c r="G221" s="2853">
        <v>0.90449999999999997</v>
      </c>
      <c r="H221" s="2853">
        <v>0.90449999999999997</v>
      </c>
      <c r="I221" s="2853">
        <v>0.75460000000000005</v>
      </c>
      <c r="J221" s="2853">
        <v>0.75460000000000005</v>
      </c>
      <c r="K221" s="2853">
        <v>0.75460000000000005</v>
      </c>
      <c r="L221" s="2853">
        <v>0.75460000000000005</v>
      </c>
      <c r="M221" s="2854">
        <v>0.75460000000000005</v>
      </c>
    </row>
    <row r="222" spans="1:13">
      <c r="A222" s="2855">
        <v>4.5</v>
      </c>
      <c r="B222" s="2853">
        <v>0.91810000000000003</v>
      </c>
      <c r="C222" s="2853">
        <v>0.91810000000000003</v>
      </c>
      <c r="D222" s="2853">
        <v>0.90180000000000005</v>
      </c>
      <c r="E222" s="2853">
        <v>0.90180000000000005</v>
      </c>
      <c r="F222" s="2853">
        <v>0.90180000000000005</v>
      </c>
      <c r="G222" s="2853">
        <v>0.90180000000000005</v>
      </c>
      <c r="H222" s="2853">
        <v>0.90180000000000005</v>
      </c>
      <c r="I222" s="2853">
        <v>0.75129999999999997</v>
      </c>
      <c r="J222" s="2853">
        <v>0.75129999999999997</v>
      </c>
      <c r="K222" s="2853">
        <v>0.75129999999999997</v>
      </c>
      <c r="L222" s="2853">
        <v>0.75129999999999997</v>
      </c>
      <c r="M222" s="2854">
        <v>0.75129999999999997</v>
      </c>
    </row>
    <row r="223" spans="1:13">
      <c r="A223" s="2855">
        <v>4.5999999999999996</v>
      </c>
      <c r="B223" s="2853">
        <v>0.91600000000000004</v>
      </c>
      <c r="C223" s="2853">
        <v>0.91600000000000004</v>
      </c>
      <c r="D223" s="2853">
        <v>0.8992</v>
      </c>
      <c r="E223" s="2853">
        <v>0.8992</v>
      </c>
      <c r="F223" s="2853">
        <v>0.8992</v>
      </c>
      <c r="G223" s="2853">
        <v>0.8992</v>
      </c>
      <c r="H223" s="2853">
        <v>0.8992</v>
      </c>
      <c r="I223" s="2853">
        <v>0.748</v>
      </c>
      <c r="J223" s="2853">
        <v>0.748</v>
      </c>
      <c r="K223" s="2853">
        <v>0.748</v>
      </c>
      <c r="L223" s="2853">
        <v>0.748</v>
      </c>
      <c r="M223" s="2854">
        <v>0.748</v>
      </c>
    </row>
    <row r="224" spans="1:13">
      <c r="A224" s="2855">
        <v>4.7</v>
      </c>
      <c r="B224" s="2853">
        <v>0.91390000000000005</v>
      </c>
      <c r="C224" s="2853">
        <v>0.91390000000000005</v>
      </c>
      <c r="D224" s="2853">
        <v>0.89659999999999995</v>
      </c>
      <c r="E224" s="2853">
        <v>0.89659999999999995</v>
      </c>
      <c r="F224" s="2853">
        <v>0.89659999999999995</v>
      </c>
      <c r="G224" s="2853">
        <v>0.89659999999999995</v>
      </c>
      <c r="H224" s="2853">
        <v>0.89659999999999995</v>
      </c>
      <c r="I224" s="2853">
        <v>0.74480000000000002</v>
      </c>
      <c r="J224" s="2853">
        <v>0.74480000000000002</v>
      </c>
      <c r="K224" s="2853">
        <v>0.74480000000000002</v>
      </c>
      <c r="L224" s="2853">
        <v>0.74480000000000002</v>
      </c>
      <c r="M224" s="2854">
        <v>0.74480000000000002</v>
      </c>
    </row>
    <row r="225" spans="1:13">
      <c r="A225" s="2855">
        <v>4.8</v>
      </c>
      <c r="B225" s="2853">
        <v>0.91180000000000005</v>
      </c>
      <c r="C225" s="2853">
        <v>0.91180000000000005</v>
      </c>
      <c r="D225" s="2853">
        <v>0.89410000000000001</v>
      </c>
      <c r="E225" s="2853">
        <v>0.89410000000000001</v>
      </c>
      <c r="F225" s="2853">
        <v>0.89410000000000001</v>
      </c>
      <c r="G225" s="2853">
        <v>0.89410000000000001</v>
      </c>
      <c r="H225" s="2853">
        <v>0.89410000000000001</v>
      </c>
      <c r="I225" s="2853">
        <v>0.74160000000000004</v>
      </c>
      <c r="J225" s="2853">
        <v>0.74160000000000004</v>
      </c>
      <c r="K225" s="2853">
        <v>0.74160000000000004</v>
      </c>
      <c r="L225" s="2853">
        <v>0.74160000000000004</v>
      </c>
      <c r="M225" s="2854">
        <v>0.74160000000000004</v>
      </c>
    </row>
    <row r="226" spans="1:13">
      <c r="A226" s="2855">
        <v>4.9000000000000004</v>
      </c>
      <c r="B226" s="2853">
        <v>0.90980000000000005</v>
      </c>
      <c r="C226" s="2853">
        <v>0.90980000000000005</v>
      </c>
      <c r="D226" s="2853">
        <v>0.89159999999999995</v>
      </c>
      <c r="E226" s="2853">
        <v>0.89159999999999995</v>
      </c>
      <c r="F226" s="2853">
        <v>0.89159999999999995</v>
      </c>
      <c r="G226" s="2853">
        <v>0.89159999999999995</v>
      </c>
      <c r="H226" s="2853">
        <v>0.89159999999999995</v>
      </c>
      <c r="I226" s="2853">
        <v>0.73839999999999995</v>
      </c>
      <c r="J226" s="2853">
        <v>0.73839999999999995</v>
      </c>
      <c r="K226" s="2853">
        <v>0.73839999999999995</v>
      </c>
      <c r="L226" s="2853">
        <v>0.73839999999999995</v>
      </c>
      <c r="M226" s="2854">
        <v>0.73839999999999995</v>
      </c>
    </row>
    <row r="227" spans="1:13">
      <c r="A227" s="2855">
        <v>5</v>
      </c>
      <c r="B227" s="2853">
        <v>0.90780000000000005</v>
      </c>
      <c r="C227" s="2853">
        <v>0.90780000000000005</v>
      </c>
      <c r="D227" s="2853">
        <v>0.8891</v>
      </c>
      <c r="E227" s="2853">
        <v>0.8891</v>
      </c>
      <c r="F227" s="2853">
        <v>0.8891</v>
      </c>
      <c r="G227" s="2853">
        <v>0.8891</v>
      </c>
      <c r="H227" s="2853">
        <v>0.8891</v>
      </c>
      <c r="I227" s="2853">
        <v>0.73529999999999995</v>
      </c>
      <c r="J227" s="2853">
        <v>0.73529999999999995</v>
      </c>
      <c r="K227" s="2853">
        <v>0.73529999999999995</v>
      </c>
      <c r="L227" s="2853">
        <v>0.73529999999999995</v>
      </c>
      <c r="M227" s="2854">
        <v>0.73529999999999995</v>
      </c>
    </row>
    <row r="228" spans="1:13">
      <c r="A228" s="2852">
        <v>5.0999999999999996</v>
      </c>
      <c r="B228" s="2853">
        <v>0.90580000000000005</v>
      </c>
      <c r="C228" s="2853">
        <v>0.90580000000000005</v>
      </c>
      <c r="D228" s="2853">
        <v>0.88670000000000004</v>
      </c>
      <c r="E228" s="2853">
        <v>0.88670000000000004</v>
      </c>
      <c r="F228" s="2853">
        <v>0.88670000000000004</v>
      </c>
      <c r="G228" s="2853">
        <v>0.88670000000000004</v>
      </c>
      <c r="H228" s="2853">
        <v>0.88670000000000004</v>
      </c>
      <c r="I228" s="2853">
        <v>0.73219999999999996</v>
      </c>
      <c r="J228" s="2853">
        <v>0.73219999999999996</v>
      </c>
      <c r="K228" s="2853">
        <v>0.73219999999999996</v>
      </c>
      <c r="L228" s="2853">
        <v>0.73219999999999996</v>
      </c>
      <c r="M228" s="2854">
        <v>0.73219999999999996</v>
      </c>
    </row>
    <row r="229" spans="1:13">
      <c r="A229" s="2852">
        <v>5.2</v>
      </c>
      <c r="B229" s="2853">
        <v>0.90380000000000005</v>
      </c>
      <c r="C229" s="2853">
        <v>0.90380000000000005</v>
      </c>
      <c r="D229" s="2853">
        <v>0.88429999999999997</v>
      </c>
      <c r="E229" s="2853">
        <v>0.88429999999999997</v>
      </c>
      <c r="F229" s="2853">
        <v>0.88429999999999997</v>
      </c>
      <c r="G229" s="2853">
        <v>0.88429999999999997</v>
      </c>
      <c r="H229" s="2853">
        <v>0.88429999999999997</v>
      </c>
      <c r="I229" s="2853">
        <v>0.72909999999999997</v>
      </c>
      <c r="J229" s="2853">
        <v>0.72909999999999997</v>
      </c>
      <c r="K229" s="2853">
        <v>0.72909999999999997</v>
      </c>
      <c r="L229" s="2853">
        <v>0.72909999999999997</v>
      </c>
      <c r="M229" s="2854">
        <v>0.72909999999999997</v>
      </c>
    </row>
    <row r="230" spans="1:13">
      <c r="A230" s="2852">
        <v>5.3</v>
      </c>
      <c r="B230" s="2853">
        <v>0.90190000000000003</v>
      </c>
      <c r="C230" s="2853">
        <v>0.90190000000000003</v>
      </c>
      <c r="D230" s="2853">
        <v>0.88190000000000002</v>
      </c>
      <c r="E230" s="2853">
        <v>0.88190000000000002</v>
      </c>
      <c r="F230" s="2853">
        <v>0.88190000000000002</v>
      </c>
      <c r="G230" s="2853">
        <v>0.88190000000000002</v>
      </c>
      <c r="H230" s="2853">
        <v>0.88190000000000002</v>
      </c>
      <c r="I230" s="2853">
        <v>0.72609999999999997</v>
      </c>
      <c r="J230" s="2853">
        <v>0.72609999999999997</v>
      </c>
      <c r="K230" s="2853">
        <v>0.72609999999999997</v>
      </c>
      <c r="L230" s="2853">
        <v>0.72609999999999997</v>
      </c>
      <c r="M230" s="2854">
        <v>0.72609999999999997</v>
      </c>
    </row>
    <row r="231" spans="1:13">
      <c r="A231" s="2852">
        <v>5.4</v>
      </c>
      <c r="B231" s="2853">
        <v>0.9</v>
      </c>
      <c r="C231" s="2853">
        <v>0.9</v>
      </c>
      <c r="D231" s="2853">
        <v>0.87949999999999995</v>
      </c>
      <c r="E231" s="2853">
        <v>0.87949999999999995</v>
      </c>
      <c r="F231" s="2853">
        <v>0.87949999999999995</v>
      </c>
      <c r="G231" s="2853">
        <v>0.87949999999999995</v>
      </c>
      <c r="H231" s="2853">
        <v>0.87949999999999995</v>
      </c>
      <c r="I231" s="2853">
        <v>0.72309999999999997</v>
      </c>
      <c r="J231" s="2853">
        <v>0.72309999999999997</v>
      </c>
      <c r="K231" s="2853">
        <v>0.72309999999999997</v>
      </c>
      <c r="L231" s="2853">
        <v>0.72309999999999997</v>
      </c>
      <c r="M231" s="2854">
        <v>0.72309999999999997</v>
      </c>
    </row>
    <row r="232" spans="1:13">
      <c r="A232" s="2852">
        <v>5.5</v>
      </c>
      <c r="B232" s="2853">
        <v>0.89810000000000001</v>
      </c>
      <c r="C232" s="2853">
        <v>0.89810000000000001</v>
      </c>
      <c r="D232" s="2853">
        <v>0.87719999999999998</v>
      </c>
      <c r="E232" s="2853">
        <v>0.87719999999999998</v>
      </c>
      <c r="F232" s="2853">
        <v>0.87719999999999998</v>
      </c>
      <c r="G232" s="2853">
        <v>0.87719999999999998</v>
      </c>
      <c r="H232" s="2853">
        <v>0.87719999999999998</v>
      </c>
      <c r="I232" s="2853">
        <v>0.72009999999999996</v>
      </c>
      <c r="J232" s="2853">
        <v>0.72009999999999996</v>
      </c>
      <c r="K232" s="2853">
        <v>0.72009999999999996</v>
      </c>
      <c r="L232" s="2853">
        <v>0.72009999999999996</v>
      </c>
      <c r="M232" s="2854">
        <v>0.72009999999999996</v>
      </c>
    </row>
    <row r="233" spans="1:13">
      <c r="A233" s="2852">
        <v>5.6</v>
      </c>
      <c r="B233" s="2853">
        <v>0.8962</v>
      </c>
      <c r="C233" s="2853">
        <v>0.8962</v>
      </c>
      <c r="D233" s="2853">
        <v>0.87490000000000001</v>
      </c>
      <c r="E233" s="2853">
        <v>0.87490000000000001</v>
      </c>
      <c r="F233" s="2853">
        <v>0.87490000000000001</v>
      </c>
      <c r="G233" s="2853">
        <v>0.87490000000000001</v>
      </c>
      <c r="H233" s="2853">
        <v>0.87490000000000001</v>
      </c>
      <c r="I233" s="2853">
        <v>0.71709999999999996</v>
      </c>
      <c r="J233" s="2853">
        <v>0.71709999999999996</v>
      </c>
      <c r="K233" s="2853">
        <v>0.71709999999999996</v>
      </c>
      <c r="L233" s="2853">
        <v>0.71709999999999996</v>
      </c>
      <c r="M233" s="2854">
        <v>0.71709999999999996</v>
      </c>
    </row>
    <row r="234" spans="1:13">
      <c r="A234" s="2855">
        <v>5.7</v>
      </c>
      <c r="B234" s="2853">
        <v>0.89429999999999998</v>
      </c>
      <c r="C234" s="2853">
        <v>0.89429999999999998</v>
      </c>
      <c r="D234" s="2853">
        <v>0.87260000000000004</v>
      </c>
      <c r="E234" s="2853">
        <v>0.87260000000000004</v>
      </c>
      <c r="F234" s="2853">
        <v>0.87260000000000004</v>
      </c>
      <c r="G234" s="2853">
        <v>0.87260000000000004</v>
      </c>
      <c r="H234" s="2853">
        <v>0.87260000000000004</v>
      </c>
      <c r="I234" s="2853">
        <v>0.71419999999999995</v>
      </c>
      <c r="J234" s="2853">
        <v>0.71419999999999995</v>
      </c>
      <c r="K234" s="2853">
        <v>0.71419999999999995</v>
      </c>
      <c r="L234" s="2853">
        <v>0.71419999999999995</v>
      </c>
      <c r="M234" s="2854">
        <v>0.71419999999999995</v>
      </c>
    </row>
    <row r="235" spans="1:13">
      <c r="A235" s="2852">
        <v>5.8</v>
      </c>
      <c r="B235" s="2853">
        <v>0.89249999999999996</v>
      </c>
      <c r="C235" s="2853">
        <v>0.89249999999999996</v>
      </c>
      <c r="D235" s="2853">
        <v>0.87029999999999996</v>
      </c>
      <c r="E235" s="2853">
        <v>0.87029999999999996</v>
      </c>
      <c r="F235" s="2853">
        <v>0.87029999999999996</v>
      </c>
      <c r="G235" s="2853">
        <v>0.87029999999999996</v>
      </c>
      <c r="H235" s="2853">
        <v>0.87029999999999996</v>
      </c>
      <c r="I235" s="2853">
        <v>0.71130000000000004</v>
      </c>
      <c r="J235" s="2853">
        <v>0.71130000000000004</v>
      </c>
      <c r="K235" s="2853">
        <v>0.71130000000000004</v>
      </c>
      <c r="L235" s="2853">
        <v>0.71130000000000004</v>
      </c>
      <c r="M235" s="2854">
        <v>0.71130000000000004</v>
      </c>
    </row>
    <row r="236" spans="1:13">
      <c r="A236" s="2852">
        <v>5.9</v>
      </c>
      <c r="B236" s="2853">
        <v>0.89070000000000005</v>
      </c>
      <c r="C236" s="2853">
        <v>0.89070000000000005</v>
      </c>
      <c r="D236" s="2853">
        <v>0.86799999999999999</v>
      </c>
      <c r="E236" s="2853">
        <v>0.86799999999999999</v>
      </c>
      <c r="F236" s="2853">
        <v>0.86799999999999999</v>
      </c>
      <c r="G236" s="2853">
        <v>0.86799999999999999</v>
      </c>
      <c r="H236" s="2853">
        <v>0.86799999999999999</v>
      </c>
      <c r="I236" s="2853">
        <v>0.70840000000000003</v>
      </c>
      <c r="J236" s="2853">
        <v>0.70840000000000003</v>
      </c>
      <c r="K236" s="2853">
        <v>0.70840000000000003</v>
      </c>
      <c r="L236" s="2853">
        <v>0.70840000000000003</v>
      </c>
      <c r="M236" s="2854">
        <v>0.70840000000000003</v>
      </c>
    </row>
    <row r="237" spans="1:13">
      <c r="A237" s="2852">
        <v>6</v>
      </c>
      <c r="B237" s="2853">
        <v>0.88890000000000002</v>
      </c>
      <c r="C237" s="2853">
        <v>0.88890000000000002</v>
      </c>
      <c r="D237" s="2853">
        <v>0.86580000000000001</v>
      </c>
      <c r="E237" s="2853">
        <v>0.86580000000000001</v>
      </c>
      <c r="F237" s="2853">
        <v>0.86580000000000001</v>
      </c>
      <c r="G237" s="2853">
        <v>0.86580000000000001</v>
      </c>
      <c r="H237" s="2853">
        <v>0.86580000000000001</v>
      </c>
      <c r="I237" s="2853">
        <v>0.70550000000000002</v>
      </c>
      <c r="J237" s="2853">
        <v>0.70550000000000002</v>
      </c>
      <c r="K237" s="2853">
        <v>0.70550000000000002</v>
      </c>
      <c r="L237" s="2853">
        <v>0.70550000000000002</v>
      </c>
      <c r="M237" s="2854">
        <v>0.70550000000000002</v>
      </c>
    </row>
    <row r="238" spans="1:13">
      <c r="A238" s="2852">
        <v>6.1</v>
      </c>
      <c r="B238" s="2853">
        <v>0.8871</v>
      </c>
      <c r="C238" s="2853">
        <v>0.8871</v>
      </c>
      <c r="D238" s="2853">
        <v>0.86360000000000003</v>
      </c>
      <c r="E238" s="2853">
        <v>0.86360000000000003</v>
      </c>
      <c r="F238" s="2853">
        <v>0.86360000000000003</v>
      </c>
      <c r="G238" s="2853">
        <v>0.86360000000000003</v>
      </c>
      <c r="H238" s="2853">
        <v>0.86360000000000003</v>
      </c>
      <c r="I238" s="2853">
        <v>0.70269999999999999</v>
      </c>
      <c r="J238" s="2853">
        <v>0.70269999999999999</v>
      </c>
      <c r="K238" s="2853">
        <v>0.70269999999999999</v>
      </c>
      <c r="L238" s="2853">
        <v>0.70269999999999999</v>
      </c>
      <c r="M238" s="2854">
        <v>0.70269999999999999</v>
      </c>
    </row>
    <row r="239" spans="1:13">
      <c r="A239" s="2852">
        <v>6.2</v>
      </c>
      <c r="B239" s="2853">
        <v>0.88529999999999998</v>
      </c>
      <c r="C239" s="2853">
        <v>0.88529999999999998</v>
      </c>
      <c r="D239" s="2853">
        <v>0.86140000000000005</v>
      </c>
      <c r="E239" s="2853">
        <v>0.86140000000000005</v>
      </c>
      <c r="F239" s="2853">
        <v>0.86140000000000005</v>
      </c>
      <c r="G239" s="2853">
        <v>0.86140000000000005</v>
      </c>
      <c r="H239" s="2853">
        <v>0.86140000000000005</v>
      </c>
      <c r="I239" s="2853">
        <v>0.69989999999999997</v>
      </c>
      <c r="J239" s="2853">
        <v>0.69989999999999997</v>
      </c>
      <c r="K239" s="2853">
        <v>0.69989999999999997</v>
      </c>
      <c r="L239" s="2853">
        <v>0.69989999999999997</v>
      </c>
      <c r="M239" s="2854">
        <v>0.69989999999999997</v>
      </c>
    </row>
    <row r="240" spans="1:13">
      <c r="A240" s="2852">
        <v>6.3</v>
      </c>
      <c r="B240" s="2853">
        <v>0.88349999999999995</v>
      </c>
      <c r="C240" s="2853">
        <v>0.88349999999999995</v>
      </c>
      <c r="D240" s="2853">
        <v>0.85919999999999996</v>
      </c>
      <c r="E240" s="2853">
        <v>0.85919999999999996</v>
      </c>
      <c r="F240" s="2853">
        <v>0.85919999999999996</v>
      </c>
      <c r="G240" s="2853">
        <v>0.85919999999999996</v>
      </c>
      <c r="H240" s="2853">
        <v>0.85919999999999996</v>
      </c>
      <c r="I240" s="2853">
        <v>0.69710000000000005</v>
      </c>
      <c r="J240" s="2853">
        <v>0.69710000000000005</v>
      </c>
      <c r="K240" s="2853">
        <v>0.69710000000000005</v>
      </c>
      <c r="L240" s="2853">
        <v>0.69710000000000005</v>
      </c>
      <c r="M240" s="2854">
        <v>0.69710000000000005</v>
      </c>
    </row>
    <row r="241" spans="1:13">
      <c r="A241" s="2852">
        <v>6.4</v>
      </c>
      <c r="B241" s="2853">
        <v>0.88180000000000003</v>
      </c>
      <c r="C241" s="2853">
        <v>0.88180000000000003</v>
      </c>
      <c r="D241" s="2853">
        <v>0.85699999999999998</v>
      </c>
      <c r="E241" s="2853">
        <v>0.85699999999999998</v>
      </c>
      <c r="F241" s="2853">
        <v>0.85699999999999998</v>
      </c>
      <c r="G241" s="2853">
        <v>0.85699999999999998</v>
      </c>
      <c r="H241" s="2853">
        <v>0.85699999999999998</v>
      </c>
      <c r="I241" s="2853">
        <v>0.69430000000000003</v>
      </c>
      <c r="J241" s="2853">
        <v>0.69430000000000003</v>
      </c>
      <c r="K241" s="2853">
        <v>0.69430000000000003</v>
      </c>
      <c r="L241" s="2853">
        <v>0.69430000000000003</v>
      </c>
      <c r="M241" s="2854">
        <v>0.69430000000000003</v>
      </c>
    </row>
    <row r="242" spans="1:13">
      <c r="A242" s="2852">
        <v>6.5</v>
      </c>
      <c r="B242" s="2853">
        <v>0.88009999999999999</v>
      </c>
      <c r="C242" s="2853">
        <v>0.88009999999999999</v>
      </c>
      <c r="D242" s="2853">
        <v>0.85489999999999999</v>
      </c>
      <c r="E242" s="2853">
        <v>0.85489999999999999</v>
      </c>
      <c r="F242" s="2853">
        <v>0.85489999999999999</v>
      </c>
      <c r="G242" s="2853">
        <v>0.85489999999999999</v>
      </c>
      <c r="H242" s="2853">
        <v>0.85489999999999999</v>
      </c>
      <c r="I242" s="2853">
        <v>0.69159999999999999</v>
      </c>
      <c r="J242" s="2853">
        <v>0.69159999999999999</v>
      </c>
      <c r="K242" s="2853">
        <v>0.69159999999999999</v>
      </c>
      <c r="L242" s="2853">
        <v>0.69159999999999999</v>
      </c>
      <c r="M242" s="2854">
        <v>0.69159999999999999</v>
      </c>
    </row>
    <row r="243" spans="1:13">
      <c r="A243" s="2852">
        <v>6.6</v>
      </c>
      <c r="B243" s="2853">
        <v>0.87839999999999996</v>
      </c>
      <c r="C243" s="2853">
        <v>0.87839999999999996</v>
      </c>
      <c r="D243" s="2853">
        <v>0.8528</v>
      </c>
      <c r="E243" s="2853">
        <v>0.8528</v>
      </c>
      <c r="F243" s="2853">
        <v>0.8528</v>
      </c>
      <c r="G243" s="2853">
        <v>0.8528</v>
      </c>
      <c r="H243" s="2853">
        <v>0.8528</v>
      </c>
      <c r="I243" s="2853">
        <v>0.68889999999999996</v>
      </c>
      <c r="J243" s="2853">
        <v>0.68889999999999996</v>
      </c>
      <c r="K243" s="2853">
        <v>0.68889999999999996</v>
      </c>
      <c r="L243" s="2853">
        <v>0.68889999999999996</v>
      </c>
      <c r="M243" s="2854">
        <v>0.68889999999999996</v>
      </c>
    </row>
    <row r="244" spans="1:13">
      <c r="A244" s="2852">
        <v>6.7</v>
      </c>
      <c r="B244" s="2853">
        <v>0.87670000000000003</v>
      </c>
      <c r="C244" s="2853">
        <v>0.87670000000000003</v>
      </c>
      <c r="D244" s="2853">
        <v>0.85070000000000001</v>
      </c>
      <c r="E244" s="2853">
        <v>0.85070000000000001</v>
      </c>
      <c r="F244" s="2853">
        <v>0.85070000000000001</v>
      </c>
      <c r="G244" s="2853">
        <v>0.85070000000000001</v>
      </c>
      <c r="H244" s="2853">
        <v>0.85070000000000001</v>
      </c>
      <c r="I244" s="2853">
        <v>0.68620000000000003</v>
      </c>
      <c r="J244" s="2853">
        <v>0.68620000000000003</v>
      </c>
      <c r="K244" s="2853">
        <v>0.68620000000000003</v>
      </c>
      <c r="L244" s="2853">
        <v>0.68620000000000003</v>
      </c>
      <c r="M244" s="2854">
        <v>0.68620000000000003</v>
      </c>
    </row>
    <row r="245" spans="1:13">
      <c r="A245" s="2852">
        <v>6.8</v>
      </c>
      <c r="B245" s="2853">
        <v>0.875</v>
      </c>
      <c r="C245" s="2853">
        <v>0.875</v>
      </c>
      <c r="D245" s="2853">
        <v>0.84860000000000002</v>
      </c>
      <c r="E245" s="2853">
        <v>0.84860000000000002</v>
      </c>
      <c r="F245" s="2853">
        <v>0.84860000000000002</v>
      </c>
      <c r="G245" s="2853">
        <v>0.84860000000000002</v>
      </c>
      <c r="H245" s="2853">
        <v>0.84860000000000002</v>
      </c>
      <c r="I245" s="2853">
        <v>0.6835</v>
      </c>
      <c r="J245" s="2853">
        <v>0.6835</v>
      </c>
      <c r="K245" s="2853">
        <v>0.6835</v>
      </c>
      <c r="L245" s="2853">
        <v>0.6835</v>
      </c>
      <c r="M245" s="2854">
        <v>0.6835</v>
      </c>
    </row>
    <row r="246" spans="1:13">
      <c r="A246" s="2852">
        <v>6.9</v>
      </c>
      <c r="B246" s="2853">
        <v>0.87329999999999997</v>
      </c>
      <c r="C246" s="2853">
        <v>0.87329999999999997</v>
      </c>
      <c r="D246" s="2853">
        <v>0.84650000000000003</v>
      </c>
      <c r="E246" s="2853">
        <v>0.84650000000000003</v>
      </c>
      <c r="F246" s="2853">
        <v>0.84650000000000003</v>
      </c>
      <c r="G246" s="2853">
        <v>0.84650000000000003</v>
      </c>
      <c r="H246" s="2853">
        <v>0.84650000000000003</v>
      </c>
      <c r="I246" s="2853">
        <v>0.68089999999999995</v>
      </c>
      <c r="J246" s="2853">
        <v>0.68089999999999995</v>
      </c>
      <c r="K246" s="2853">
        <v>0.68089999999999995</v>
      </c>
      <c r="L246" s="2853">
        <v>0.68089999999999995</v>
      </c>
      <c r="M246" s="2854">
        <v>0.68089999999999995</v>
      </c>
    </row>
    <row r="247" spans="1:13">
      <c r="A247" s="2852">
        <v>7</v>
      </c>
      <c r="B247" s="2853">
        <v>0.87170000000000003</v>
      </c>
      <c r="C247" s="2853">
        <v>0.87170000000000003</v>
      </c>
      <c r="D247" s="2853">
        <v>0.84450000000000003</v>
      </c>
      <c r="E247" s="2853">
        <v>0.84450000000000003</v>
      </c>
      <c r="F247" s="2853">
        <v>0.84450000000000003</v>
      </c>
      <c r="G247" s="2853">
        <v>0.84450000000000003</v>
      </c>
      <c r="H247" s="2853">
        <v>0.84450000000000003</v>
      </c>
      <c r="I247" s="2853">
        <v>0.67830000000000001</v>
      </c>
      <c r="J247" s="2853">
        <v>0.67830000000000001</v>
      </c>
      <c r="K247" s="2853">
        <v>0.67830000000000001</v>
      </c>
      <c r="L247" s="2853">
        <v>0.67830000000000001</v>
      </c>
      <c r="M247" s="2854">
        <v>0.67830000000000001</v>
      </c>
    </row>
    <row r="248" spans="1:13">
      <c r="A248" s="2852">
        <v>7.1</v>
      </c>
      <c r="B248" s="2853">
        <v>0.87009999999999998</v>
      </c>
      <c r="C248" s="2853">
        <v>0.87009999999999998</v>
      </c>
      <c r="D248" s="2853">
        <v>0.84250000000000003</v>
      </c>
      <c r="E248" s="2853">
        <v>0.84250000000000003</v>
      </c>
      <c r="F248" s="2853">
        <v>0.84250000000000003</v>
      </c>
      <c r="G248" s="2853">
        <v>0.84250000000000003</v>
      </c>
      <c r="H248" s="2853">
        <v>0.84250000000000003</v>
      </c>
      <c r="I248" s="2853">
        <v>0.67569999999999997</v>
      </c>
      <c r="J248" s="2853">
        <v>0.67569999999999997</v>
      </c>
      <c r="K248" s="2853">
        <v>0.67569999999999997</v>
      </c>
      <c r="L248" s="2853">
        <v>0.67569999999999997</v>
      </c>
      <c r="M248" s="2854">
        <v>0.67569999999999997</v>
      </c>
    </row>
    <row r="249" spans="1:13">
      <c r="A249" s="2852">
        <v>7.2</v>
      </c>
      <c r="B249" s="2853">
        <v>0.86850000000000005</v>
      </c>
      <c r="C249" s="2853">
        <v>0.86850000000000005</v>
      </c>
      <c r="D249" s="2853">
        <v>0.84050000000000002</v>
      </c>
      <c r="E249" s="2853">
        <v>0.84050000000000002</v>
      </c>
      <c r="F249" s="2853">
        <v>0.84050000000000002</v>
      </c>
      <c r="G249" s="2853">
        <v>0.84050000000000002</v>
      </c>
      <c r="H249" s="2853">
        <v>0.84050000000000002</v>
      </c>
      <c r="I249" s="2853">
        <v>0.67310000000000003</v>
      </c>
      <c r="J249" s="2853">
        <v>0.67310000000000003</v>
      </c>
      <c r="K249" s="2853">
        <v>0.67310000000000003</v>
      </c>
      <c r="L249" s="2853">
        <v>0.67310000000000003</v>
      </c>
      <c r="M249" s="2854">
        <v>0.67310000000000003</v>
      </c>
    </row>
    <row r="250" spans="1:13">
      <c r="A250" s="2852">
        <v>7.3</v>
      </c>
      <c r="B250" s="2853">
        <v>0.8669</v>
      </c>
      <c r="C250" s="2853">
        <v>0.8669</v>
      </c>
      <c r="D250" s="2853">
        <v>0.83850000000000002</v>
      </c>
      <c r="E250" s="2853">
        <v>0.83850000000000002</v>
      </c>
      <c r="F250" s="2853">
        <v>0.83850000000000002</v>
      </c>
      <c r="G250" s="2853">
        <v>0.83850000000000002</v>
      </c>
      <c r="H250" s="2853">
        <v>0.83850000000000002</v>
      </c>
      <c r="I250" s="2853">
        <v>0.67059999999999997</v>
      </c>
      <c r="J250" s="2853">
        <v>0.67059999999999997</v>
      </c>
      <c r="K250" s="2853">
        <v>0.67059999999999997</v>
      </c>
      <c r="L250" s="2853">
        <v>0.67059999999999997</v>
      </c>
      <c r="M250" s="2854">
        <v>0.67059999999999997</v>
      </c>
    </row>
    <row r="251" spans="1:13">
      <c r="A251" s="2852">
        <v>7.4</v>
      </c>
      <c r="B251" s="2853">
        <v>0.86529999999999996</v>
      </c>
      <c r="C251" s="2853">
        <v>0.86529999999999996</v>
      </c>
      <c r="D251" s="2853">
        <v>0.83650000000000002</v>
      </c>
      <c r="E251" s="2853">
        <v>0.83650000000000002</v>
      </c>
      <c r="F251" s="2853">
        <v>0.83650000000000002</v>
      </c>
      <c r="G251" s="2853">
        <v>0.83650000000000002</v>
      </c>
      <c r="H251" s="2853">
        <v>0.83650000000000002</v>
      </c>
      <c r="I251" s="2853">
        <v>0.66810000000000003</v>
      </c>
      <c r="J251" s="2853">
        <v>0.66810000000000003</v>
      </c>
      <c r="K251" s="2853">
        <v>0.66810000000000003</v>
      </c>
      <c r="L251" s="2853">
        <v>0.66810000000000003</v>
      </c>
      <c r="M251" s="2854">
        <v>0.66810000000000003</v>
      </c>
    </row>
    <row r="252" spans="1:13">
      <c r="A252" s="2852">
        <v>7.5</v>
      </c>
      <c r="B252" s="2853">
        <v>0.86370000000000002</v>
      </c>
      <c r="C252" s="2853">
        <v>0.86370000000000002</v>
      </c>
      <c r="D252" s="2853">
        <v>0.83460000000000001</v>
      </c>
      <c r="E252" s="2853">
        <v>0.83460000000000001</v>
      </c>
      <c r="F252" s="2853">
        <v>0.83460000000000001</v>
      </c>
      <c r="G252" s="2853">
        <v>0.83460000000000001</v>
      </c>
      <c r="H252" s="2853">
        <v>0.83460000000000001</v>
      </c>
      <c r="I252" s="2853">
        <v>0.66559999999999997</v>
      </c>
      <c r="J252" s="2853">
        <v>0.66559999999999997</v>
      </c>
      <c r="K252" s="2853">
        <v>0.66559999999999997</v>
      </c>
      <c r="L252" s="2853">
        <v>0.66559999999999997</v>
      </c>
      <c r="M252" s="2854">
        <v>0.66559999999999997</v>
      </c>
    </row>
    <row r="253" spans="1:13">
      <c r="A253" s="2852">
        <v>7.6</v>
      </c>
      <c r="B253" s="2853">
        <v>0.86219999999999997</v>
      </c>
      <c r="C253" s="2853">
        <v>0.86219999999999997</v>
      </c>
      <c r="D253" s="2853">
        <v>0.8327</v>
      </c>
      <c r="E253" s="2853">
        <v>0.8327</v>
      </c>
      <c r="F253" s="2853">
        <v>0.8327</v>
      </c>
      <c r="G253" s="2853">
        <v>0.8327</v>
      </c>
      <c r="H253" s="2853">
        <v>0.8327</v>
      </c>
      <c r="I253" s="2853">
        <v>0.66310000000000002</v>
      </c>
      <c r="J253" s="2853">
        <v>0.66310000000000002</v>
      </c>
      <c r="K253" s="2853">
        <v>0.66310000000000002</v>
      </c>
      <c r="L253" s="2853">
        <v>0.66310000000000002</v>
      </c>
      <c r="M253" s="2854">
        <v>0.66310000000000002</v>
      </c>
    </row>
    <row r="254" spans="1:13">
      <c r="A254" s="2852">
        <v>7.7</v>
      </c>
      <c r="B254" s="2853">
        <v>0.86070000000000002</v>
      </c>
      <c r="C254" s="2853">
        <v>0.86070000000000002</v>
      </c>
      <c r="D254" s="2853">
        <v>0.83079999999999998</v>
      </c>
      <c r="E254" s="2853">
        <v>0.83079999999999998</v>
      </c>
      <c r="F254" s="2853">
        <v>0.83079999999999998</v>
      </c>
      <c r="G254" s="2853">
        <v>0.83079999999999998</v>
      </c>
      <c r="H254" s="2853">
        <v>0.83079999999999998</v>
      </c>
      <c r="I254" s="2853">
        <v>0.66069999999999995</v>
      </c>
      <c r="J254" s="2853">
        <v>0.66069999999999995</v>
      </c>
      <c r="K254" s="2853">
        <v>0.66069999999999995</v>
      </c>
      <c r="L254" s="2853">
        <v>0.66069999999999995</v>
      </c>
      <c r="M254" s="2854">
        <v>0.66069999999999995</v>
      </c>
    </row>
    <row r="255" spans="1:13">
      <c r="A255" s="2852">
        <v>7.8</v>
      </c>
      <c r="B255" s="2853">
        <v>0.85919999999999996</v>
      </c>
      <c r="C255" s="2853">
        <v>0.85919999999999996</v>
      </c>
      <c r="D255" s="2853">
        <v>0.82889999999999997</v>
      </c>
      <c r="E255" s="2853">
        <v>0.82889999999999997</v>
      </c>
      <c r="F255" s="2853">
        <v>0.82889999999999997</v>
      </c>
      <c r="G255" s="2853">
        <v>0.82889999999999997</v>
      </c>
      <c r="H255" s="2853">
        <v>0.82889999999999997</v>
      </c>
      <c r="I255" s="2853">
        <v>0.6583</v>
      </c>
      <c r="J255" s="2853">
        <v>0.6583</v>
      </c>
      <c r="K255" s="2853">
        <v>0.6583</v>
      </c>
      <c r="L255" s="2853">
        <v>0.6583</v>
      </c>
      <c r="M255" s="2854">
        <v>0.6583</v>
      </c>
    </row>
    <row r="256" spans="1:13">
      <c r="A256" s="2852">
        <v>7.9</v>
      </c>
      <c r="B256" s="2853">
        <v>0.85770000000000002</v>
      </c>
      <c r="C256" s="2853">
        <v>0.85770000000000002</v>
      </c>
      <c r="D256" s="2853">
        <v>0.82699999999999996</v>
      </c>
      <c r="E256" s="2853">
        <v>0.82699999999999996</v>
      </c>
      <c r="F256" s="2853">
        <v>0.82699999999999996</v>
      </c>
      <c r="G256" s="2853">
        <v>0.82699999999999996</v>
      </c>
      <c r="H256" s="2853">
        <v>0.82699999999999996</v>
      </c>
      <c r="I256" s="2853">
        <v>0.65590000000000004</v>
      </c>
      <c r="J256" s="2853">
        <v>0.65590000000000004</v>
      </c>
      <c r="K256" s="2853">
        <v>0.65590000000000004</v>
      </c>
      <c r="L256" s="2853">
        <v>0.65590000000000004</v>
      </c>
      <c r="M256" s="2854">
        <v>0.65590000000000004</v>
      </c>
    </row>
    <row r="257" spans="1:13">
      <c r="A257" s="2852">
        <v>8</v>
      </c>
      <c r="B257" s="2853">
        <v>0.85619999999999996</v>
      </c>
      <c r="C257" s="2853">
        <v>0.85619999999999996</v>
      </c>
      <c r="D257" s="2853">
        <v>0.82509999999999994</v>
      </c>
      <c r="E257" s="2853">
        <v>0.82509999999999994</v>
      </c>
      <c r="F257" s="2853">
        <v>0.82509999999999994</v>
      </c>
      <c r="G257" s="2853">
        <v>0.82509999999999994</v>
      </c>
      <c r="H257" s="2853">
        <v>0.82509999999999994</v>
      </c>
      <c r="I257" s="2853">
        <v>0.65349999999999997</v>
      </c>
      <c r="J257" s="2853">
        <v>0.65349999999999997</v>
      </c>
      <c r="K257" s="2853">
        <v>0.65349999999999997</v>
      </c>
      <c r="L257" s="2853">
        <v>0.65349999999999997</v>
      </c>
      <c r="M257" s="2854">
        <v>0.65349999999999997</v>
      </c>
    </row>
    <row r="258" spans="1:13">
      <c r="A258" s="2852">
        <v>8.1</v>
      </c>
      <c r="B258" s="2853">
        <v>0.85470000000000002</v>
      </c>
      <c r="C258" s="2853">
        <v>0.85470000000000002</v>
      </c>
      <c r="D258" s="2853">
        <v>0.82330000000000003</v>
      </c>
      <c r="E258" s="2853">
        <v>0.82330000000000003</v>
      </c>
      <c r="F258" s="2853">
        <v>0.82330000000000003</v>
      </c>
      <c r="G258" s="2853">
        <v>0.82330000000000003</v>
      </c>
      <c r="H258" s="2853">
        <v>0.82330000000000003</v>
      </c>
      <c r="I258" s="2853">
        <v>0.6512</v>
      </c>
      <c r="J258" s="2853">
        <v>0.6512</v>
      </c>
      <c r="K258" s="2853">
        <v>0.6512</v>
      </c>
      <c r="L258" s="2853">
        <v>0.6512</v>
      </c>
      <c r="M258" s="2854">
        <v>0.6512</v>
      </c>
    </row>
    <row r="259" spans="1:13">
      <c r="A259" s="2852">
        <v>8.1999999999999993</v>
      </c>
      <c r="B259" s="2853">
        <v>0.85329999999999995</v>
      </c>
      <c r="C259" s="2853">
        <v>0.85329999999999995</v>
      </c>
      <c r="D259" s="2853">
        <v>0.82150000000000001</v>
      </c>
      <c r="E259" s="2853">
        <v>0.82150000000000001</v>
      </c>
      <c r="F259" s="2853">
        <v>0.82150000000000001</v>
      </c>
      <c r="G259" s="2853">
        <v>0.82150000000000001</v>
      </c>
      <c r="H259" s="2853">
        <v>0.82150000000000001</v>
      </c>
      <c r="I259" s="2853">
        <v>0.64890000000000003</v>
      </c>
      <c r="J259" s="2853">
        <v>0.64890000000000003</v>
      </c>
      <c r="K259" s="2853">
        <v>0.64890000000000003</v>
      </c>
      <c r="L259" s="2853">
        <v>0.64890000000000003</v>
      </c>
      <c r="M259" s="2854">
        <v>0.64890000000000003</v>
      </c>
    </row>
    <row r="260" spans="1:13">
      <c r="A260" s="2852">
        <v>8.3000000000000007</v>
      </c>
      <c r="B260" s="2853">
        <v>0.85189999999999999</v>
      </c>
      <c r="C260" s="2853">
        <v>0.85189999999999999</v>
      </c>
      <c r="D260" s="2853">
        <v>0.81969999999999998</v>
      </c>
      <c r="E260" s="2853">
        <v>0.81969999999999998</v>
      </c>
      <c r="F260" s="2853">
        <v>0.81969999999999998</v>
      </c>
      <c r="G260" s="2853">
        <v>0.81969999999999998</v>
      </c>
      <c r="H260" s="2853">
        <v>0.81969999999999998</v>
      </c>
      <c r="I260" s="2853">
        <v>0.64659999999999995</v>
      </c>
      <c r="J260" s="2853">
        <v>0.64659999999999995</v>
      </c>
      <c r="K260" s="2853">
        <v>0.64659999999999995</v>
      </c>
      <c r="L260" s="2853">
        <v>0.64659999999999995</v>
      </c>
      <c r="M260" s="2854">
        <v>0.64659999999999995</v>
      </c>
    </row>
    <row r="261" spans="1:13">
      <c r="A261" s="2852">
        <v>8.4</v>
      </c>
      <c r="B261" s="2853">
        <v>0.85050000000000003</v>
      </c>
      <c r="C261" s="2853">
        <v>0.85050000000000003</v>
      </c>
      <c r="D261" s="2853">
        <v>0.81789999999999996</v>
      </c>
      <c r="E261" s="2853">
        <v>0.81789999999999996</v>
      </c>
      <c r="F261" s="2853">
        <v>0.81789999999999996</v>
      </c>
      <c r="G261" s="2853">
        <v>0.81789999999999996</v>
      </c>
      <c r="H261" s="2853">
        <v>0.81789999999999996</v>
      </c>
      <c r="I261" s="2853">
        <v>0.64429999999999998</v>
      </c>
      <c r="J261" s="2853">
        <v>0.64429999999999998</v>
      </c>
      <c r="K261" s="2853">
        <v>0.64429999999999998</v>
      </c>
      <c r="L261" s="2853">
        <v>0.64429999999999998</v>
      </c>
      <c r="M261" s="2854">
        <v>0.64429999999999998</v>
      </c>
    </row>
    <row r="262" spans="1:13">
      <c r="A262" s="2852">
        <v>8.5</v>
      </c>
      <c r="B262" s="2853">
        <v>0.84909999999999997</v>
      </c>
      <c r="C262" s="2853">
        <v>0.84909999999999997</v>
      </c>
      <c r="D262" s="2853">
        <v>0.81610000000000005</v>
      </c>
      <c r="E262" s="2853">
        <v>0.81610000000000005</v>
      </c>
      <c r="F262" s="2853">
        <v>0.81610000000000005</v>
      </c>
      <c r="G262" s="2853">
        <v>0.81610000000000005</v>
      </c>
      <c r="H262" s="2853">
        <v>0.81610000000000005</v>
      </c>
      <c r="I262" s="2853">
        <v>0.6421</v>
      </c>
      <c r="J262" s="2853">
        <v>0.6421</v>
      </c>
      <c r="K262" s="2853">
        <v>0.6421</v>
      </c>
      <c r="L262" s="2853">
        <v>0.6421</v>
      </c>
      <c r="M262" s="2854">
        <v>0.6421</v>
      </c>
    </row>
    <row r="263" spans="1:13">
      <c r="A263" s="2852">
        <v>8.6</v>
      </c>
      <c r="B263" s="2853">
        <v>0.84770000000000001</v>
      </c>
      <c r="C263" s="2853">
        <v>0.84770000000000001</v>
      </c>
      <c r="D263" s="2853">
        <v>0.81440000000000001</v>
      </c>
      <c r="E263" s="2853">
        <v>0.81440000000000001</v>
      </c>
      <c r="F263" s="2853">
        <v>0.81440000000000001</v>
      </c>
      <c r="G263" s="2853">
        <v>0.81440000000000001</v>
      </c>
      <c r="H263" s="2853">
        <v>0.81440000000000001</v>
      </c>
      <c r="I263" s="2853">
        <v>0.63990000000000002</v>
      </c>
      <c r="J263" s="2853">
        <v>0.63990000000000002</v>
      </c>
      <c r="K263" s="2853">
        <v>0.63990000000000002</v>
      </c>
      <c r="L263" s="2853">
        <v>0.63990000000000002</v>
      </c>
      <c r="M263" s="2854">
        <v>0.63990000000000002</v>
      </c>
    </row>
    <row r="264" spans="1:13">
      <c r="A264" s="2852">
        <v>8.6999999999999993</v>
      </c>
      <c r="B264" s="2853">
        <v>0.84630000000000005</v>
      </c>
      <c r="C264" s="2853">
        <v>0.84630000000000005</v>
      </c>
      <c r="D264" s="2853">
        <v>0.81269999999999998</v>
      </c>
      <c r="E264" s="2853">
        <v>0.81269999999999998</v>
      </c>
      <c r="F264" s="2853">
        <v>0.81269999999999998</v>
      </c>
      <c r="G264" s="2853">
        <v>0.81269999999999998</v>
      </c>
      <c r="H264" s="2853">
        <v>0.81269999999999998</v>
      </c>
      <c r="I264" s="2853">
        <v>0.63770000000000004</v>
      </c>
      <c r="J264" s="2853">
        <v>0.63770000000000004</v>
      </c>
      <c r="K264" s="2853">
        <v>0.63770000000000004</v>
      </c>
      <c r="L264" s="2853">
        <v>0.63770000000000004</v>
      </c>
      <c r="M264" s="2854">
        <v>0.63770000000000004</v>
      </c>
    </row>
    <row r="265" spans="1:13">
      <c r="A265" s="2852">
        <v>8.8000000000000007</v>
      </c>
      <c r="B265" s="2853">
        <v>0.84489999999999998</v>
      </c>
      <c r="C265" s="2853">
        <v>0.84489999999999998</v>
      </c>
      <c r="D265" s="2853">
        <v>0.81100000000000005</v>
      </c>
      <c r="E265" s="2853">
        <v>0.81100000000000005</v>
      </c>
      <c r="F265" s="2853">
        <v>0.81100000000000005</v>
      </c>
      <c r="G265" s="2853">
        <v>0.81100000000000005</v>
      </c>
      <c r="H265" s="2853">
        <v>0.81100000000000005</v>
      </c>
      <c r="I265" s="2853">
        <v>0.63549999999999995</v>
      </c>
      <c r="J265" s="2853">
        <v>0.63549999999999995</v>
      </c>
      <c r="K265" s="2853">
        <v>0.63549999999999995</v>
      </c>
      <c r="L265" s="2853">
        <v>0.63549999999999995</v>
      </c>
      <c r="M265" s="2854">
        <v>0.63549999999999995</v>
      </c>
    </row>
    <row r="266" spans="1:13">
      <c r="A266" s="2852">
        <v>8.9</v>
      </c>
      <c r="B266" s="2853">
        <v>0.84360000000000002</v>
      </c>
      <c r="C266" s="2853">
        <v>0.84360000000000002</v>
      </c>
      <c r="D266" s="2853">
        <v>0.80930000000000002</v>
      </c>
      <c r="E266" s="2853">
        <v>0.80930000000000002</v>
      </c>
      <c r="F266" s="2853">
        <v>0.80930000000000002</v>
      </c>
      <c r="G266" s="2853">
        <v>0.80930000000000002</v>
      </c>
      <c r="H266" s="2853">
        <v>0.80930000000000002</v>
      </c>
      <c r="I266" s="2853">
        <v>0.63339999999999996</v>
      </c>
      <c r="J266" s="2853">
        <v>0.63339999999999996</v>
      </c>
      <c r="K266" s="2853">
        <v>0.63339999999999996</v>
      </c>
      <c r="L266" s="2853">
        <v>0.63339999999999996</v>
      </c>
      <c r="M266" s="2854">
        <v>0.63339999999999996</v>
      </c>
    </row>
    <row r="267" spans="1:13">
      <c r="A267" s="2855">
        <v>9</v>
      </c>
      <c r="B267" s="2853">
        <v>0.84230000000000005</v>
      </c>
      <c r="C267" s="2853">
        <v>0.84230000000000005</v>
      </c>
      <c r="D267" s="2853">
        <v>0.80759999999999998</v>
      </c>
      <c r="E267" s="2853">
        <v>0.80759999999999998</v>
      </c>
      <c r="F267" s="2853">
        <v>0.80759999999999998</v>
      </c>
      <c r="G267" s="2853">
        <v>0.80759999999999998</v>
      </c>
      <c r="H267" s="2853">
        <v>0.80759999999999998</v>
      </c>
      <c r="I267" s="2853">
        <v>0.63129999999999997</v>
      </c>
      <c r="J267" s="2853">
        <v>0.63129999999999997</v>
      </c>
      <c r="K267" s="2853">
        <v>0.63129999999999997</v>
      </c>
      <c r="L267" s="2853">
        <v>0.63129999999999997</v>
      </c>
      <c r="M267" s="2854">
        <v>0.63129999999999997</v>
      </c>
    </row>
    <row r="268" spans="1:13">
      <c r="A268" s="2855">
        <v>9.1</v>
      </c>
      <c r="B268" s="2853">
        <v>0.84099999999999997</v>
      </c>
      <c r="C268" s="2853">
        <v>0.84099999999999997</v>
      </c>
      <c r="D268" s="2853">
        <v>0.80600000000000005</v>
      </c>
      <c r="E268" s="2853">
        <v>0.80600000000000005</v>
      </c>
      <c r="F268" s="2853">
        <v>0.80600000000000005</v>
      </c>
      <c r="G268" s="2853">
        <v>0.80600000000000005</v>
      </c>
      <c r="H268" s="2853">
        <v>0.80600000000000005</v>
      </c>
      <c r="I268" s="2853">
        <v>0.62919999999999998</v>
      </c>
      <c r="J268" s="2853">
        <v>0.62919999999999998</v>
      </c>
      <c r="K268" s="2853">
        <v>0.62919999999999998</v>
      </c>
      <c r="L268" s="2853">
        <v>0.62919999999999998</v>
      </c>
      <c r="M268" s="2854">
        <v>0.62919999999999998</v>
      </c>
    </row>
    <row r="269" spans="1:13">
      <c r="A269" s="2855">
        <v>9.1999999999999993</v>
      </c>
      <c r="B269" s="2853">
        <v>0.8397</v>
      </c>
      <c r="C269" s="2853">
        <v>0.8397</v>
      </c>
      <c r="D269" s="2853">
        <v>0.8044</v>
      </c>
      <c r="E269" s="2853">
        <v>0.8044</v>
      </c>
      <c r="F269" s="2853">
        <v>0.8044</v>
      </c>
      <c r="G269" s="2853">
        <v>0.8044</v>
      </c>
      <c r="H269" s="2853">
        <v>0.8044</v>
      </c>
      <c r="I269" s="2853">
        <v>0.62709999999999999</v>
      </c>
      <c r="J269" s="2853">
        <v>0.62709999999999999</v>
      </c>
      <c r="K269" s="2853">
        <v>0.62709999999999999</v>
      </c>
      <c r="L269" s="2853">
        <v>0.62709999999999999</v>
      </c>
      <c r="M269" s="2854">
        <v>0.62709999999999999</v>
      </c>
    </row>
    <row r="270" spans="1:13">
      <c r="A270" s="2855">
        <v>9.3000000000000007</v>
      </c>
      <c r="B270" s="2853">
        <v>0.83840000000000003</v>
      </c>
      <c r="C270" s="2853">
        <v>0.83840000000000003</v>
      </c>
      <c r="D270" s="2853">
        <v>0.80279999999999996</v>
      </c>
      <c r="E270" s="2853">
        <v>0.80279999999999996</v>
      </c>
      <c r="F270" s="2853">
        <v>0.80279999999999996</v>
      </c>
      <c r="G270" s="2853">
        <v>0.80279999999999996</v>
      </c>
      <c r="H270" s="2853">
        <v>0.80279999999999996</v>
      </c>
      <c r="I270" s="2853">
        <v>0.62509999999999999</v>
      </c>
      <c r="J270" s="2853">
        <v>0.62509999999999999</v>
      </c>
      <c r="K270" s="2853">
        <v>0.62509999999999999</v>
      </c>
      <c r="L270" s="2853">
        <v>0.62509999999999999</v>
      </c>
      <c r="M270" s="2854">
        <v>0.62509999999999999</v>
      </c>
    </row>
    <row r="271" spans="1:13">
      <c r="A271" s="2855">
        <v>9.4</v>
      </c>
      <c r="B271" s="2853">
        <v>0.83709999999999996</v>
      </c>
      <c r="C271" s="2853">
        <v>0.83709999999999996</v>
      </c>
      <c r="D271" s="2853">
        <v>0.80120000000000002</v>
      </c>
      <c r="E271" s="2853">
        <v>0.80120000000000002</v>
      </c>
      <c r="F271" s="2853">
        <v>0.80120000000000002</v>
      </c>
      <c r="G271" s="2853">
        <v>0.80120000000000002</v>
      </c>
      <c r="H271" s="2853">
        <v>0.80120000000000002</v>
      </c>
      <c r="I271" s="2853">
        <v>0.62309999999999999</v>
      </c>
      <c r="J271" s="2853">
        <v>0.62309999999999999</v>
      </c>
      <c r="K271" s="2853">
        <v>0.62309999999999999</v>
      </c>
      <c r="L271" s="2853">
        <v>0.62309999999999999</v>
      </c>
      <c r="M271" s="2854">
        <v>0.62309999999999999</v>
      </c>
    </row>
    <row r="272" spans="1:13">
      <c r="A272" s="2855">
        <v>9.5</v>
      </c>
      <c r="B272" s="2853">
        <v>0.83579999999999999</v>
      </c>
      <c r="C272" s="2853">
        <v>0.83579999999999999</v>
      </c>
      <c r="D272" s="2853">
        <v>0.79959999999999998</v>
      </c>
      <c r="E272" s="2853">
        <v>0.79959999999999998</v>
      </c>
      <c r="F272" s="2853">
        <v>0.79959999999999998</v>
      </c>
      <c r="G272" s="2853">
        <v>0.79959999999999998</v>
      </c>
      <c r="H272" s="2853">
        <v>0.79959999999999998</v>
      </c>
      <c r="I272" s="2853">
        <v>0.62109999999999999</v>
      </c>
      <c r="J272" s="2853">
        <v>0.62109999999999999</v>
      </c>
      <c r="K272" s="2853">
        <v>0.62109999999999999</v>
      </c>
      <c r="L272" s="2853">
        <v>0.62109999999999999</v>
      </c>
      <c r="M272" s="2854">
        <v>0.62109999999999999</v>
      </c>
    </row>
    <row r="273" spans="1:21">
      <c r="A273" s="2855">
        <v>9.6</v>
      </c>
      <c r="B273" s="2853">
        <v>0.83460000000000001</v>
      </c>
      <c r="C273" s="2853">
        <v>0.83460000000000001</v>
      </c>
      <c r="D273" s="2853">
        <v>0.79800000000000004</v>
      </c>
      <c r="E273" s="2853">
        <v>0.79800000000000004</v>
      </c>
      <c r="F273" s="2853">
        <v>0.79800000000000004</v>
      </c>
      <c r="G273" s="2853">
        <v>0.79800000000000004</v>
      </c>
      <c r="H273" s="2853">
        <v>0.79800000000000004</v>
      </c>
      <c r="I273" s="2853">
        <v>0.61909999999999998</v>
      </c>
      <c r="J273" s="2853">
        <v>0.61909999999999998</v>
      </c>
      <c r="K273" s="2853">
        <v>0.61909999999999998</v>
      </c>
      <c r="L273" s="2853">
        <v>0.61909999999999998</v>
      </c>
      <c r="M273" s="2854">
        <v>0.61909999999999998</v>
      </c>
    </row>
    <row r="274" spans="1:21">
      <c r="A274" s="2855">
        <v>9.6999999999999993</v>
      </c>
      <c r="B274" s="2853">
        <v>0.83340000000000003</v>
      </c>
      <c r="C274" s="2853">
        <v>0.83340000000000003</v>
      </c>
      <c r="D274" s="2853">
        <v>0.79649999999999999</v>
      </c>
      <c r="E274" s="2853">
        <v>0.79649999999999999</v>
      </c>
      <c r="F274" s="2853">
        <v>0.79649999999999999</v>
      </c>
      <c r="G274" s="2853">
        <v>0.79649999999999999</v>
      </c>
      <c r="H274" s="2853">
        <v>0.79649999999999999</v>
      </c>
      <c r="I274" s="2853">
        <v>0.61719999999999997</v>
      </c>
      <c r="J274" s="2853">
        <v>0.61719999999999997</v>
      </c>
      <c r="K274" s="2853">
        <v>0.61719999999999997</v>
      </c>
      <c r="L274" s="2853">
        <v>0.61719999999999997</v>
      </c>
      <c r="M274" s="2854">
        <v>0.61719999999999997</v>
      </c>
    </row>
    <row r="275" spans="1:21">
      <c r="A275" s="2855">
        <v>9.8000000000000007</v>
      </c>
      <c r="B275" s="2853">
        <v>0.83220000000000005</v>
      </c>
      <c r="C275" s="2853">
        <v>0.83220000000000005</v>
      </c>
      <c r="D275" s="2853">
        <v>0.79500000000000004</v>
      </c>
      <c r="E275" s="2853">
        <v>0.79500000000000004</v>
      </c>
      <c r="F275" s="2853">
        <v>0.79500000000000004</v>
      </c>
      <c r="G275" s="2853">
        <v>0.79500000000000004</v>
      </c>
      <c r="H275" s="2853">
        <v>0.79500000000000004</v>
      </c>
      <c r="I275" s="2853">
        <v>0.61529999999999996</v>
      </c>
      <c r="J275" s="2853">
        <v>0.61529999999999996</v>
      </c>
      <c r="K275" s="2853">
        <v>0.61529999999999996</v>
      </c>
      <c r="L275" s="2853">
        <v>0.61529999999999996</v>
      </c>
      <c r="M275" s="2854">
        <v>0.61529999999999996</v>
      </c>
    </row>
    <row r="276" spans="1:21" ht="14.25" thickBot="1">
      <c r="A276" s="2856">
        <v>9.9</v>
      </c>
      <c r="B276" s="2857">
        <v>0.83099999999999996</v>
      </c>
      <c r="C276" s="2857">
        <v>0.83099999999999996</v>
      </c>
      <c r="D276" s="2857">
        <v>0.79349999999999998</v>
      </c>
      <c r="E276" s="2857">
        <v>0.79349999999999998</v>
      </c>
      <c r="F276" s="2857">
        <v>0.79349999999999998</v>
      </c>
      <c r="G276" s="2857">
        <v>0.79349999999999998</v>
      </c>
      <c r="H276" s="2857">
        <v>0.79349999999999998</v>
      </c>
      <c r="I276" s="2857">
        <v>0.61339999999999995</v>
      </c>
      <c r="J276" s="2857">
        <v>0.61339999999999995</v>
      </c>
      <c r="K276" s="2857">
        <v>0.61339999999999995</v>
      </c>
      <c r="L276" s="2857">
        <v>0.61339999999999995</v>
      </c>
      <c r="M276" s="2858">
        <v>0.61339999999999995</v>
      </c>
    </row>
    <row r="277" spans="1:21" ht="15" thickBot="1">
      <c r="A277" s="2846" t="s">
        <v>2800</v>
      </c>
      <c r="B277" s="2846"/>
      <c r="C277" s="2846"/>
      <c r="D277" s="2846"/>
      <c r="E277" s="2846"/>
      <c r="F277" s="2846"/>
      <c r="G277" s="2846"/>
      <c r="H277" s="2846"/>
      <c r="I277" s="2846"/>
      <c r="J277" s="2846"/>
      <c r="K277" s="2846"/>
      <c r="L277" s="2846"/>
      <c r="M277" s="2846"/>
    </row>
    <row r="278" spans="1:21">
      <c r="A278" s="2847" t="s">
        <v>2797</v>
      </c>
      <c r="B278" s="2848" t="s">
        <v>2593</v>
      </c>
      <c r="C278" s="2848" t="s">
        <v>2594</v>
      </c>
      <c r="D278" s="2848" t="s">
        <v>2595</v>
      </c>
      <c r="E278" s="2848" t="s">
        <v>2596</v>
      </c>
      <c r="F278" s="2848" t="s">
        <v>2597</v>
      </c>
      <c r="G278" s="2848" t="s">
        <v>2598</v>
      </c>
      <c r="H278" s="2849" t="s">
        <v>2599</v>
      </c>
      <c r="I278" s="2849" t="s">
        <v>2600</v>
      </c>
      <c r="J278" s="2850" t="s">
        <v>2601</v>
      </c>
      <c r="K278" s="2850" t="s">
        <v>2602</v>
      </c>
      <c r="L278" s="2850" t="s">
        <v>2603</v>
      </c>
      <c r="M278" s="2851" t="s">
        <v>2604</v>
      </c>
      <c r="Q278" s="2861" t="s">
        <v>2802</v>
      </c>
      <c r="R278" s="2861" t="s">
        <v>2803</v>
      </c>
      <c r="S278" s="2861" t="s">
        <v>2806</v>
      </c>
      <c r="T278" s="2861" t="s">
        <v>2807</v>
      </c>
      <c r="U278" s="2861" t="s">
        <v>2805</v>
      </c>
    </row>
    <row r="279" spans="1:21">
      <c r="A279" s="2852">
        <v>1</v>
      </c>
      <c r="B279" s="2853">
        <v>1.1055999999999999</v>
      </c>
      <c r="C279" s="2853">
        <v>1.1055999999999999</v>
      </c>
      <c r="D279" s="2853">
        <v>1.1220000000000001</v>
      </c>
      <c r="E279" s="2853">
        <v>1.1220000000000001</v>
      </c>
      <c r="F279" s="2853">
        <v>1.1220000000000001</v>
      </c>
      <c r="G279" s="2853">
        <v>1.0583</v>
      </c>
      <c r="H279" s="2853">
        <v>1.0583</v>
      </c>
      <c r="I279" s="2853">
        <v>1</v>
      </c>
      <c r="J279" s="2853">
        <v>1</v>
      </c>
      <c r="K279" s="2853">
        <v>1</v>
      </c>
      <c r="L279" s="2853">
        <v>1</v>
      </c>
      <c r="M279" s="2854">
        <v>1</v>
      </c>
      <c r="Q279" s="2861">
        <v>10</v>
      </c>
      <c r="R279" s="2861">
        <f>ROUND(0.7836-0.012*Q279,4)</f>
        <v>0.66359999999999997</v>
      </c>
      <c r="S279" s="2861">
        <f>ROUND(0.753-0.015*Q279,4)</f>
        <v>0.60299999999999998</v>
      </c>
      <c r="T279" s="2861">
        <f>ROUND(0.6612-0.018*Q279,4)</f>
        <v>0.48120000000000002</v>
      </c>
      <c r="U279" s="2861">
        <f>ROUND(0.5905-0.019*R279,4)</f>
        <v>0.57789999999999997</v>
      </c>
    </row>
    <row r="280" spans="1:21">
      <c r="A280" s="2852">
        <v>1.1000000000000001</v>
      </c>
      <c r="B280" s="2853">
        <v>1.0820000000000001</v>
      </c>
      <c r="C280" s="2853">
        <v>1.0820000000000001</v>
      </c>
      <c r="D280" s="2853">
        <v>1.0948</v>
      </c>
      <c r="E280" s="2853">
        <v>1.0948</v>
      </c>
      <c r="F280" s="2853">
        <v>1.0948</v>
      </c>
      <c r="G280" s="2853">
        <v>1.0284</v>
      </c>
      <c r="H280" s="2853">
        <v>1.0284</v>
      </c>
      <c r="I280" s="2853">
        <v>0.96860000000000002</v>
      </c>
      <c r="J280" s="2853">
        <v>0.96860000000000002</v>
      </c>
      <c r="K280" s="2853">
        <v>0.96860000000000002</v>
      </c>
      <c r="L280" s="2853">
        <v>0.96860000000000002</v>
      </c>
      <c r="M280" s="2854">
        <v>0.96860000000000002</v>
      </c>
    </row>
    <row r="281" spans="1:21">
      <c r="A281" s="2852">
        <v>1.2</v>
      </c>
      <c r="B281" s="2853">
        <v>1.0598000000000001</v>
      </c>
      <c r="C281" s="2853">
        <v>1.0598000000000001</v>
      </c>
      <c r="D281" s="2853">
        <v>1.0690999999999999</v>
      </c>
      <c r="E281" s="2853">
        <v>1.0690999999999999</v>
      </c>
      <c r="F281" s="2853">
        <v>1.0690999999999999</v>
      </c>
      <c r="G281" s="2853">
        <v>1</v>
      </c>
      <c r="H281" s="2853">
        <v>1</v>
      </c>
      <c r="I281" s="2853">
        <v>0.93879999999999997</v>
      </c>
      <c r="J281" s="2853">
        <v>0.93879999999999997</v>
      </c>
      <c r="K281" s="2853">
        <v>0.93879999999999997</v>
      </c>
      <c r="L281" s="2853">
        <v>0.93879999999999997</v>
      </c>
      <c r="M281" s="2854">
        <v>0.93879999999999997</v>
      </c>
    </row>
    <row r="282" spans="1:21">
      <c r="A282" s="2852">
        <v>1.3</v>
      </c>
      <c r="B282" s="2853">
        <v>1.0387</v>
      </c>
      <c r="C282" s="2853">
        <v>1.0387</v>
      </c>
      <c r="D282" s="2853">
        <v>1.0447</v>
      </c>
      <c r="E282" s="2853">
        <v>1.0447</v>
      </c>
      <c r="F282" s="2853">
        <v>1.0447</v>
      </c>
      <c r="G282" s="2853">
        <v>0.97319999999999995</v>
      </c>
      <c r="H282" s="2853">
        <v>0.97319999999999995</v>
      </c>
      <c r="I282" s="2853">
        <v>0.91069999999999995</v>
      </c>
      <c r="J282" s="2853">
        <v>0.91069999999999995</v>
      </c>
      <c r="K282" s="2853">
        <v>0.91069999999999995</v>
      </c>
      <c r="L282" s="2853">
        <v>0.91069999999999995</v>
      </c>
      <c r="M282" s="2854">
        <v>0.91069999999999995</v>
      </c>
    </row>
    <row r="283" spans="1:21">
      <c r="A283" s="2852">
        <v>1.4</v>
      </c>
      <c r="B283" s="2853">
        <v>1.0187999999999999</v>
      </c>
      <c r="C283" s="2853">
        <v>1.0187999999999999</v>
      </c>
      <c r="D283" s="2853">
        <v>1.0217000000000001</v>
      </c>
      <c r="E283" s="2853">
        <v>1.0217000000000001</v>
      </c>
      <c r="F283" s="2853">
        <v>1.0217000000000001</v>
      </c>
      <c r="G283" s="2853">
        <v>0.94779999999999998</v>
      </c>
      <c r="H283" s="2853">
        <v>0.94779999999999998</v>
      </c>
      <c r="I283" s="2853">
        <v>0.8841</v>
      </c>
      <c r="J283" s="2853">
        <v>0.8841</v>
      </c>
      <c r="K283" s="2853">
        <v>0.8841</v>
      </c>
      <c r="L283" s="2853">
        <v>0.8841</v>
      </c>
      <c r="M283" s="2854">
        <v>0.8841</v>
      </c>
    </row>
    <row r="284" spans="1:21">
      <c r="A284" s="2852">
        <v>1.5</v>
      </c>
      <c r="B284" s="2853">
        <v>1</v>
      </c>
      <c r="C284" s="2853">
        <v>1</v>
      </c>
      <c r="D284" s="2853">
        <v>1</v>
      </c>
      <c r="E284" s="2853">
        <v>1</v>
      </c>
      <c r="F284" s="2853">
        <v>1</v>
      </c>
      <c r="G284" s="2853">
        <v>0.92379999999999995</v>
      </c>
      <c r="H284" s="2853">
        <v>0.92379999999999995</v>
      </c>
      <c r="I284" s="2853">
        <v>0.8589</v>
      </c>
      <c r="J284" s="2853">
        <v>0.8589</v>
      </c>
      <c r="K284" s="2853">
        <v>0.8589</v>
      </c>
      <c r="L284" s="2853">
        <v>0.8589</v>
      </c>
      <c r="M284" s="2854">
        <v>0.8589</v>
      </c>
    </row>
    <row r="285" spans="1:21">
      <c r="A285" s="2852">
        <v>1.6</v>
      </c>
      <c r="B285" s="2853">
        <v>0.98229999999999995</v>
      </c>
      <c r="C285" s="2853">
        <v>0.98229999999999995</v>
      </c>
      <c r="D285" s="2853">
        <v>0.97950000000000004</v>
      </c>
      <c r="E285" s="2853">
        <v>0.97950000000000004</v>
      </c>
      <c r="F285" s="2853">
        <v>0.97950000000000004</v>
      </c>
      <c r="G285" s="2853">
        <v>0.9012</v>
      </c>
      <c r="H285" s="2853">
        <v>0.9012</v>
      </c>
      <c r="I285" s="2853">
        <v>0.83509999999999995</v>
      </c>
      <c r="J285" s="2853">
        <v>0.83509999999999995</v>
      </c>
      <c r="K285" s="2853">
        <v>0.83509999999999995</v>
      </c>
      <c r="L285" s="2853">
        <v>0.83509999999999995</v>
      </c>
      <c r="M285" s="2854">
        <v>0.83509999999999995</v>
      </c>
    </row>
    <row r="286" spans="1:21">
      <c r="A286" s="2852">
        <v>1.7</v>
      </c>
      <c r="B286" s="2853">
        <v>0.96550000000000002</v>
      </c>
      <c r="C286" s="2853">
        <v>0.96550000000000002</v>
      </c>
      <c r="D286" s="2853">
        <v>0.96009999999999995</v>
      </c>
      <c r="E286" s="2853">
        <v>0.96009999999999995</v>
      </c>
      <c r="F286" s="2853">
        <v>0.96009999999999995</v>
      </c>
      <c r="G286" s="2853">
        <v>0.87980000000000003</v>
      </c>
      <c r="H286" s="2853">
        <v>0.87980000000000003</v>
      </c>
      <c r="I286" s="2853">
        <v>0.81269999999999998</v>
      </c>
      <c r="J286" s="2853">
        <v>0.81269999999999998</v>
      </c>
      <c r="K286" s="2853">
        <v>0.81269999999999998</v>
      </c>
      <c r="L286" s="2853">
        <v>0.81269999999999998</v>
      </c>
      <c r="M286" s="2854">
        <v>0.81269999999999998</v>
      </c>
    </row>
    <row r="287" spans="1:21">
      <c r="A287" s="2852">
        <v>1.8</v>
      </c>
      <c r="B287" s="2853">
        <v>0.94969999999999999</v>
      </c>
      <c r="C287" s="2853">
        <v>0.94969999999999999</v>
      </c>
      <c r="D287" s="2853">
        <v>0.94189999999999996</v>
      </c>
      <c r="E287" s="2853">
        <v>0.94189999999999996</v>
      </c>
      <c r="F287" s="2853">
        <v>0.94189999999999996</v>
      </c>
      <c r="G287" s="2853">
        <v>0.85960000000000003</v>
      </c>
      <c r="H287" s="2853">
        <v>0.85960000000000003</v>
      </c>
      <c r="I287" s="2853">
        <v>0.79149999999999998</v>
      </c>
      <c r="J287" s="2853">
        <v>0.79149999999999998</v>
      </c>
      <c r="K287" s="2853">
        <v>0.79149999999999998</v>
      </c>
      <c r="L287" s="2853">
        <v>0.79149999999999998</v>
      </c>
      <c r="M287" s="2854">
        <v>0.79149999999999998</v>
      </c>
    </row>
    <row r="288" spans="1:21">
      <c r="A288" s="2852">
        <v>1.9</v>
      </c>
      <c r="B288" s="2853">
        <v>0.93479999999999996</v>
      </c>
      <c r="C288" s="2853">
        <v>0.93479999999999996</v>
      </c>
      <c r="D288" s="2853">
        <v>0.92459999999999998</v>
      </c>
      <c r="E288" s="2853">
        <v>0.92459999999999998</v>
      </c>
      <c r="F288" s="2853">
        <v>0.92459999999999998</v>
      </c>
      <c r="G288" s="2853">
        <v>0.84060000000000001</v>
      </c>
      <c r="H288" s="2853">
        <v>0.84060000000000001</v>
      </c>
      <c r="I288" s="2853">
        <v>0.77149999999999996</v>
      </c>
      <c r="J288" s="2853">
        <v>0.77149999999999996</v>
      </c>
      <c r="K288" s="2853">
        <v>0.77149999999999996</v>
      </c>
      <c r="L288" s="2853">
        <v>0.77149999999999996</v>
      </c>
      <c r="M288" s="2854">
        <v>0.77149999999999996</v>
      </c>
    </row>
    <row r="289" spans="1:13">
      <c r="A289" s="2852">
        <v>2</v>
      </c>
      <c r="B289" s="2853">
        <v>0.92079999999999995</v>
      </c>
      <c r="C289" s="2853">
        <v>0.92079999999999995</v>
      </c>
      <c r="D289" s="2853">
        <v>0.90839999999999999</v>
      </c>
      <c r="E289" s="2853">
        <v>0.90839999999999999</v>
      </c>
      <c r="F289" s="2853">
        <v>0.90839999999999999</v>
      </c>
      <c r="G289" s="2853">
        <v>0.82269999999999999</v>
      </c>
      <c r="H289" s="2853">
        <v>0.82269999999999999</v>
      </c>
      <c r="I289" s="2853">
        <v>0.75270000000000004</v>
      </c>
      <c r="J289" s="2853">
        <v>0.75270000000000004</v>
      </c>
      <c r="K289" s="2853">
        <v>0.75270000000000004</v>
      </c>
      <c r="L289" s="2853">
        <v>0.75270000000000004</v>
      </c>
      <c r="M289" s="2854">
        <v>0.75270000000000004</v>
      </c>
    </row>
    <row r="290" spans="1:13">
      <c r="A290" s="2855">
        <v>2.1</v>
      </c>
      <c r="B290" s="2853">
        <v>0.90759999999999996</v>
      </c>
      <c r="C290" s="2853">
        <v>0.90759999999999996</v>
      </c>
      <c r="D290" s="2853">
        <v>0.89319999999999999</v>
      </c>
      <c r="E290" s="2853">
        <v>0.89319999999999999</v>
      </c>
      <c r="F290" s="2853">
        <v>0.89319999999999999</v>
      </c>
      <c r="G290" s="2853">
        <v>0.80589999999999995</v>
      </c>
      <c r="H290" s="2853">
        <v>0.80589999999999995</v>
      </c>
      <c r="I290" s="2853">
        <v>0.73499999999999999</v>
      </c>
      <c r="J290" s="2853">
        <v>0.73499999999999999</v>
      </c>
      <c r="K290" s="2853">
        <v>0.73499999999999999</v>
      </c>
      <c r="L290" s="2853">
        <v>0.73499999999999999</v>
      </c>
      <c r="M290" s="2854">
        <v>0.73499999999999999</v>
      </c>
    </row>
    <row r="291" spans="1:13">
      <c r="A291" s="2855">
        <v>2.2000000000000002</v>
      </c>
      <c r="B291" s="2853">
        <v>0.8952</v>
      </c>
      <c r="C291" s="2853">
        <v>0.8952</v>
      </c>
      <c r="D291" s="2853">
        <v>0.87880000000000003</v>
      </c>
      <c r="E291" s="2853">
        <v>0.87880000000000003</v>
      </c>
      <c r="F291" s="2853">
        <v>0.87880000000000003</v>
      </c>
      <c r="G291" s="2853">
        <v>0.79</v>
      </c>
      <c r="H291" s="2853">
        <v>0.79</v>
      </c>
      <c r="I291" s="2853">
        <v>0.71840000000000004</v>
      </c>
      <c r="J291" s="2853">
        <v>0.71840000000000004</v>
      </c>
      <c r="K291" s="2853">
        <v>0.71840000000000004</v>
      </c>
      <c r="L291" s="2853">
        <v>0.71840000000000004</v>
      </c>
      <c r="M291" s="2854">
        <v>0.71840000000000004</v>
      </c>
    </row>
    <row r="292" spans="1:13">
      <c r="A292" s="2855">
        <v>2.2999999999999998</v>
      </c>
      <c r="B292" s="2853">
        <v>0.88360000000000005</v>
      </c>
      <c r="C292" s="2853">
        <v>0.88360000000000005</v>
      </c>
      <c r="D292" s="2853">
        <v>0.86529999999999996</v>
      </c>
      <c r="E292" s="2853">
        <v>0.86529999999999996</v>
      </c>
      <c r="F292" s="2853">
        <v>0.86529999999999996</v>
      </c>
      <c r="G292" s="2853">
        <v>0.77510000000000001</v>
      </c>
      <c r="H292" s="2853">
        <v>0.77510000000000001</v>
      </c>
      <c r="I292" s="2853">
        <v>0.70269999999999999</v>
      </c>
      <c r="J292" s="2853">
        <v>0.70269999999999999</v>
      </c>
      <c r="K292" s="2853">
        <v>0.70269999999999999</v>
      </c>
      <c r="L292" s="2853">
        <v>0.70269999999999999</v>
      </c>
      <c r="M292" s="2854">
        <v>0.70269999999999999</v>
      </c>
    </row>
    <row r="293" spans="1:13">
      <c r="A293" s="2855">
        <v>2.4</v>
      </c>
      <c r="B293" s="2853">
        <v>0.87260000000000004</v>
      </c>
      <c r="C293" s="2853">
        <v>0.87260000000000004</v>
      </c>
      <c r="D293" s="2853">
        <v>0.85260000000000002</v>
      </c>
      <c r="E293" s="2853">
        <v>0.85260000000000002</v>
      </c>
      <c r="F293" s="2853">
        <v>0.85260000000000002</v>
      </c>
      <c r="G293" s="2853">
        <v>0.76100000000000001</v>
      </c>
      <c r="H293" s="2853">
        <v>0.76100000000000001</v>
      </c>
      <c r="I293" s="2853">
        <v>0.68799999999999994</v>
      </c>
      <c r="J293" s="2853">
        <v>0.68799999999999994</v>
      </c>
      <c r="K293" s="2853">
        <v>0.68799999999999994</v>
      </c>
      <c r="L293" s="2853">
        <v>0.68799999999999994</v>
      </c>
      <c r="M293" s="2854">
        <v>0.68799999999999994</v>
      </c>
    </row>
    <row r="294" spans="1:13">
      <c r="A294" s="2855">
        <v>2.5</v>
      </c>
      <c r="B294" s="2853">
        <v>0.86229999999999996</v>
      </c>
      <c r="C294" s="2853">
        <v>0.86229999999999996</v>
      </c>
      <c r="D294" s="2853">
        <v>0.8407</v>
      </c>
      <c r="E294" s="2853">
        <v>0.8407</v>
      </c>
      <c r="F294" s="2853">
        <v>0.8407</v>
      </c>
      <c r="G294" s="2853">
        <v>0.74780000000000002</v>
      </c>
      <c r="H294" s="2853">
        <v>0.74780000000000002</v>
      </c>
      <c r="I294" s="2853">
        <v>0.67410000000000003</v>
      </c>
      <c r="J294" s="2853">
        <v>0.67410000000000003</v>
      </c>
      <c r="K294" s="2853">
        <v>0.67410000000000003</v>
      </c>
      <c r="L294" s="2853">
        <v>0.67410000000000003</v>
      </c>
      <c r="M294" s="2854">
        <v>0.67410000000000003</v>
      </c>
    </row>
    <row r="295" spans="1:13">
      <c r="A295" s="2855">
        <v>2.6</v>
      </c>
      <c r="B295" s="2853">
        <v>0.85270000000000001</v>
      </c>
      <c r="C295" s="2853">
        <v>0.85270000000000001</v>
      </c>
      <c r="D295" s="2853">
        <v>0.82950000000000002</v>
      </c>
      <c r="E295" s="2853">
        <v>0.82950000000000002</v>
      </c>
      <c r="F295" s="2853">
        <v>0.82950000000000002</v>
      </c>
      <c r="G295" s="2853">
        <v>0.73540000000000005</v>
      </c>
      <c r="H295" s="2853">
        <v>0.73540000000000005</v>
      </c>
      <c r="I295" s="2853">
        <v>0.66110000000000002</v>
      </c>
      <c r="J295" s="2853">
        <v>0.66110000000000002</v>
      </c>
      <c r="K295" s="2853">
        <v>0.66110000000000002</v>
      </c>
      <c r="L295" s="2853">
        <v>0.66110000000000002</v>
      </c>
      <c r="M295" s="2854">
        <v>0.66110000000000002</v>
      </c>
    </row>
    <row r="296" spans="1:13">
      <c r="A296" s="2855">
        <v>2.7</v>
      </c>
      <c r="B296" s="2853">
        <v>0.84360000000000002</v>
      </c>
      <c r="C296" s="2853">
        <v>0.84360000000000002</v>
      </c>
      <c r="D296" s="2853">
        <v>0.81899999999999995</v>
      </c>
      <c r="E296" s="2853">
        <v>0.81899999999999995</v>
      </c>
      <c r="F296" s="2853">
        <v>0.81899999999999995</v>
      </c>
      <c r="G296" s="2853">
        <v>0.7238</v>
      </c>
      <c r="H296" s="2853">
        <v>0.7238</v>
      </c>
      <c r="I296" s="2853">
        <v>0.64880000000000004</v>
      </c>
      <c r="J296" s="2853">
        <v>0.64880000000000004</v>
      </c>
      <c r="K296" s="2853">
        <v>0.64880000000000004</v>
      </c>
      <c r="L296" s="2853">
        <v>0.64880000000000004</v>
      </c>
      <c r="M296" s="2854">
        <v>0.64880000000000004</v>
      </c>
    </row>
    <row r="297" spans="1:13">
      <c r="A297" s="2855">
        <v>2.8</v>
      </c>
      <c r="B297" s="2853">
        <v>0.83509999999999995</v>
      </c>
      <c r="C297" s="2853">
        <v>0.83509999999999995</v>
      </c>
      <c r="D297" s="2853">
        <v>0.80910000000000004</v>
      </c>
      <c r="E297" s="2853">
        <v>0.80910000000000004</v>
      </c>
      <c r="F297" s="2853">
        <v>0.80910000000000004</v>
      </c>
      <c r="G297" s="2853">
        <v>0.71289999999999998</v>
      </c>
      <c r="H297" s="2853">
        <v>0.71289999999999998</v>
      </c>
      <c r="I297" s="2853">
        <v>0.63739999999999997</v>
      </c>
      <c r="J297" s="2853">
        <v>0.63739999999999997</v>
      </c>
      <c r="K297" s="2853">
        <v>0.63739999999999997</v>
      </c>
      <c r="L297" s="2853">
        <v>0.63739999999999997</v>
      </c>
      <c r="M297" s="2854">
        <v>0.63739999999999997</v>
      </c>
    </row>
    <row r="298" spans="1:13">
      <c r="A298" s="2855">
        <v>2.9</v>
      </c>
      <c r="B298" s="2853">
        <v>0.82720000000000005</v>
      </c>
      <c r="C298" s="2853">
        <v>0.82720000000000005</v>
      </c>
      <c r="D298" s="2853">
        <v>0.79990000000000006</v>
      </c>
      <c r="E298" s="2853">
        <v>0.79990000000000006</v>
      </c>
      <c r="F298" s="2853">
        <v>0.79990000000000006</v>
      </c>
      <c r="G298" s="2853">
        <v>0.7026</v>
      </c>
      <c r="H298" s="2853">
        <v>0.7026</v>
      </c>
      <c r="I298" s="2853">
        <v>0.62660000000000005</v>
      </c>
      <c r="J298" s="2853">
        <v>0.62660000000000005</v>
      </c>
      <c r="K298" s="2853">
        <v>0.62660000000000005</v>
      </c>
      <c r="L298" s="2853">
        <v>0.62660000000000005</v>
      </c>
      <c r="M298" s="2854">
        <v>0.62660000000000005</v>
      </c>
    </row>
    <row r="299" spans="1:13">
      <c r="A299" s="2855">
        <v>3</v>
      </c>
      <c r="B299" s="2853">
        <v>0.81969999999999998</v>
      </c>
      <c r="C299" s="2853">
        <v>0.81969999999999998</v>
      </c>
      <c r="D299" s="2853">
        <v>0.79120000000000001</v>
      </c>
      <c r="E299" s="2853">
        <v>0.79120000000000001</v>
      </c>
      <c r="F299" s="2853">
        <v>0.79120000000000001</v>
      </c>
      <c r="G299" s="2853">
        <v>0.69299999999999995</v>
      </c>
      <c r="H299" s="2853">
        <v>0.69299999999999995</v>
      </c>
      <c r="I299" s="2853">
        <v>0.61650000000000005</v>
      </c>
      <c r="J299" s="2853">
        <v>0.61650000000000005</v>
      </c>
      <c r="K299" s="2853">
        <v>0.61650000000000005</v>
      </c>
      <c r="L299" s="2853">
        <v>0.61650000000000005</v>
      </c>
      <c r="M299" s="2854">
        <v>0.61650000000000005</v>
      </c>
    </row>
    <row r="300" spans="1:13">
      <c r="A300" s="2855">
        <v>3.1</v>
      </c>
      <c r="B300" s="2853">
        <v>0.81279999999999997</v>
      </c>
      <c r="C300" s="2853">
        <v>0.81279999999999997</v>
      </c>
      <c r="D300" s="2853">
        <v>0.78310000000000002</v>
      </c>
      <c r="E300" s="2853">
        <v>0.78310000000000002</v>
      </c>
      <c r="F300" s="2853">
        <v>0.78310000000000002</v>
      </c>
      <c r="G300" s="2853">
        <v>0.68400000000000005</v>
      </c>
      <c r="H300" s="2853">
        <v>0.68400000000000005</v>
      </c>
      <c r="I300" s="2853">
        <v>0.60709999999999997</v>
      </c>
      <c r="J300" s="2853">
        <v>0.60709999999999997</v>
      </c>
      <c r="K300" s="2853">
        <v>0.60709999999999997</v>
      </c>
      <c r="L300" s="2853">
        <v>0.60709999999999997</v>
      </c>
      <c r="M300" s="2854">
        <v>0.60709999999999997</v>
      </c>
    </row>
    <row r="301" spans="1:13">
      <c r="A301" s="2855">
        <v>3.2</v>
      </c>
      <c r="B301" s="2853">
        <v>0.80620000000000003</v>
      </c>
      <c r="C301" s="2853">
        <v>0.80620000000000003</v>
      </c>
      <c r="D301" s="2853">
        <v>0.77549999999999997</v>
      </c>
      <c r="E301" s="2853">
        <v>0.77549999999999997</v>
      </c>
      <c r="F301" s="2853">
        <v>0.77549999999999997</v>
      </c>
      <c r="G301" s="2853">
        <v>0.67559999999999998</v>
      </c>
      <c r="H301" s="2853">
        <v>0.67559999999999998</v>
      </c>
      <c r="I301" s="2853">
        <v>0.59809999999999997</v>
      </c>
      <c r="J301" s="2853">
        <v>0.59809999999999997</v>
      </c>
      <c r="K301" s="2853">
        <v>0.59809999999999997</v>
      </c>
      <c r="L301" s="2853">
        <v>0.59809999999999997</v>
      </c>
      <c r="M301" s="2854">
        <v>0.59809999999999997</v>
      </c>
    </row>
    <row r="302" spans="1:13">
      <c r="A302" s="2855">
        <v>3.3</v>
      </c>
      <c r="B302" s="2853">
        <v>0.80010000000000003</v>
      </c>
      <c r="C302" s="2853">
        <v>0.80010000000000003</v>
      </c>
      <c r="D302" s="2853">
        <v>0.76839999999999997</v>
      </c>
      <c r="E302" s="2853">
        <v>0.76839999999999997</v>
      </c>
      <c r="F302" s="2853">
        <v>0.76839999999999997</v>
      </c>
      <c r="G302" s="2853">
        <v>0.66769999999999996</v>
      </c>
      <c r="H302" s="2853">
        <v>0.66769999999999996</v>
      </c>
      <c r="I302" s="2853">
        <v>0.58979999999999999</v>
      </c>
      <c r="J302" s="2853">
        <v>0.58979999999999999</v>
      </c>
      <c r="K302" s="2853">
        <v>0.58979999999999999</v>
      </c>
      <c r="L302" s="2853">
        <v>0.58979999999999999</v>
      </c>
      <c r="M302" s="2854">
        <v>0.58979999999999999</v>
      </c>
    </row>
    <row r="303" spans="1:13">
      <c r="A303" s="2855">
        <v>3.4</v>
      </c>
      <c r="B303" s="2853">
        <v>0.7944</v>
      </c>
      <c r="C303" s="2853">
        <v>0.7944</v>
      </c>
      <c r="D303" s="2853">
        <v>0.76170000000000004</v>
      </c>
      <c r="E303" s="2853">
        <v>0.76170000000000004</v>
      </c>
      <c r="F303" s="2853">
        <v>0.76170000000000004</v>
      </c>
      <c r="G303" s="2853">
        <v>0.66020000000000001</v>
      </c>
      <c r="H303" s="2853">
        <v>0.66020000000000001</v>
      </c>
      <c r="I303" s="2853">
        <v>0.58209999999999995</v>
      </c>
      <c r="J303" s="2853">
        <v>0.58209999999999995</v>
      </c>
      <c r="K303" s="2853">
        <v>0.58209999999999995</v>
      </c>
      <c r="L303" s="2853">
        <v>0.58209999999999995</v>
      </c>
      <c r="M303" s="2854">
        <v>0.58209999999999995</v>
      </c>
    </row>
    <row r="304" spans="1:13">
      <c r="A304" s="2855">
        <v>3.5</v>
      </c>
      <c r="B304" s="2853">
        <v>0.78910000000000002</v>
      </c>
      <c r="C304" s="2853">
        <v>0.78910000000000002</v>
      </c>
      <c r="D304" s="2853">
        <v>0.75549999999999995</v>
      </c>
      <c r="E304" s="2853">
        <v>0.75549999999999995</v>
      </c>
      <c r="F304" s="2853">
        <v>0.75549999999999995</v>
      </c>
      <c r="G304" s="2853">
        <v>0.65329999999999999</v>
      </c>
      <c r="H304" s="2853">
        <v>0.65329999999999999</v>
      </c>
      <c r="I304" s="2853">
        <v>0.57479999999999998</v>
      </c>
      <c r="J304" s="2853">
        <v>0.57479999999999998</v>
      </c>
      <c r="K304" s="2853">
        <v>0.57479999999999998</v>
      </c>
      <c r="L304" s="2853">
        <v>0.57479999999999998</v>
      </c>
      <c r="M304" s="2854">
        <v>0.57479999999999998</v>
      </c>
    </row>
    <row r="305" spans="1:13">
      <c r="A305" s="2855">
        <v>3.6</v>
      </c>
      <c r="B305" s="2853">
        <v>0.78410000000000002</v>
      </c>
      <c r="C305" s="2853">
        <v>0.78410000000000002</v>
      </c>
      <c r="D305" s="2853">
        <v>0.74960000000000004</v>
      </c>
      <c r="E305" s="2853">
        <v>0.74960000000000004</v>
      </c>
      <c r="F305" s="2853">
        <v>0.74960000000000004</v>
      </c>
      <c r="G305" s="2853">
        <v>0.64680000000000004</v>
      </c>
      <c r="H305" s="2853">
        <v>0.64680000000000004</v>
      </c>
      <c r="I305" s="2853">
        <v>0.56789999999999996</v>
      </c>
      <c r="J305" s="2853">
        <v>0.56789999999999996</v>
      </c>
      <c r="K305" s="2853">
        <v>0.56789999999999996</v>
      </c>
      <c r="L305" s="2853">
        <v>0.56789999999999996</v>
      </c>
      <c r="M305" s="2854">
        <v>0.56789999999999996</v>
      </c>
    </row>
    <row r="306" spans="1:13">
      <c r="A306" s="2855">
        <v>3.7</v>
      </c>
      <c r="B306" s="2853">
        <v>0.77939999999999998</v>
      </c>
      <c r="C306" s="2853">
        <v>0.77939999999999998</v>
      </c>
      <c r="D306" s="2853">
        <v>0.74409999999999998</v>
      </c>
      <c r="E306" s="2853">
        <v>0.74409999999999998</v>
      </c>
      <c r="F306" s="2853">
        <v>0.74409999999999998</v>
      </c>
      <c r="G306" s="2853">
        <v>0.64070000000000005</v>
      </c>
      <c r="H306" s="2853">
        <v>0.64070000000000005</v>
      </c>
      <c r="I306" s="2853">
        <v>0.5615</v>
      </c>
      <c r="J306" s="2853">
        <v>0.5615</v>
      </c>
      <c r="K306" s="2853">
        <v>0.5615</v>
      </c>
      <c r="L306" s="2853">
        <v>0.5615</v>
      </c>
      <c r="M306" s="2854">
        <v>0.5615</v>
      </c>
    </row>
    <row r="307" spans="1:13">
      <c r="A307" s="2855">
        <v>3.8</v>
      </c>
      <c r="B307" s="2853">
        <v>0.77500000000000002</v>
      </c>
      <c r="C307" s="2853">
        <v>0.77500000000000002</v>
      </c>
      <c r="D307" s="2853">
        <v>0.73899999999999999</v>
      </c>
      <c r="E307" s="2853">
        <v>0.73899999999999999</v>
      </c>
      <c r="F307" s="2853">
        <v>0.73899999999999999</v>
      </c>
      <c r="G307" s="2853">
        <v>0.63490000000000002</v>
      </c>
      <c r="H307" s="2853">
        <v>0.63490000000000002</v>
      </c>
      <c r="I307" s="2853">
        <v>0.55549999999999999</v>
      </c>
      <c r="J307" s="2853">
        <v>0.55549999999999999</v>
      </c>
      <c r="K307" s="2853">
        <v>0.55549999999999999</v>
      </c>
      <c r="L307" s="2853">
        <v>0.55549999999999999</v>
      </c>
      <c r="M307" s="2854">
        <v>0.55549999999999999</v>
      </c>
    </row>
    <row r="308" spans="1:13">
      <c r="A308" s="2855">
        <v>3.9</v>
      </c>
      <c r="B308" s="2853">
        <v>0.77090000000000003</v>
      </c>
      <c r="C308" s="2853">
        <v>0.77090000000000003</v>
      </c>
      <c r="D308" s="2853">
        <v>0.73419999999999996</v>
      </c>
      <c r="E308" s="2853">
        <v>0.73419999999999996</v>
      </c>
      <c r="F308" s="2853">
        <v>0.73419999999999996</v>
      </c>
      <c r="G308" s="2853">
        <v>0.62949999999999995</v>
      </c>
      <c r="H308" s="2853">
        <v>0.62949999999999995</v>
      </c>
      <c r="I308" s="2853">
        <v>0.54990000000000006</v>
      </c>
      <c r="J308" s="2853">
        <v>0.54990000000000006</v>
      </c>
      <c r="K308" s="2853">
        <v>0.54990000000000006</v>
      </c>
      <c r="L308" s="2853">
        <v>0.54990000000000006</v>
      </c>
      <c r="M308" s="2854">
        <v>0.54990000000000006</v>
      </c>
    </row>
    <row r="309" spans="1:13">
      <c r="A309" s="2855">
        <v>4</v>
      </c>
      <c r="B309" s="2853">
        <v>0.7671</v>
      </c>
      <c r="C309" s="2853">
        <v>0.7671</v>
      </c>
      <c r="D309" s="2853">
        <v>0.72970000000000002</v>
      </c>
      <c r="E309" s="2853">
        <v>0.72970000000000002</v>
      </c>
      <c r="F309" s="2853">
        <v>0.72970000000000002</v>
      </c>
      <c r="G309" s="2853">
        <v>0.62450000000000006</v>
      </c>
      <c r="H309" s="2853">
        <v>0.62450000000000006</v>
      </c>
      <c r="I309" s="2853">
        <v>0.54449999999999998</v>
      </c>
      <c r="J309" s="2853">
        <v>0.54449999999999998</v>
      </c>
      <c r="K309" s="2853">
        <v>0.54449999999999998</v>
      </c>
      <c r="L309" s="2853">
        <v>0.54449999999999998</v>
      </c>
      <c r="M309" s="2854">
        <v>0.54449999999999998</v>
      </c>
    </row>
    <row r="310" spans="1:13">
      <c r="A310" s="2855">
        <v>4.0999999999999996</v>
      </c>
      <c r="B310" s="2853">
        <v>0.76349999999999996</v>
      </c>
      <c r="C310" s="2853">
        <v>0.76349999999999996</v>
      </c>
      <c r="D310" s="2853">
        <v>0.72540000000000004</v>
      </c>
      <c r="E310" s="2853">
        <v>0.72540000000000004</v>
      </c>
      <c r="F310" s="2853">
        <v>0.72540000000000004</v>
      </c>
      <c r="G310" s="2853">
        <v>0.61970000000000003</v>
      </c>
      <c r="H310" s="2853">
        <v>0.61970000000000003</v>
      </c>
      <c r="I310" s="2853">
        <v>0.53959999999999997</v>
      </c>
      <c r="J310" s="2853">
        <v>0.53959999999999997</v>
      </c>
      <c r="K310" s="2853">
        <v>0.53959999999999997</v>
      </c>
      <c r="L310" s="2853">
        <v>0.53959999999999997</v>
      </c>
      <c r="M310" s="2854">
        <v>0.53959999999999997</v>
      </c>
    </row>
    <row r="311" spans="1:13">
      <c r="A311" s="2855">
        <v>4.2</v>
      </c>
      <c r="B311" s="2853">
        <v>0.7601</v>
      </c>
      <c r="C311" s="2853">
        <v>0.7601</v>
      </c>
      <c r="D311" s="2853">
        <v>0.72140000000000004</v>
      </c>
      <c r="E311" s="2853">
        <v>0.72140000000000004</v>
      </c>
      <c r="F311" s="2853">
        <v>0.72140000000000004</v>
      </c>
      <c r="G311" s="2853">
        <v>0.61529999999999996</v>
      </c>
      <c r="H311" s="2853">
        <v>0.61529999999999996</v>
      </c>
      <c r="I311" s="2853">
        <v>0.53490000000000004</v>
      </c>
      <c r="J311" s="2853">
        <v>0.53490000000000004</v>
      </c>
      <c r="K311" s="2853">
        <v>0.53490000000000004</v>
      </c>
      <c r="L311" s="2853">
        <v>0.53490000000000004</v>
      </c>
      <c r="M311" s="2854">
        <v>0.53490000000000004</v>
      </c>
    </row>
    <row r="312" spans="1:13">
      <c r="A312" s="2855">
        <v>4.3</v>
      </c>
      <c r="B312" s="2853">
        <v>0.75700000000000001</v>
      </c>
      <c r="C312" s="2853">
        <v>0.75700000000000001</v>
      </c>
      <c r="D312" s="2853">
        <v>0.7177</v>
      </c>
      <c r="E312" s="2853">
        <v>0.7177</v>
      </c>
      <c r="F312" s="2853">
        <v>0.7177</v>
      </c>
      <c r="G312" s="2853">
        <v>0.61109999999999998</v>
      </c>
      <c r="H312" s="2853">
        <v>0.61109999999999998</v>
      </c>
      <c r="I312" s="2853">
        <v>0.53049999999999997</v>
      </c>
      <c r="J312" s="2853">
        <v>0.53049999999999997</v>
      </c>
      <c r="K312" s="2853">
        <v>0.53049999999999997</v>
      </c>
      <c r="L312" s="2853">
        <v>0.53049999999999997</v>
      </c>
      <c r="M312" s="2854">
        <v>0.53049999999999997</v>
      </c>
    </row>
    <row r="313" spans="1:13">
      <c r="A313" s="2855">
        <v>4.4000000000000004</v>
      </c>
      <c r="B313" s="2853">
        <v>0.754</v>
      </c>
      <c r="C313" s="2853">
        <v>0.754</v>
      </c>
      <c r="D313" s="2853">
        <v>0.71409999999999996</v>
      </c>
      <c r="E313" s="2853">
        <v>0.71409999999999996</v>
      </c>
      <c r="F313" s="2853">
        <v>0.71409999999999996</v>
      </c>
      <c r="G313" s="2853">
        <v>0.60709999999999997</v>
      </c>
      <c r="H313" s="2853">
        <v>0.60709999999999997</v>
      </c>
      <c r="I313" s="2853">
        <v>0.52639999999999998</v>
      </c>
      <c r="J313" s="2853">
        <v>0.52639999999999998</v>
      </c>
      <c r="K313" s="2853">
        <v>0.52639999999999998</v>
      </c>
      <c r="L313" s="2853">
        <v>0.52639999999999998</v>
      </c>
      <c r="M313" s="2854">
        <v>0.52639999999999998</v>
      </c>
    </row>
    <row r="314" spans="1:13">
      <c r="A314" s="2855">
        <v>4.5</v>
      </c>
      <c r="B314" s="2853">
        <v>0.75119999999999998</v>
      </c>
      <c r="C314" s="2853">
        <v>0.75119999999999998</v>
      </c>
      <c r="D314" s="2853">
        <v>0.71079999999999999</v>
      </c>
      <c r="E314" s="2853">
        <v>0.71079999999999999</v>
      </c>
      <c r="F314" s="2853">
        <v>0.71079999999999999</v>
      </c>
      <c r="G314" s="2853">
        <v>0.60329999999999995</v>
      </c>
      <c r="H314" s="2853">
        <v>0.60329999999999995</v>
      </c>
      <c r="I314" s="2853">
        <v>0.52249999999999996</v>
      </c>
      <c r="J314" s="2853">
        <v>0.52249999999999996</v>
      </c>
      <c r="K314" s="2853">
        <v>0.52249999999999996</v>
      </c>
      <c r="L314" s="2853">
        <v>0.52249999999999996</v>
      </c>
      <c r="M314" s="2854">
        <v>0.52249999999999996</v>
      </c>
    </row>
    <row r="315" spans="1:13">
      <c r="A315" s="2855">
        <v>4.5999999999999996</v>
      </c>
      <c r="B315" s="2853">
        <v>0.74860000000000004</v>
      </c>
      <c r="C315" s="2853">
        <v>0.74860000000000004</v>
      </c>
      <c r="D315" s="2853">
        <v>0.70760000000000001</v>
      </c>
      <c r="E315" s="2853">
        <v>0.70760000000000001</v>
      </c>
      <c r="F315" s="2853">
        <v>0.70760000000000001</v>
      </c>
      <c r="G315" s="2853">
        <v>0.59970000000000001</v>
      </c>
      <c r="H315" s="2853">
        <v>0.59970000000000001</v>
      </c>
      <c r="I315" s="2853">
        <v>0.51890000000000003</v>
      </c>
      <c r="J315" s="2853">
        <v>0.51890000000000003</v>
      </c>
      <c r="K315" s="2853">
        <v>0.51890000000000003</v>
      </c>
      <c r="L315" s="2853">
        <v>0.51890000000000003</v>
      </c>
      <c r="M315" s="2854">
        <v>0.51890000000000003</v>
      </c>
    </row>
    <row r="316" spans="1:13">
      <c r="A316" s="2855">
        <v>4.7</v>
      </c>
      <c r="B316" s="2853">
        <v>0.74609999999999999</v>
      </c>
      <c r="C316" s="2853">
        <v>0.74609999999999999</v>
      </c>
      <c r="D316" s="2853">
        <v>0.7046</v>
      </c>
      <c r="E316" s="2853">
        <v>0.7046</v>
      </c>
      <c r="F316" s="2853">
        <v>0.7046</v>
      </c>
      <c r="G316" s="2853">
        <v>0.59630000000000005</v>
      </c>
      <c r="H316" s="2853">
        <v>0.59630000000000005</v>
      </c>
      <c r="I316" s="2853">
        <v>0.51529999999999998</v>
      </c>
      <c r="J316" s="2853">
        <v>0.51529999999999998</v>
      </c>
      <c r="K316" s="2853">
        <v>0.51529999999999998</v>
      </c>
      <c r="L316" s="2853">
        <v>0.51529999999999998</v>
      </c>
      <c r="M316" s="2854">
        <v>0.51529999999999998</v>
      </c>
    </row>
    <row r="317" spans="1:13">
      <c r="A317" s="2855">
        <v>4.8</v>
      </c>
      <c r="B317" s="2853">
        <v>0.74380000000000002</v>
      </c>
      <c r="C317" s="2853">
        <v>0.74380000000000002</v>
      </c>
      <c r="D317" s="2853">
        <v>0.70169999999999999</v>
      </c>
      <c r="E317" s="2853">
        <v>0.70169999999999999</v>
      </c>
      <c r="F317" s="2853">
        <v>0.70169999999999999</v>
      </c>
      <c r="G317" s="2853">
        <v>0.59309999999999996</v>
      </c>
      <c r="H317" s="2853">
        <v>0.59309999999999996</v>
      </c>
      <c r="I317" s="2853">
        <v>0.5121</v>
      </c>
      <c r="J317" s="2853">
        <v>0.5121</v>
      </c>
      <c r="K317" s="2853">
        <v>0.5121</v>
      </c>
      <c r="L317" s="2853">
        <v>0.5121</v>
      </c>
      <c r="M317" s="2854">
        <v>0.5121</v>
      </c>
    </row>
    <row r="318" spans="1:13">
      <c r="A318" s="2855">
        <v>4.9000000000000004</v>
      </c>
      <c r="B318" s="2853">
        <v>0.74160000000000004</v>
      </c>
      <c r="C318" s="2853">
        <v>0.74160000000000004</v>
      </c>
      <c r="D318" s="2853">
        <v>0.69889999999999997</v>
      </c>
      <c r="E318" s="2853">
        <v>0.69889999999999997</v>
      </c>
      <c r="F318" s="2853">
        <v>0.69889999999999997</v>
      </c>
      <c r="G318" s="2853">
        <v>0.59009999999999996</v>
      </c>
      <c r="H318" s="2853">
        <v>0.59009999999999996</v>
      </c>
      <c r="I318" s="2853">
        <v>0.50900000000000001</v>
      </c>
      <c r="J318" s="2853">
        <v>0.50900000000000001</v>
      </c>
      <c r="K318" s="2853">
        <v>0.50900000000000001</v>
      </c>
      <c r="L318" s="2853">
        <v>0.50900000000000001</v>
      </c>
      <c r="M318" s="2854">
        <v>0.50900000000000001</v>
      </c>
    </row>
    <row r="319" spans="1:13">
      <c r="A319" s="2855">
        <v>5</v>
      </c>
      <c r="B319" s="2853">
        <v>0.73950000000000005</v>
      </c>
      <c r="C319" s="2853">
        <v>0.73950000000000005</v>
      </c>
      <c r="D319" s="2853">
        <v>0.69620000000000004</v>
      </c>
      <c r="E319" s="2853">
        <v>0.69620000000000004</v>
      </c>
      <c r="F319" s="2853">
        <v>0.69620000000000004</v>
      </c>
      <c r="G319" s="2853">
        <v>0.58720000000000006</v>
      </c>
      <c r="H319" s="2853">
        <v>0.58720000000000006</v>
      </c>
      <c r="I319" s="2853">
        <v>0.50609999999999999</v>
      </c>
      <c r="J319" s="2853">
        <v>0.50609999999999999</v>
      </c>
      <c r="K319" s="2853">
        <v>0.50609999999999999</v>
      </c>
      <c r="L319" s="2853">
        <v>0.50609999999999999</v>
      </c>
      <c r="M319" s="2854">
        <v>0.50609999999999999</v>
      </c>
    </row>
    <row r="320" spans="1:13">
      <c r="A320" s="2852">
        <v>5.0999999999999996</v>
      </c>
      <c r="B320" s="2853">
        <v>0.73750000000000004</v>
      </c>
      <c r="C320" s="2853">
        <v>0.73750000000000004</v>
      </c>
      <c r="D320" s="2853">
        <v>0.69359999999999999</v>
      </c>
      <c r="E320" s="2853">
        <v>0.69359999999999999</v>
      </c>
      <c r="F320" s="2853">
        <v>0.69359999999999999</v>
      </c>
      <c r="G320" s="2853">
        <v>0.58440000000000003</v>
      </c>
      <c r="H320" s="2853">
        <v>0.58440000000000003</v>
      </c>
      <c r="I320" s="2853">
        <v>0.50329999999999997</v>
      </c>
      <c r="J320" s="2853">
        <v>0.50329999999999997</v>
      </c>
      <c r="K320" s="2853">
        <v>0.50329999999999997</v>
      </c>
      <c r="L320" s="2853">
        <v>0.50329999999999997</v>
      </c>
      <c r="M320" s="2854">
        <v>0.50329999999999997</v>
      </c>
    </row>
    <row r="321" spans="1:13">
      <c r="A321" s="2852">
        <v>5.2</v>
      </c>
      <c r="B321" s="2853">
        <v>0.73560000000000003</v>
      </c>
      <c r="C321" s="2853">
        <v>0.73560000000000003</v>
      </c>
      <c r="D321" s="2853">
        <v>0.69110000000000005</v>
      </c>
      <c r="E321" s="2853">
        <v>0.69110000000000005</v>
      </c>
      <c r="F321" s="2853">
        <v>0.69110000000000005</v>
      </c>
      <c r="G321" s="2853">
        <v>0.58169999999999999</v>
      </c>
      <c r="H321" s="2853">
        <v>0.58169999999999999</v>
      </c>
      <c r="I321" s="2853">
        <v>0.50060000000000004</v>
      </c>
      <c r="J321" s="2853">
        <v>0.50060000000000004</v>
      </c>
      <c r="K321" s="2853">
        <v>0.50060000000000004</v>
      </c>
      <c r="L321" s="2853">
        <v>0.50060000000000004</v>
      </c>
      <c r="M321" s="2854">
        <v>0.50060000000000004</v>
      </c>
    </row>
    <row r="322" spans="1:13">
      <c r="A322" s="2852">
        <v>5.3</v>
      </c>
      <c r="B322" s="2853">
        <v>0.73380000000000001</v>
      </c>
      <c r="C322" s="2853">
        <v>0.73380000000000001</v>
      </c>
      <c r="D322" s="2853">
        <v>0.68869999999999998</v>
      </c>
      <c r="E322" s="2853">
        <v>0.68869999999999998</v>
      </c>
      <c r="F322" s="2853">
        <v>0.68869999999999998</v>
      </c>
      <c r="G322" s="2853">
        <v>0.57909999999999995</v>
      </c>
      <c r="H322" s="2853">
        <v>0.57909999999999995</v>
      </c>
      <c r="I322" s="2853">
        <v>0.49809999999999999</v>
      </c>
      <c r="J322" s="2853">
        <v>0.49809999999999999</v>
      </c>
      <c r="K322" s="2853">
        <v>0.49809999999999999</v>
      </c>
      <c r="L322" s="2853">
        <v>0.49809999999999999</v>
      </c>
      <c r="M322" s="2854">
        <v>0.49809999999999999</v>
      </c>
    </row>
    <row r="323" spans="1:13">
      <c r="A323" s="2852">
        <v>5.4</v>
      </c>
      <c r="B323" s="2853">
        <v>0.73199999999999998</v>
      </c>
      <c r="C323" s="2853">
        <v>0.73199999999999998</v>
      </c>
      <c r="D323" s="2853">
        <v>0.68640000000000001</v>
      </c>
      <c r="E323" s="2853">
        <v>0.68640000000000001</v>
      </c>
      <c r="F323" s="2853">
        <v>0.68640000000000001</v>
      </c>
      <c r="G323" s="2853">
        <v>0.57650000000000001</v>
      </c>
      <c r="H323" s="2853">
        <v>0.57650000000000001</v>
      </c>
      <c r="I323" s="2853">
        <v>0.49559999999999998</v>
      </c>
      <c r="J323" s="2853">
        <v>0.49559999999999998</v>
      </c>
      <c r="K323" s="2853">
        <v>0.49559999999999998</v>
      </c>
      <c r="L323" s="2853">
        <v>0.49559999999999998</v>
      </c>
      <c r="M323" s="2854">
        <v>0.49559999999999998</v>
      </c>
    </row>
    <row r="324" spans="1:13">
      <c r="A324" s="2852">
        <v>5.5</v>
      </c>
      <c r="B324" s="2853">
        <v>0.73009999999999997</v>
      </c>
      <c r="C324" s="2853">
        <v>0.73009999999999997</v>
      </c>
      <c r="D324" s="2853">
        <v>0.68420000000000003</v>
      </c>
      <c r="E324" s="2853">
        <v>0.68420000000000003</v>
      </c>
      <c r="F324" s="2853">
        <v>0.68420000000000003</v>
      </c>
      <c r="G324" s="2853">
        <v>0.57399999999999995</v>
      </c>
      <c r="H324" s="2853">
        <v>0.57399999999999995</v>
      </c>
      <c r="I324" s="2853">
        <v>0.49320000000000003</v>
      </c>
      <c r="J324" s="2853">
        <v>0.49320000000000003</v>
      </c>
      <c r="K324" s="2853">
        <v>0.49320000000000003</v>
      </c>
      <c r="L324" s="2853">
        <v>0.49320000000000003</v>
      </c>
      <c r="M324" s="2854">
        <v>0.49320000000000003</v>
      </c>
    </row>
    <row r="325" spans="1:13">
      <c r="A325" s="2852">
        <v>5.6</v>
      </c>
      <c r="B325" s="2853">
        <v>0.72819999999999996</v>
      </c>
      <c r="C325" s="2853">
        <v>0.72819999999999996</v>
      </c>
      <c r="D325" s="2853">
        <v>0.68200000000000005</v>
      </c>
      <c r="E325" s="2853">
        <v>0.68200000000000005</v>
      </c>
      <c r="F325" s="2853">
        <v>0.68200000000000005</v>
      </c>
      <c r="G325" s="2853">
        <v>0.57150000000000001</v>
      </c>
      <c r="H325" s="2853">
        <v>0.57150000000000001</v>
      </c>
      <c r="I325" s="2853">
        <v>0.49080000000000001</v>
      </c>
      <c r="J325" s="2853">
        <v>0.49080000000000001</v>
      </c>
      <c r="K325" s="2853">
        <v>0.49080000000000001</v>
      </c>
      <c r="L325" s="2853">
        <v>0.49080000000000001</v>
      </c>
      <c r="M325" s="2854">
        <v>0.49080000000000001</v>
      </c>
    </row>
    <row r="326" spans="1:13">
      <c r="A326" s="2855">
        <v>5.7</v>
      </c>
      <c r="B326" s="2853">
        <v>0.72640000000000005</v>
      </c>
      <c r="C326" s="2853">
        <v>0.72640000000000005</v>
      </c>
      <c r="D326" s="2853">
        <v>0.67989999999999995</v>
      </c>
      <c r="E326" s="2853">
        <v>0.67989999999999995</v>
      </c>
      <c r="F326" s="2853">
        <v>0.67989999999999995</v>
      </c>
      <c r="G326" s="2853">
        <v>0.56899999999999995</v>
      </c>
      <c r="H326" s="2853">
        <v>0.56899999999999995</v>
      </c>
      <c r="I326" s="2853">
        <v>0.4884</v>
      </c>
      <c r="J326" s="2853">
        <v>0.4884</v>
      </c>
      <c r="K326" s="2853">
        <v>0.4884</v>
      </c>
      <c r="L326" s="2853">
        <v>0.4884</v>
      </c>
      <c r="M326" s="2854">
        <v>0.4884</v>
      </c>
    </row>
    <row r="327" spans="1:13">
      <c r="A327" s="2852">
        <v>5.8</v>
      </c>
      <c r="B327" s="2853">
        <v>0.72460000000000002</v>
      </c>
      <c r="C327" s="2853">
        <v>0.72460000000000002</v>
      </c>
      <c r="D327" s="2853">
        <v>0.67779999999999996</v>
      </c>
      <c r="E327" s="2853">
        <v>0.67779999999999996</v>
      </c>
      <c r="F327" s="2853">
        <v>0.67779999999999996</v>
      </c>
      <c r="G327" s="2853">
        <v>0.56659999999999999</v>
      </c>
      <c r="H327" s="2853">
        <v>0.56659999999999999</v>
      </c>
      <c r="I327" s="2853">
        <v>0.48609999999999998</v>
      </c>
      <c r="J327" s="2853">
        <v>0.48609999999999998</v>
      </c>
      <c r="K327" s="2853">
        <v>0.48609999999999998</v>
      </c>
      <c r="L327" s="2853">
        <v>0.48609999999999998</v>
      </c>
      <c r="M327" s="2854">
        <v>0.48609999999999998</v>
      </c>
    </row>
    <row r="328" spans="1:13">
      <c r="A328" s="2852">
        <v>5.9</v>
      </c>
      <c r="B328" s="2853">
        <v>0.7228</v>
      </c>
      <c r="C328" s="2853">
        <v>0.7228</v>
      </c>
      <c r="D328" s="2853">
        <v>0.67569999999999997</v>
      </c>
      <c r="E328" s="2853">
        <v>0.67569999999999997</v>
      </c>
      <c r="F328" s="2853">
        <v>0.67569999999999997</v>
      </c>
      <c r="G328" s="2853">
        <v>0.56420000000000003</v>
      </c>
      <c r="H328" s="2853">
        <v>0.56420000000000003</v>
      </c>
      <c r="I328" s="2853">
        <v>0.48380000000000001</v>
      </c>
      <c r="J328" s="2853">
        <v>0.48380000000000001</v>
      </c>
      <c r="K328" s="2853">
        <v>0.48380000000000001</v>
      </c>
      <c r="L328" s="2853">
        <v>0.48380000000000001</v>
      </c>
      <c r="M328" s="2854">
        <v>0.48380000000000001</v>
      </c>
    </row>
    <row r="329" spans="1:13">
      <c r="A329" s="2852">
        <v>6</v>
      </c>
      <c r="B329" s="2853">
        <v>0.72099999999999997</v>
      </c>
      <c r="C329" s="2853">
        <v>0.72099999999999997</v>
      </c>
      <c r="D329" s="2853">
        <v>0.67359999999999998</v>
      </c>
      <c r="E329" s="2853">
        <v>0.67359999999999998</v>
      </c>
      <c r="F329" s="2853">
        <v>0.67359999999999998</v>
      </c>
      <c r="G329" s="2853">
        <v>0.56179999999999997</v>
      </c>
      <c r="H329" s="2853">
        <v>0.56179999999999997</v>
      </c>
      <c r="I329" s="2853">
        <v>0.48159999999999997</v>
      </c>
      <c r="J329" s="2853">
        <v>0.48159999999999997</v>
      </c>
      <c r="K329" s="2853">
        <v>0.48159999999999997</v>
      </c>
      <c r="L329" s="2853">
        <v>0.48159999999999997</v>
      </c>
      <c r="M329" s="2854">
        <v>0.48159999999999997</v>
      </c>
    </row>
    <row r="330" spans="1:13">
      <c r="A330" s="2852">
        <v>6.1</v>
      </c>
      <c r="B330" s="2853">
        <v>0.71930000000000005</v>
      </c>
      <c r="C330" s="2853">
        <v>0.71930000000000005</v>
      </c>
      <c r="D330" s="2853">
        <v>0.67159999999999997</v>
      </c>
      <c r="E330" s="2853">
        <v>0.67159999999999997</v>
      </c>
      <c r="F330" s="2853">
        <v>0.67159999999999997</v>
      </c>
      <c r="G330" s="2853">
        <v>0.55940000000000001</v>
      </c>
      <c r="H330" s="2853">
        <v>0.55940000000000001</v>
      </c>
      <c r="I330" s="2853">
        <v>0.4793</v>
      </c>
      <c r="J330" s="2853">
        <v>0.4793</v>
      </c>
      <c r="K330" s="2853">
        <v>0.4793</v>
      </c>
      <c r="L330" s="2853">
        <v>0.4793</v>
      </c>
      <c r="M330" s="2854">
        <v>0.4793</v>
      </c>
    </row>
    <row r="331" spans="1:13">
      <c r="A331" s="2852">
        <v>6.2</v>
      </c>
      <c r="B331" s="2853">
        <v>0.71760000000000002</v>
      </c>
      <c r="C331" s="2853">
        <v>0.71760000000000002</v>
      </c>
      <c r="D331" s="2853">
        <v>0.66959999999999997</v>
      </c>
      <c r="E331" s="2853">
        <v>0.66959999999999997</v>
      </c>
      <c r="F331" s="2853">
        <v>0.66959999999999997</v>
      </c>
      <c r="G331" s="2853">
        <v>0.55710000000000004</v>
      </c>
      <c r="H331" s="2853">
        <v>0.55710000000000004</v>
      </c>
      <c r="I331" s="2853">
        <v>0.47710000000000002</v>
      </c>
      <c r="J331" s="2853">
        <v>0.47710000000000002</v>
      </c>
      <c r="K331" s="2853">
        <v>0.47710000000000002</v>
      </c>
      <c r="L331" s="2853">
        <v>0.47710000000000002</v>
      </c>
      <c r="M331" s="2854">
        <v>0.47710000000000002</v>
      </c>
    </row>
    <row r="332" spans="1:13">
      <c r="A332" s="2852">
        <v>6.3</v>
      </c>
      <c r="B332" s="2853">
        <v>0.71589999999999998</v>
      </c>
      <c r="C332" s="2853">
        <v>0.71589999999999998</v>
      </c>
      <c r="D332" s="2853">
        <v>0.66759999999999997</v>
      </c>
      <c r="E332" s="2853">
        <v>0.66759999999999997</v>
      </c>
      <c r="F332" s="2853">
        <v>0.66759999999999997</v>
      </c>
      <c r="G332" s="2853">
        <v>0.55479999999999996</v>
      </c>
      <c r="H332" s="2853">
        <v>0.55479999999999996</v>
      </c>
      <c r="I332" s="2853">
        <v>0.47489999999999999</v>
      </c>
      <c r="J332" s="2853">
        <v>0.47489999999999999</v>
      </c>
      <c r="K332" s="2853">
        <v>0.47489999999999999</v>
      </c>
      <c r="L332" s="2853">
        <v>0.47489999999999999</v>
      </c>
      <c r="M332" s="2854">
        <v>0.47489999999999999</v>
      </c>
    </row>
    <row r="333" spans="1:13">
      <c r="A333" s="2852">
        <v>6.4</v>
      </c>
      <c r="B333" s="2853">
        <v>0.71419999999999995</v>
      </c>
      <c r="C333" s="2853">
        <v>0.71419999999999995</v>
      </c>
      <c r="D333" s="2853">
        <v>0.66559999999999997</v>
      </c>
      <c r="E333" s="2853">
        <v>0.66559999999999997</v>
      </c>
      <c r="F333" s="2853">
        <v>0.66559999999999997</v>
      </c>
      <c r="G333" s="2853">
        <v>0.55249999999999999</v>
      </c>
      <c r="H333" s="2853">
        <v>0.55249999999999999</v>
      </c>
      <c r="I333" s="2853">
        <v>0.47270000000000001</v>
      </c>
      <c r="J333" s="2853">
        <v>0.47270000000000001</v>
      </c>
      <c r="K333" s="2853">
        <v>0.47270000000000001</v>
      </c>
      <c r="L333" s="2853">
        <v>0.47270000000000001</v>
      </c>
      <c r="M333" s="2854">
        <v>0.47270000000000001</v>
      </c>
    </row>
    <row r="334" spans="1:13">
      <c r="A334" s="2852">
        <v>6.5</v>
      </c>
      <c r="B334" s="2853">
        <v>0.71250000000000002</v>
      </c>
      <c r="C334" s="2853">
        <v>0.71250000000000002</v>
      </c>
      <c r="D334" s="2853">
        <v>0.66359999999999997</v>
      </c>
      <c r="E334" s="2853">
        <v>0.66359999999999997</v>
      </c>
      <c r="F334" s="2853">
        <v>0.66359999999999997</v>
      </c>
      <c r="G334" s="2853">
        <v>0.55020000000000002</v>
      </c>
      <c r="H334" s="2853">
        <v>0.55020000000000002</v>
      </c>
      <c r="I334" s="2853">
        <v>0.47060000000000002</v>
      </c>
      <c r="J334" s="2853">
        <v>0.47060000000000002</v>
      </c>
      <c r="K334" s="2853">
        <v>0.47060000000000002</v>
      </c>
      <c r="L334" s="2853">
        <v>0.47060000000000002</v>
      </c>
      <c r="M334" s="2854">
        <v>0.47060000000000002</v>
      </c>
    </row>
    <row r="335" spans="1:13">
      <c r="A335" s="2852">
        <v>6.6</v>
      </c>
      <c r="B335" s="2853">
        <v>0.71089999999999998</v>
      </c>
      <c r="C335" s="2853">
        <v>0.71089999999999998</v>
      </c>
      <c r="D335" s="2853">
        <v>0.66159999999999997</v>
      </c>
      <c r="E335" s="2853">
        <v>0.66159999999999997</v>
      </c>
      <c r="F335" s="2853">
        <v>0.66159999999999997</v>
      </c>
      <c r="G335" s="2853">
        <v>0.54800000000000004</v>
      </c>
      <c r="H335" s="2853">
        <v>0.54800000000000004</v>
      </c>
      <c r="I335" s="2853">
        <v>0.46839999999999998</v>
      </c>
      <c r="J335" s="2853">
        <v>0.46839999999999998</v>
      </c>
      <c r="K335" s="2853">
        <v>0.46839999999999998</v>
      </c>
      <c r="L335" s="2853">
        <v>0.46839999999999998</v>
      </c>
      <c r="M335" s="2854">
        <v>0.46839999999999998</v>
      </c>
    </row>
    <row r="336" spans="1:13">
      <c r="A336" s="2852">
        <v>6.7</v>
      </c>
      <c r="B336" s="2853">
        <v>0.70930000000000004</v>
      </c>
      <c r="C336" s="2853">
        <v>0.70930000000000004</v>
      </c>
      <c r="D336" s="2853">
        <v>0.65969999999999995</v>
      </c>
      <c r="E336" s="2853">
        <v>0.65969999999999995</v>
      </c>
      <c r="F336" s="2853">
        <v>0.65969999999999995</v>
      </c>
      <c r="G336" s="2853">
        <v>0.54579999999999995</v>
      </c>
      <c r="H336" s="2853">
        <v>0.54579999999999995</v>
      </c>
      <c r="I336" s="2853">
        <v>0.46629999999999999</v>
      </c>
      <c r="J336" s="2853">
        <v>0.46629999999999999</v>
      </c>
      <c r="K336" s="2853">
        <v>0.46629999999999999</v>
      </c>
      <c r="L336" s="2853">
        <v>0.46629999999999999</v>
      </c>
      <c r="M336" s="2854">
        <v>0.46629999999999999</v>
      </c>
    </row>
    <row r="337" spans="1:13">
      <c r="A337" s="2852">
        <v>6.8</v>
      </c>
      <c r="B337" s="2853">
        <v>0.7077</v>
      </c>
      <c r="C337" s="2853">
        <v>0.7077</v>
      </c>
      <c r="D337" s="2853">
        <v>0.65780000000000005</v>
      </c>
      <c r="E337" s="2853">
        <v>0.65780000000000005</v>
      </c>
      <c r="F337" s="2853">
        <v>0.65780000000000005</v>
      </c>
      <c r="G337" s="2853">
        <v>0.54359999999999997</v>
      </c>
      <c r="H337" s="2853">
        <v>0.54359999999999997</v>
      </c>
      <c r="I337" s="2853">
        <v>0.46410000000000001</v>
      </c>
      <c r="J337" s="2853">
        <v>0.46410000000000001</v>
      </c>
      <c r="K337" s="2853">
        <v>0.46410000000000001</v>
      </c>
      <c r="L337" s="2853">
        <v>0.46410000000000001</v>
      </c>
      <c r="M337" s="2854">
        <v>0.46410000000000001</v>
      </c>
    </row>
    <row r="338" spans="1:13">
      <c r="A338" s="2852">
        <v>6.9</v>
      </c>
      <c r="B338" s="2853">
        <v>0.70609999999999995</v>
      </c>
      <c r="C338" s="2853">
        <v>0.70609999999999995</v>
      </c>
      <c r="D338" s="2853">
        <v>0.65590000000000004</v>
      </c>
      <c r="E338" s="2853">
        <v>0.65590000000000004</v>
      </c>
      <c r="F338" s="2853">
        <v>0.65590000000000004</v>
      </c>
      <c r="G338" s="2853">
        <v>0.54139999999999999</v>
      </c>
      <c r="H338" s="2853">
        <v>0.54139999999999999</v>
      </c>
      <c r="I338" s="2853">
        <v>0.46200000000000002</v>
      </c>
      <c r="J338" s="2853">
        <v>0.46200000000000002</v>
      </c>
      <c r="K338" s="2853">
        <v>0.46200000000000002</v>
      </c>
      <c r="L338" s="2853">
        <v>0.46200000000000002</v>
      </c>
      <c r="M338" s="2854">
        <v>0.46200000000000002</v>
      </c>
    </row>
    <row r="339" spans="1:13">
      <c r="A339" s="2852">
        <v>7</v>
      </c>
      <c r="B339" s="2853">
        <v>0.70450000000000002</v>
      </c>
      <c r="C339" s="2853">
        <v>0.70450000000000002</v>
      </c>
      <c r="D339" s="2853">
        <v>0.65400000000000003</v>
      </c>
      <c r="E339" s="2853">
        <v>0.65400000000000003</v>
      </c>
      <c r="F339" s="2853">
        <v>0.65400000000000003</v>
      </c>
      <c r="G339" s="2853">
        <v>0.53920000000000001</v>
      </c>
      <c r="H339" s="2853">
        <v>0.53920000000000001</v>
      </c>
      <c r="I339" s="2853">
        <v>0.45979999999999999</v>
      </c>
      <c r="J339" s="2853">
        <v>0.45979999999999999</v>
      </c>
      <c r="K339" s="2853">
        <v>0.45979999999999999</v>
      </c>
      <c r="L339" s="2853">
        <v>0.45979999999999999</v>
      </c>
      <c r="M339" s="2854">
        <v>0.45979999999999999</v>
      </c>
    </row>
    <row r="340" spans="1:13">
      <c r="A340" s="2852">
        <v>7.1</v>
      </c>
      <c r="B340" s="2853">
        <v>0.70289999999999997</v>
      </c>
      <c r="C340" s="2853">
        <v>0.70289999999999997</v>
      </c>
      <c r="D340" s="2853">
        <v>0.65210000000000001</v>
      </c>
      <c r="E340" s="2853">
        <v>0.65210000000000001</v>
      </c>
      <c r="F340" s="2853">
        <v>0.65210000000000001</v>
      </c>
      <c r="G340" s="2853">
        <v>0.53710000000000002</v>
      </c>
      <c r="H340" s="2853">
        <v>0.53710000000000002</v>
      </c>
      <c r="I340" s="2853">
        <v>0.45779999999999998</v>
      </c>
      <c r="J340" s="2853">
        <v>0.45779999999999998</v>
      </c>
      <c r="K340" s="2853">
        <v>0.45779999999999998</v>
      </c>
      <c r="L340" s="2853">
        <v>0.45779999999999998</v>
      </c>
      <c r="M340" s="2854">
        <v>0.45779999999999998</v>
      </c>
    </row>
    <row r="341" spans="1:13">
      <c r="A341" s="2852">
        <v>7.2</v>
      </c>
      <c r="B341" s="2853">
        <v>0.70140000000000002</v>
      </c>
      <c r="C341" s="2853">
        <v>0.70140000000000002</v>
      </c>
      <c r="D341" s="2853">
        <v>0.6502</v>
      </c>
      <c r="E341" s="2853">
        <v>0.6502</v>
      </c>
      <c r="F341" s="2853">
        <v>0.6502</v>
      </c>
      <c r="G341" s="2853">
        <v>0.53500000000000003</v>
      </c>
      <c r="H341" s="2853">
        <v>0.53500000000000003</v>
      </c>
      <c r="I341" s="2853">
        <v>0.45569999999999999</v>
      </c>
      <c r="J341" s="2853">
        <v>0.45569999999999999</v>
      </c>
      <c r="K341" s="2853">
        <v>0.45569999999999999</v>
      </c>
      <c r="L341" s="2853">
        <v>0.45569999999999999</v>
      </c>
      <c r="M341" s="2854">
        <v>0.45569999999999999</v>
      </c>
    </row>
    <row r="342" spans="1:13">
      <c r="A342" s="2852">
        <v>7.3</v>
      </c>
      <c r="B342" s="2853">
        <v>0.69989999999999997</v>
      </c>
      <c r="C342" s="2853">
        <v>0.69989999999999997</v>
      </c>
      <c r="D342" s="2853">
        <v>0.64829999999999999</v>
      </c>
      <c r="E342" s="2853">
        <v>0.64829999999999999</v>
      </c>
      <c r="F342" s="2853">
        <v>0.64829999999999999</v>
      </c>
      <c r="G342" s="2853">
        <v>0.53290000000000004</v>
      </c>
      <c r="H342" s="2853">
        <v>0.53290000000000004</v>
      </c>
      <c r="I342" s="2853">
        <v>0.45369999999999999</v>
      </c>
      <c r="J342" s="2853">
        <v>0.45369999999999999</v>
      </c>
      <c r="K342" s="2853">
        <v>0.45369999999999999</v>
      </c>
      <c r="L342" s="2853">
        <v>0.45369999999999999</v>
      </c>
      <c r="M342" s="2854">
        <v>0.45369999999999999</v>
      </c>
    </row>
    <row r="343" spans="1:13">
      <c r="A343" s="2852">
        <v>7.4</v>
      </c>
      <c r="B343" s="2853">
        <v>0.69840000000000002</v>
      </c>
      <c r="C343" s="2853">
        <v>0.69840000000000002</v>
      </c>
      <c r="D343" s="2853">
        <v>0.64649999999999996</v>
      </c>
      <c r="E343" s="2853">
        <v>0.64649999999999996</v>
      </c>
      <c r="F343" s="2853">
        <v>0.64649999999999996</v>
      </c>
      <c r="G343" s="2853">
        <v>0.53080000000000005</v>
      </c>
      <c r="H343" s="2853">
        <v>0.53080000000000005</v>
      </c>
      <c r="I343" s="2853">
        <v>0.4516</v>
      </c>
      <c r="J343" s="2853">
        <v>0.4516</v>
      </c>
      <c r="K343" s="2853">
        <v>0.4516</v>
      </c>
      <c r="L343" s="2853">
        <v>0.4516</v>
      </c>
      <c r="M343" s="2854">
        <v>0.4516</v>
      </c>
    </row>
    <row r="344" spans="1:13">
      <c r="A344" s="2852">
        <v>7.5</v>
      </c>
      <c r="B344" s="2853">
        <v>0.69689999999999996</v>
      </c>
      <c r="C344" s="2853">
        <v>0.69689999999999996</v>
      </c>
      <c r="D344" s="2853">
        <v>0.64470000000000005</v>
      </c>
      <c r="E344" s="2853">
        <v>0.64470000000000005</v>
      </c>
      <c r="F344" s="2853">
        <v>0.64470000000000005</v>
      </c>
      <c r="G344" s="2853">
        <v>0.52869999999999995</v>
      </c>
      <c r="H344" s="2853">
        <v>0.52869999999999995</v>
      </c>
      <c r="I344" s="2853">
        <v>0.44950000000000001</v>
      </c>
      <c r="J344" s="2853">
        <v>0.44950000000000001</v>
      </c>
      <c r="K344" s="2853">
        <v>0.44950000000000001</v>
      </c>
      <c r="L344" s="2853">
        <v>0.44950000000000001</v>
      </c>
      <c r="M344" s="2854">
        <v>0.44950000000000001</v>
      </c>
    </row>
    <row r="345" spans="1:13">
      <c r="A345" s="2852">
        <v>7.6</v>
      </c>
      <c r="B345" s="2853">
        <v>0.69540000000000002</v>
      </c>
      <c r="C345" s="2853">
        <v>0.69540000000000002</v>
      </c>
      <c r="D345" s="2853">
        <v>0.64290000000000003</v>
      </c>
      <c r="E345" s="2853">
        <v>0.64290000000000003</v>
      </c>
      <c r="F345" s="2853">
        <v>0.64290000000000003</v>
      </c>
      <c r="G345" s="2853">
        <v>0.52659999999999996</v>
      </c>
      <c r="H345" s="2853">
        <v>0.52659999999999996</v>
      </c>
      <c r="I345" s="2853">
        <v>0.44750000000000001</v>
      </c>
      <c r="J345" s="2853">
        <v>0.44750000000000001</v>
      </c>
      <c r="K345" s="2853">
        <v>0.44750000000000001</v>
      </c>
      <c r="L345" s="2853">
        <v>0.44750000000000001</v>
      </c>
      <c r="M345" s="2854">
        <v>0.44750000000000001</v>
      </c>
    </row>
    <row r="346" spans="1:13">
      <c r="A346" s="2852">
        <v>7.7</v>
      </c>
      <c r="B346" s="2853">
        <v>0.69389999999999996</v>
      </c>
      <c r="C346" s="2853">
        <v>0.69389999999999996</v>
      </c>
      <c r="D346" s="2853">
        <v>0.6411</v>
      </c>
      <c r="E346" s="2853">
        <v>0.6411</v>
      </c>
      <c r="F346" s="2853">
        <v>0.6411</v>
      </c>
      <c r="G346" s="2853">
        <v>0.52459999999999996</v>
      </c>
      <c r="H346" s="2853">
        <v>0.52459999999999996</v>
      </c>
      <c r="I346" s="2853">
        <v>0.44540000000000002</v>
      </c>
      <c r="J346" s="2853">
        <v>0.44540000000000002</v>
      </c>
      <c r="K346" s="2853">
        <v>0.44540000000000002</v>
      </c>
      <c r="L346" s="2853">
        <v>0.44540000000000002</v>
      </c>
      <c r="M346" s="2854">
        <v>0.44540000000000002</v>
      </c>
    </row>
    <row r="347" spans="1:13">
      <c r="A347" s="2852">
        <v>7.8</v>
      </c>
      <c r="B347" s="2853">
        <v>0.69240000000000002</v>
      </c>
      <c r="C347" s="2853">
        <v>0.69240000000000002</v>
      </c>
      <c r="D347" s="2853">
        <v>0.63929999999999998</v>
      </c>
      <c r="E347" s="2853">
        <v>0.63929999999999998</v>
      </c>
      <c r="F347" s="2853">
        <v>0.63929999999999998</v>
      </c>
      <c r="G347" s="2853">
        <v>0.52259999999999995</v>
      </c>
      <c r="H347" s="2853">
        <v>0.52259999999999995</v>
      </c>
      <c r="I347" s="2853">
        <v>0.44340000000000002</v>
      </c>
      <c r="J347" s="2853">
        <v>0.44340000000000002</v>
      </c>
      <c r="K347" s="2853">
        <v>0.44340000000000002</v>
      </c>
      <c r="L347" s="2853">
        <v>0.44340000000000002</v>
      </c>
      <c r="M347" s="2854">
        <v>0.44340000000000002</v>
      </c>
    </row>
    <row r="348" spans="1:13">
      <c r="A348" s="2852">
        <v>7.9</v>
      </c>
      <c r="B348" s="2853">
        <v>0.69099999999999995</v>
      </c>
      <c r="C348" s="2853">
        <v>0.69099999999999995</v>
      </c>
      <c r="D348" s="2853">
        <v>0.63749999999999996</v>
      </c>
      <c r="E348" s="2853">
        <v>0.63749999999999996</v>
      </c>
      <c r="F348" s="2853">
        <v>0.63749999999999996</v>
      </c>
      <c r="G348" s="2853">
        <v>0.52059999999999995</v>
      </c>
      <c r="H348" s="2853">
        <v>0.52059999999999995</v>
      </c>
      <c r="I348" s="2853">
        <v>0.44130000000000003</v>
      </c>
      <c r="J348" s="2853">
        <v>0.44130000000000003</v>
      </c>
      <c r="K348" s="2853">
        <v>0.44130000000000003</v>
      </c>
      <c r="L348" s="2853">
        <v>0.44130000000000003</v>
      </c>
      <c r="M348" s="2854">
        <v>0.44130000000000003</v>
      </c>
    </row>
    <row r="349" spans="1:13">
      <c r="A349" s="2852">
        <v>8</v>
      </c>
      <c r="B349" s="2853">
        <v>0.68959999999999999</v>
      </c>
      <c r="C349" s="2853">
        <v>0.68959999999999999</v>
      </c>
      <c r="D349" s="2853">
        <v>0.63570000000000004</v>
      </c>
      <c r="E349" s="2853">
        <v>0.63570000000000004</v>
      </c>
      <c r="F349" s="2853">
        <v>0.63570000000000004</v>
      </c>
      <c r="G349" s="2853">
        <v>0.51859999999999995</v>
      </c>
      <c r="H349" s="2853">
        <v>0.51859999999999995</v>
      </c>
      <c r="I349" s="2853">
        <v>0.43919999999999998</v>
      </c>
      <c r="J349" s="2853">
        <v>0.43919999999999998</v>
      </c>
      <c r="K349" s="2853">
        <v>0.43919999999999998</v>
      </c>
      <c r="L349" s="2853">
        <v>0.43919999999999998</v>
      </c>
      <c r="M349" s="2854">
        <v>0.43919999999999998</v>
      </c>
    </row>
    <row r="350" spans="1:13">
      <c r="A350" s="2852">
        <v>8.1</v>
      </c>
      <c r="B350" s="2853">
        <v>0.68820000000000003</v>
      </c>
      <c r="C350" s="2853">
        <v>0.68820000000000003</v>
      </c>
      <c r="D350" s="2853">
        <v>0.63390000000000002</v>
      </c>
      <c r="E350" s="2853">
        <v>0.63390000000000002</v>
      </c>
      <c r="F350" s="2853">
        <v>0.63390000000000002</v>
      </c>
      <c r="G350" s="2853">
        <v>0.51659999999999995</v>
      </c>
      <c r="H350" s="2853">
        <v>0.51659999999999995</v>
      </c>
      <c r="I350" s="2853">
        <v>0.43730000000000002</v>
      </c>
      <c r="J350" s="2853">
        <v>0.43730000000000002</v>
      </c>
      <c r="K350" s="2853">
        <v>0.43730000000000002</v>
      </c>
      <c r="L350" s="2853">
        <v>0.43730000000000002</v>
      </c>
      <c r="M350" s="2854">
        <v>0.43730000000000002</v>
      </c>
    </row>
    <row r="351" spans="1:13">
      <c r="A351" s="2852">
        <v>8.1999999999999993</v>
      </c>
      <c r="B351" s="2853">
        <v>0.68679999999999997</v>
      </c>
      <c r="C351" s="2853">
        <v>0.68679999999999997</v>
      </c>
      <c r="D351" s="2853">
        <v>0.63219999999999998</v>
      </c>
      <c r="E351" s="2853">
        <v>0.63219999999999998</v>
      </c>
      <c r="F351" s="2853">
        <v>0.63219999999999998</v>
      </c>
      <c r="G351" s="2853">
        <v>0.51459999999999995</v>
      </c>
      <c r="H351" s="2853">
        <v>0.51459999999999995</v>
      </c>
      <c r="I351" s="2853">
        <v>0.43530000000000002</v>
      </c>
      <c r="J351" s="2853">
        <v>0.43530000000000002</v>
      </c>
      <c r="K351" s="2853">
        <v>0.43530000000000002</v>
      </c>
      <c r="L351" s="2853">
        <v>0.43530000000000002</v>
      </c>
      <c r="M351" s="2854">
        <v>0.43530000000000002</v>
      </c>
    </row>
    <row r="352" spans="1:13">
      <c r="A352" s="2852">
        <v>8.3000000000000007</v>
      </c>
      <c r="B352" s="2853">
        <v>0.68540000000000001</v>
      </c>
      <c r="C352" s="2853">
        <v>0.68540000000000001</v>
      </c>
      <c r="D352" s="2853">
        <v>0.63049999999999995</v>
      </c>
      <c r="E352" s="2853">
        <v>0.63049999999999995</v>
      </c>
      <c r="F352" s="2853">
        <v>0.63049999999999995</v>
      </c>
      <c r="G352" s="2853">
        <v>0.51259999999999994</v>
      </c>
      <c r="H352" s="2853">
        <v>0.51259999999999994</v>
      </c>
      <c r="I352" s="2853">
        <v>0.43330000000000002</v>
      </c>
      <c r="J352" s="2853">
        <v>0.43330000000000002</v>
      </c>
      <c r="K352" s="2853">
        <v>0.43330000000000002</v>
      </c>
      <c r="L352" s="2853">
        <v>0.43330000000000002</v>
      </c>
      <c r="M352" s="2854">
        <v>0.43330000000000002</v>
      </c>
    </row>
    <row r="353" spans="1:13">
      <c r="A353" s="2852">
        <v>8.4</v>
      </c>
      <c r="B353" s="2853">
        <v>0.68400000000000005</v>
      </c>
      <c r="C353" s="2853">
        <v>0.68400000000000005</v>
      </c>
      <c r="D353" s="2853">
        <v>0.62880000000000003</v>
      </c>
      <c r="E353" s="2853">
        <v>0.62880000000000003</v>
      </c>
      <c r="F353" s="2853">
        <v>0.62880000000000003</v>
      </c>
      <c r="G353" s="2853">
        <v>0.51070000000000004</v>
      </c>
      <c r="H353" s="2853">
        <v>0.51070000000000004</v>
      </c>
      <c r="I353" s="2853">
        <v>0.43130000000000002</v>
      </c>
      <c r="J353" s="2853">
        <v>0.43130000000000002</v>
      </c>
      <c r="K353" s="2853">
        <v>0.43130000000000002</v>
      </c>
      <c r="L353" s="2853">
        <v>0.43130000000000002</v>
      </c>
      <c r="M353" s="2854">
        <v>0.43130000000000002</v>
      </c>
    </row>
    <row r="354" spans="1:13">
      <c r="A354" s="2852">
        <v>8.5</v>
      </c>
      <c r="B354" s="2853">
        <v>0.68259999999999998</v>
      </c>
      <c r="C354" s="2853">
        <v>0.68259999999999998</v>
      </c>
      <c r="D354" s="2853">
        <v>0.62709999999999999</v>
      </c>
      <c r="E354" s="2853">
        <v>0.62709999999999999</v>
      </c>
      <c r="F354" s="2853">
        <v>0.62709999999999999</v>
      </c>
      <c r="G354" s="2853">
        <v>0.50880000000000003</v>
      </c>
      <c r="H354" s="2853">
        <v>0.50880000000000003</v>
      </c>
      <c r="I354" s="2853">
        <v>0.4294</v>
      </c>
      <c r="J354" s="2853">
        <v>0.4294</v>
      </c>
      <c r="K354" s="2853">
        <v>0.4294</v>
      </c>
      <c r="L354" s="2853">
        <v>0.4294</v>
      </c>
      <c r="M354" s="2854">
        <v>0.4294</v>
      </c>
    </row>
    <row r="355" spans="1:13">
      <c r="A355" s="2852">
        <v>8.6</v>
      </c>
      <c r="B355" s="2853">
        <v>0.68120000000000003</v>
      </c>
      <c r="C355" s="2853">
        <v>0.68120000000000003</v>
      </c>
      <c r="D355" s="2853">
        <v>0.62539999999999996</v>
      </c>
      <c r="E355" s="2853">
        <v>0.62539999999999996</v>
      </c>
      <c r="F355" s="2853">
        <v>0.62539999999999996</v>
      </c>
      <c r="G355" s="2853">
        <v>0.50690000000000002</v>
      </c>
      <c r="H355" s="2853">
        <v>0.50690000000000002</v>
      </c>
      <c r="I355" s="2853">
        <v>0.4274</v>
      </c>
      <c r="J355" s="2853">
        <v>0.4274</v>
      </c>
      <c r="K355" s="2853">
        <v>0.4274</v>
      </c>
      <c r="L355" s="2853">
        <v>0.4274</v>
      </c>
      <c r="M355" s="2854">
        <v>0.4274</v>
      </c>
    </row>
    <row r="356" spans="1:13">
      <c r="A356" s="2852">
        <v>8.6999999999999993</v>
      </c>
      <c r="B356" s="2853">
        <v>0.67989999999999995</v>
      </c>
      <c r="C356" s="2853">
        <v>0.67989999999999995</v>
      </c>
      <c r="D356" s="2853">
        <v>0.62370000000000003</v>
      </c>
      <c r="E356" s="2853">
        <v>0.62370000000000003</v>
      </c>
      <c r="F356" s="2853">
        <v>0.62370000000000003</v>
      </c>
      <c r="G356" s="2853">
        <v>0.505</v>
      </c>
      <c r="H356" s="2853">
        <v>0.505</v>
      </c>
      <c r="I356" s="2853">
        <v>0.4254</v>
      </c>
      <c r="J356" s="2853">
        <v>0.4254</v>
      </c>
      <c r="K356" s="2853">
        <v>0.4254</v>
      </c>
      <c r="L356" s="2853">
        <v>0.4254</v>
      </c>
      <c r="M356" s="2854">
        <v>0.4254</v>
      </c>
    </row>
    <row r="357" spans="1:13">
      <c r="A357" s="2852">
        <v>8.8000000000000007</v>
      </c>
      <c r="B357" s="2853">
        <v>0.67859999999999998</v>
      </c>
      <c r="C357" s="2853">
        <v>0.67859999999999998</v>
      </c>
      <c r="D357" s="2853">
        <v>0.622</v>
      </c>
      <c r="E357" s="2853">
        <v>0.622</v>
      </c>
      <c r="F357" s="2853">
        <v>0.622</v>
      </c>
      <c r="G357" s="2853">
        <v>0.50309999999999999</v>
      </c>
      <c r="H357" s="2853">
        <v>0.50309999999999999</v>
      </c>
      <c r="I357" s="2853">
        <v>0.4234</v>
      </c>
      <c r="J357" s="2853">
        <v>0.4234</v>
      </c>
      <c r="K357" s="2853">
        <v>0.4234</v>
      </c>
      <c r="L357" s="2853">
        <v>0.4234</v>
      </c>
      <c r="M357" s="2854">
        <v>0.4234</v>
      </c>
    </row>
    <row r="358" spans="1:13">
      <c r="A358" s="2852">
        <v>8.9</v>
      </c>
      <c r="B358" s="2853">
        <v>0.67730000000000001</v>
      </c>
      <c r="C358" s="2853">
        <v>0.67730000000000001</v>
      </c>
      <c r="D358" s="2853">
        <v>0.62029999999999996</v>
      </c>
      <c r="E358" s="2853">
        <v>0.62029999999999996</v>
      </c>
      <c r="F358" s="2853">
        <v>0.62029999999999996</v>
      </c>
      <c r="G358" s="2853">
        <v>0.50119999999999998</v>
      </c>
      <c r="H358" s="2853">
        <v>0.50119999999999998</v>
      </c>
      <c r="I358" s="2853">
        <v>0.42149999999999999</v>
      </c>
      <c r="J358" s="2853">
        <v>0.42149999999999999</v>
      </c>
      <c r="K358" s="2853">
        <v>0.42149999999999999</v>
      </c>
      <c r="L358" s="2853">
        <v>0.42149999999999999</v>
      </c>
      <c r="M358" s="2854">
        <v>0.42149999999999999</v>
      </c>
    </row>
    <row r="359" spans="1:13">
      <c r="A359" s="2855">
        <v>9</v>
      </c>
      <c r="B359" s="2853">
        <v>0.67600000000000005</v>
      </c>
      <c r="C359" s="2853">
        <v>0.67600000000000005</v>
      </c>
      <c r="D359" s="2853">
        <v>0.61870000000000003</v>
      </c>
      <c r="E359" s="2853">
        <v>0.61870000000000003</v>
      </c>
      <c r="F359" s="2853">
        <v>0.61870000000000003</v>
      </c>
      <c r="G359" s="2853">
        <v>0.49930000000000002</v>
      </c>
      <c r="H359" s="2853">
        <v>0.49930000000000002</v>
      </c>
      <c r="I359" s="2853">
        <v>0.41949999999999998</v>
      </c>
      <c r="J359" s="2853">
        <v>0.41949999999999998</v>
      </c>
      <c r="K359" s="2853">
        <v>0.41949999999999998</v>
      </c>
      <c r="L359" s="2853">
        <v>0.41949999999999998</v>
      </c>
      <c r="M359" s="2854">
        <v>0.41949999999999998</v>
      </c>
    </row>
    <row r="360" spans="1:13">
      <c r="A360" s="2855">
        <v>9.1</v>
      </c>
      <c r="B360" s="2853">
        <v>0.67469999999999997</v>
      </c>
      <c r="C360" s="2853">
        <v>0.67469999999999997</v>
      </c>
      <c r="D360" s="2853">
        <v>0.61709999999999998</v>
      </c>
      <c r="E360" s="2853">
        <v>0.61709999999999998</v>
      </c>
      <c r="F360" s="2853">
        <v>0.61709999999999998</v>
      </c>
      <c r="G360" s="2853">
        <v>0.49740000000000001</v>
      </c>
      <c r="H360" s="2853">
        <v>0.49740000000000001</v>
      </c>
      <c r="I360" s="2853">
        <v>0.41760000000000003</v>
      </c>
      <c r="J360" s="2853">
        <v>0.41760000000000003</v>
      </c>
      <c r="K360" s="2853">
        <v>0.41760000000000003</v>
      </c>
      <c r="L360" s="2853">
        <v>0.41760000000000003</v>
      </c>
      <c r="M360" s="2854">
        <v>0.41760000000000003</v>
      </c>
    </row>
    <row r="361" spans="1:13">
      <c r="A361" s="2855">
        <v>9.1999999999999993</v>
      </c>
      <c r="B361" s="2853">
        <v>0.6734</v>
      </c>
      <c r="C361" s="2853">
        <v>0.6734</v>
      </c>
      <c r="D361" s="2853">
        <v>0.61550000000000005</v>
      </c>
      <c r="E361" s="2853">
        <v>0.61550000000000005</v>
      </c>
      <c r="F361" s="2853">
        <v>0.61550000000000005</v>
      </c>
      <c r="G361" s="2853">
        <v>0.49559999999999998</v>
      </c>
      <c r="H361" s="2853">
        <v>0.49559999999999998</v>
      </c>
      <c r="I361" s="2853">
        <v>0.41570000000000001</v>
      </c>
      <c r="J361" s="2853">
        <v>0.41570000000000001</v>
      </c>
      <c r="K361" s="2853">
        <v>0.41570000000000001</v>
      </c>
      <c r="L361" s="2853">
        <v>0.41570000000000001</v>
      </c>
      <c r="M361" s="2854">
        <v>0.41570000000000001</v>
      </c>
    </row>
    <row r="362" spans="1:13">
      <c r="A362" s="2855">
        <v>9.3000000000000007</v>
      </c>
      <c r="B362" s="2853">
        <v>0.67210000000000003</v>
      </c>
      <c r="C362" s="2853">
        <v>0.67210000000000003</v>
      </c>
      <c r="D362" s="2853">
        <v>0.6139</v>
      </c>
      <c r="E362" s="2853">
        <v>0.6139</v>
      </c>
      <c r="F362" s="2853">
        <v>0.6139</v>
      </c>
      <c r="G362" s="2853">
        <v>0.49380000000000002</v>
      </c>
      <c r="H362" s="2853">
        <v>0.49380000000000002</v>
      </c>
      <c r="I362" s="2853">
        <v>0.4138</v>
      </c>
      <c r="J362" s="2853">
        <v>0.4138</v>
      </c>
      <c r="K362" s="2853">
        <v>0.4138</v>
      </c>
      <c r="L362" s="2853">
        <v>0.4138</v>
      </c>
      <c r="M362" s="2854">
        <v>0.4138</v>
      </c>
    </row>
    <row r="363" spans="1:13">
      <c r="A363" s="2855">
        <v>9.4</v>
      </c>
      <c r="B363" s="2853">
        <v>0.67079999999999995</v>
      </c>
      <c r="C363" s="2853">
        <v>0.67079999999999995</v>
      </c>
      <c r="D363" s="2853">
        <v>0.61229999999999996</v>
      </c>
      <c r="E363" s="2853">
        <v>0.61229999999999996</v>
      </c>
      <c r="F363" s="2853">
        <v>0.61229999999999996</v>
      </c>
      <c r="G363" s="2853">
        <v>0.49199999999999999</v>
      </c>
      <c r="H363" s="2853">
        <v>0.49199999999999999</v>
      </c>
      <c r="I363" s="2853">
        <v>0.41189999999999999</v>
      </c>
      <c r="J363" s="2853">
        <v>0.41189999999999999</v>
      </c>
      <c r="K363" s="2853">
        <v>0.41189999999999999</v>
      </c>
      <c r="L363" s="2853">
        <v>0.41189999999999999</v>
      </c>
      <c r="M363" s="2854">
        <v>0.41189999999999999</v>
      </c>
    </row>
    <row r="364" spans="1:13">
      <c r="A364" s="2855">
        <v>9.5</v>
      </c>
      <c r="B364" s="2853">
        <v>0.66959999999999997</v>
      </c>
      <c r="C364" s="2853">
        <v>0.66959999999999997</v>
      </c>
      <c r="D364" s="2853">
        <v>0.61070000000000002</v>
      </c>
      <c r="E364" s="2853">
        <v>0.61070000000000002</v>
      </c>
      <c r="F364" s="2853">
        <v>0.61070000000000002</v>
      </c>
      <c r="G364" s="2853">
        <v>0.49020000000000002</v>
      </c>
      <c r="H364" s="2853">
        <v>0.49020000000000002</v>
      </c>
      <c r="I364" s="2853">
        <v>0.41</v>
      </c>
      <c r="J364" s="2853">
        <v>0.41</v>
      </c>
      <c r="K364" s="2853">
        <v>0.41</v>
      </c>
      <c r="L364" s="2853">
        <v>0.41</v>
      </c>
      <c r="M364" s="2854">
        <v>0.41</v>
      </c>
    </row>
    <row r="365" spans="1:13">
      <c r="A365" s="2855">
        <v>9.6</v>
      </c>
      <c r="B365" s="2853">
        <v>0.66839999999999999</v>
      </c>
      <c r="C365" s="2853">
        <v>0.66839999999999999</v>
      </c>
      <c r="D365" s="2853">
        <v>0.60909999999999997</v>
      </c>
      <c r="E365" s="2853">
        <v>0.60909999999999997</v>
      </c>
      <c r="F365" s="2853">
        <v>0.60909999999999997</v>
      </c>
      <c r="G365" s="2853">
        <v>0.4884</v>
      </c>
      <c r="H365" s="2853">
        <v>0.4884</v>
      </c>
      <c r="I365" s="2853">
        <v>0.40810000000000002</v>
      </c>
      <c r="J365" s="2853">
        <v>0.40810000000000002</v>
      </c>
      <c r="K365" s="2853">
        <v>0.40810000000000002</v>
      </c>
      <c r="L365" s="2853">
        <v>0.40810000000000002</v>
      </c>
      <c r="M365" s="2854">
        <v>0.40810000000000002</v>
      </c>
    </row>
    <row r="366" spans="1:13">
      <c r="A366" s="2855">
        <v>9.6999999999999993</v>
      </c>
      <c r="B366" s="2853">
        <v>0.66720000000000002</v>
      </c>
      <c r="C366" s="2853">
        <v>0.66720000000000002</v>
      </c>
      <c r="D366" s="2853">
        <v>0.60750000000000004</v>
      </c>
      <c r="E366" s="2853">
        <v>0.60750000000000004</v>
      </c>
      <c r="F366" s="2853">
        <v>0.60750000000000004</v>
      </c>
      <c r="G366" s="2853">
        <v>0.48659999999999998</v>
      </c>
      <c r="H366" s="2853">
        <v>0.48659999999999998</v>
      </c>
      <c r="I366" s="2853">
        <v>0.40620000000000001</v>
      </c>
      <c r="J366" s="2853">
        <v>0.40620000000000001</v>
      </c>
      <c r="K366" s="2853">
        <v>0.40620000000000001</v>
      </c>
      <c r="L366" s="2853">
        <v>0.40620000000000001</v>
      </c>
      <c r="M366" s="2854">
        <v>0.40620000000000001</v>
      </c>
    </row>
    <row r="367" spans="1:13">
      <c r="A367" s="2855">
        <v>9.8000000000000007</v>
      </c>
      <c r="B367" s="2853">
        <v>0.66600000000000004</v>
      </c>
      <c r="C367" s="2853">
        <v>0.66600000000000004</v>
      </c>
      <c r="D367" s="2853">
        <v>0.60599999999999998</v>
      </c>
      <c r="E367" s="2853">
        <v>0.60599999999999998</v>
      </c>
      <c r="F367" s="2853">
        <v>0.60599999999999998</v>
      </c>
      <c r="G367" s="2853">
        <v>0.48480000000000001</v>
      </c>
      <c r="H367" s="2853">
        <v>0.48480000000000001</v>
      </c>
      <c r="I367" s="2853">
        <v>0.40429999999999999</v>
      </c>
      <c r="J367" s="2853">
        <v>0.40429999999999999</v>
      </c>
      <c r="K367" s="2853">
        <v>0.40429999999999999</v>
      </c>
      <c r="L367" s="2853">
        <v>0.40429999999999999</v>
      </c>
      <c r="M367" s="2854">
        <v>0.40429999999999999</v>
      </c>
    </row>
    <row r="368" spans="1:13" ht="14.25" thickBot="1">
      <c r="A368" s="2856">
        <v>9.9</v>
      </c>
      <c r="B368" s="2857">
        <v>0.66479999999999995</v>
      </c>
      <c r="C368" s="2857">
        <v>0.66479999999999995</v>
      </c>
      <c r="D368" s="2857">
        <v>0.60450000000000004</v>
      </c>
      <c r="E368" s="2857">
        <v>0.60450000000000004</v>
      </c>
      <c r="F368" s="2857">
        <v>0.60450000000000004</v>
      </c>
      <c r="G368" s="2857">
        <v>0.48299999999999998</v>
      </c>
      <c r="H368" s="2857">
        <v>0.48299999999999998</v>
      </c>
      <c r="I368" s="2857">
        <v>0.40239999999999998</v>
      </c>
      <c r="J368" s="2857">
        <v>0.40239999999999998</v>
      </c>
      <c r="K368" s="2857">
        <v>0.40239999999999998</v>
      </c>
      <c r="L368" s="2857">
        <v>0.40239999999999998</v>
      </c>
      <c r="M368" s="2858">
        <v>0.40239999999999998</v>
      </c>
    </row>
    <row r="369" spans="1:20" ht="15" thickBot="1">
      <c r="A369" s="2846" t="s">
        <v>2801</v>
      </c>
      <c r="B369" s="2859"/>
      <c r="C369" s="2859"/>
      <c r="D369" s="2859"/>
      <c r="E369" s="2859"/>
      <c r="F369" s="2859"/>
      <c r="G369" s="2859"/>
      <c r="H369" s="2859"/>
      <c r="I369" s="2859"/>
      <c r="J369" s="2859"/>
      <c r="K369" s="2859"/>
      <c r="L369" s="2859"/>
      <c r="M369" s="2859"/>
    </row>
    <row r="370" spans="1:20">
      <c r="A370" s="2847" t="s">
        <v>2797</v>
      </c>
      <c r="B370" s="2848" t="s">
        <v>2593</v>
      </c>
      <c r="C370" s="2848" t="s">
        <v>2594</v>
      </c>
      <c r="D370" s="2848" t="s">
        <v>2595</v>
      </c>
      <c r="E370" s="2848" t="s">
        <v>2596</v>
      </c>
      <c r="F370" s="2848" t="s">
        <v>2597</v>
      </c>
      <c r="G370" s="2848" t="s">
        <v>2598</v>
      </c>
      <c r="H370" s="2849" t="s">
        <v>2599</v>
      </c>
      <c r="I370" s="2849" t="s">
        <v>2600</v>
      </c>
      <c r="J370" s="2850" t="s">
        <v>2601</v>
      </c>
      <c r="K370" s="2850" t="s">
        <v>2602</v>
      </c>
      <c r="L370" s="2850" t="s">
        <v>2603</v>
      </c>
      <c r="M370" s="2851" t="s">
        <v>2604</v>
      </c>
      <c r="N370">
        <f>SUMPRODUCT((A371:A460=ROUNDDOWN(基准地价修正!G3,1))*(B370:M370=基准地价修正!G2)*(B371:M460))</f>
        <v>0.95120000000000005</v>
      </c>
      <c r="Q370" s="2861" t="s">
        <v>2802</v>
      </c>
      <c r="R370" s="2861" t="s">
        <v>2803</v>
      </c>
      <c r="S370" s="2861" t="s">
        <v>2804</v>
      </c>
      <c r="T370" s="2861" t="s">
        <v>2805</v>
      </c>
    </row>
    <row r="371" spans="1:20">
      <c r="A371" s="2852">
        <v>1</v>
      </c>
      <c r="B371" s="2853">
        <v>1.1839999999999999</v>
      </c>
      <c r="C371" s="2853">
        <v>1.1839999999999999</v>
      </c>
      <c r="D371" s="2853">
        <v>1.1565000000000001</v>
      </c>
      <c r="E371" s="2853">
        <v>1.1565000000000001</v>
      </c>
      <c r="F371" s="2853">
        <v>1.1565000000000001</v>
      </c>
      <c r="G371" s="2853">
        <v>1.1565000000000001</v>
      </c>
      <c r="H371" s="2853">
        <v>1.1565000000000001</v>
      </c>
      <c r="I371" s="2853">
        <v>1.1198999999999999</v>
      </c>
      <c r="J371" s="2853">
        <v>1.1198999999999999</v>
      </c>
      <c r="K371" s="2853">
        <v>1.1198999999999999</v>
      </c>
      <c r="L371" s="2853">
        <v>1.1198999999999999</v>
      </c>
      <c r="M371" s="2854">
        <v>1.1198999999999999</v>
      </c>
      <c r="Q371" s="2861">
        <v>10</v>
      </c>
      <c r="R371" s="2861">
        <f>ROUND(0.9404-0.0106*Q371,4)</f>
        <v>0.83440000000000003</v>
      </c>
      <c r="S371" s="2861">
        <f>ROUND(0.8955-0.0135*Q371,4)</f>
        <v>0.76049999999999995</v>
      </c>
      <c r="T371" s="2861">
        <f>ROUND(0.7632-0.0166*Q371,4)</f>
        <v>0.59719999999999995</v>
      </c>
    </row>
    <row r="372" spans="1:20">
      <c r="A372" s="2852">
        <v>1.1000000000000001</v>
      </c>
      <c r="B372" s="2853">
        <v>1.1658999999999999</v>
      </c>
      <c r="C372" s="2853">
        <v>1.1658999999999999</v>
      </c>
      <c r="D372" s="2853">
        <v>1.1364000000000001</v>
      </c>
      <c r="E372" s="2853">
        <v>1.1364000000000001</v>
      </c>
      <c r="F372" s="2853">
        <v>1.1364000000000001</v>
      </c>
      <c r="G372" s="2853">
        <v>1.1364000000000001</v>
      </c>
      <c r="H372" s="2853">
        <v>1.1364000000000001</v>
      </c>
      <c r="I372" s="2853">
        <v>1.0931</v>
      </c>
      <c r="J372" s="2853">
        <v>1.0931</v>
      </c>
      <c r="K372" s="2853">
        <v>1.0931</v>
      </c>
      <c r="L372" s="2853">
        <v>1.0931</v>
      </c>
      <c r="M372" s="2854">
        <v>1.0931</v>
      </c>
    </row>
    <row r="373" spans="1:20">
      <c r="A373" s="2852">
        <v>1.2</v>
      </c>
      <c r="B373" s="2853">
        <v>1.1489</v>
      </c>
      <c r="C373" s="2853">
        <v>1.1489</v>
      </c>
      <c r="D373" s="2853">
        <v>1.1174999999999999</v>
      </c>
      <c r="E373" s="2853">
        <v>1.1174999999999999</v>
      </c>
      <c r="F373" s="2853">
        <v>1.1174999999999999</v>
      </c>
      <c r="G373" s="2853">
        <v>1.1174999999999999</v>
      </c>
      <c r="H373" s="2853">
        <v>1.1174999999999999</v>
      </c>
      <c r="I373" s="2853">
        <v>1.0678000000000001</v>
      </c>
      <c r="J373" s="2853">
        <v>1.0678000000000001</v>
      </c>
      <c r="K373" s="2853">
        <v>1.0678000000000001</v>
      </c>
      <c r="L373" s="2853">
        <v>1.0678000000000001</v>
      </c>
      <c r="M373" s="2854">
        <v>1.0678000000000001</v>
      </c>
    </row>
    <row r="374" spans="1:20">
      <c r="A374" s="2852">
        <v>1.3</v>
      </c>
      <c r="B374" s="2853">
        <v>1.1328</v>
      </c>
      <c r="C374" s="2853">
        <v>1.1328</v>
      </c>
      <c r="D374" s="2853">
        <v>1.0995999999999999</v>
      </c>
      <c r="E374" s="2853">
        <v>1.0995999999999999</v>
      </c>
      <c r="F374" s="2853">
        <v>1.0995999999999999</v>
      </c>
      <c r="G374" s="2853">
        <v>1.0995999999999999</v>
      </c>
      <c r="H374" s="2853">
        <v>1.0995999999999999</v>
      </c>
      <c r="I374" s="2853">
        <v>1.044</v>
      </c>
      <c r="J374" s="2853">
        <v>1.044</v>
      </c>
      <c r="K374" s="2853">
        <v>1.044</v>
      </c>
      <c r="L374" s="2853">
        <v>1.044</v>
      </c>
      <c r="M374" s="2854">
        <v>1.044</v>
      </c>
    </row>
    <row r="375" spans="1:20">
      <c r="A375" s="2852">
        <v>1.4</v>
      </c>
      <c r="B375" s="2853">
        <v>1.1175999999999999</v>
      </c>
      <c r="C375" s="2853">
        <v>1.1175999999999999</v>
      </c>
      <c r="D375" s="2853">
        <v>1.0827</v>
      </c>
      <c r="E375" s="2853">
        <v>1.0827</v>
      </c>
      <c r="F375" s="2853">
        <v>1.0827</v>
      </c>
      <c r="G375" s="2853">
        <v>1.0827</v>
      </c>
      <c r="H375" s="2853">
        <v>1.0827</v>
      </c>
      <c r="I375" s="2853">
        <v>1.0214000000000001</v>
      </c>
      <c r="J375" s="2853">
        <v>1.0214000000000001</v>
      </c>
      <c r="K375" s="2853">
        <v>1.0214000000000001</v>
      </c>
      <c r="L375" s="2853">
        <v>1.0214000000000001</v>
      </c>
      <c r="M375" s="2854">
        <v>1.0214000000000001</v>
      </c>
    </row>
    <row r="376" spans="1:20">
      <c r="A376" s="2852">
        <v>1.5</v>
      </c>
      <c r="B376" s="2853">
        <v>1.1032999999999999</v>
      </c>
      <c r="C376" s="2853">
        <v>1.1032999999999999</v>
      </c>
      <c r="D376" s="2853">
        <v>1.0668</v>
      </c>
      <c r="E376" s="2853">
        <v>1.0668</v>
      </c>
      <c r="F376" s="2853">
        <v>1.0668</v>
      </c>
      <c r="G376" s="2853">
        <v>1.0668</v>
      </c>
      <c r="H376" s="2853">
        <v>1.0668</v>
      </c>
      <c r="I376" s="2853">
        <v>1</v>
      </c>
      <c r="J376" s="2853">
        <v>1</v>
      </c>
      <c r="K376" s="2853">
        <v>1</v>
      </c>
      <c r="L376" s="2853">
        <v>1</v>
      </c>
      <c r="M376" s="2854">
        <v>1</v>
      </c>
    </row>
    <row r="377" spans="1:20">
      <c r="A377" s="2852">
        <v>1.6</v>
      </c>
      <c r="B377" s="2853">
        <v>1.0899000000000001</v>
      </c>
      <c r="C377" s="2853">
        <v>1.0899000000000001</v>
      </c>
      <c r="D377" s="2853">
        <v>1.0517000000000001</v>
      </c>
      <c r="E377" s="2853">
        <v>1.0517000000000001</v>
      </c>
      <c r="F377" s="2853">
        <v>1.0517000000000001</v>
      </c>
      <c r="G377" s="2853">
        <v>1.0517000000000001</v>
      </c>
      <c r="H377" s="2853">
        <v>1.0517000000000001</v>
      </c>
      <c r="I377" s="2853">
        <v>0.97989999999999999</v>
      </c>
      <c r="J377" s="2853">
        <v>0.97989999999999999</v>
      </c>
      <c r="K377" s="2853">
        <v>0.97989999999999999</v>
      </c>
      <c r="L377" s="2853">
        <v>0.97989999999999999</v>
      </c>
      <c r="M377" s="2854">
        <v>0.97989999999999999</v>
      </c>
    </row>
    <row r="378" spans="1:20">
      <c r="A378" s="2852">
        <v>1.7</v>
      </c>
      <c r="B378" s="2853">
        <v>1.0771999999999999</v>
      </c>
      <c r="C378" s="2853">
        <v>1.0771999999999999</v>
      </c>
      <c r="D378" s="2853">
        <v>1.0376000000000001</v>
      </c>
      <c r="E378" s="2853">
        <v>1.0376000000000001</v>
      </c>
      <c r="F378" s="2853">
        <v>1.0376000000000001</v>
      </c>
      <c r="G378" s="2853">
        <v>1.0376000000000001</v>
      </c>
      <c r="H378" s="2853">
        <v>1.0376000000000001</v>
      </c>
      <c r="I378" s="2853">
        <v>0.96089999999999998</v>
      </c>
      <c r="J378" s="2853">
        <v>0.96089999999999998</v>
      </c>
      <c r="K378" s="2853">
        <v>0.96089999999999998</v>
      </c>
      <c r="L378" s="2853">
        <v>0.96089999999999998</v>
      </c>
      <c r="M378" s="2854">
        <v>0.96089999999999998</v>
      </c>
    </row>
    <row r="379" spans="1:20">
      <c r="A379" s="2852">
        <v>1.8</v>
      </c>
      <c r="B379" s="2853">
        <v>1.0652999999999999</v>
      </c>
      <c r="C379" s="2853">
        <v>1.0652999999999999</v>
      </c>
      <c r="D379" s="2853">
        <v>1.0243</v>
      </c>
      <c r="E379" s="2853">
        <v>1.0243</v>
      </c>
      <c r="F379" s="2853">
        <v>1.0243</v>
      </c>
      <c r="G379" s="2853">
        <v>1.0243</v>
      </c>
      <c r="H379" s="2853">
        <v>1.0243</v>
      </c>
      <c r="I379" s="2853">
        <v>0.94299999999999995</v>
      </c>
      <c r="J379" s="2853">
        <v>0.94299999999999995</v>
      </c>
      <c r="K379" s="2853">
        <v>0.94299999999999995</v>
      </c>
      <c r="L379" s="2853">
        <v>0.94299999999999995</v>
      </c>
      <c r="M379" s="2854">
        <v>0.94299999999999995</v>
      </c>
    </row>
    <row r="380" spans="1:20">
      <c r="A380" s="2852">
        <v>1.9</v>
      </c>
      <c r="B380" s="2853">
        <v>1.054</v>
      </c>
      <c r="C380" s="2853">
        <v>1.054</v>
      </c>
      <c r="D380" s="2853">
        <v>1.0118</v>
      </c>
      <c r="E380" s="2853">
        <v>1.0118</v>
      </c>
      <c r="F380" s="2853">
        <v>1.0118</v>
      </c>
      <c r="G380" s="2853">
        <v>1.0118</v>
      </c>
      <c r="H380" s="2853">
        <v>1.0118</v>
      </c>
      <c r="I380" s="2853">
        <v>0.92620000000000002</v>
      </c>
      <c r="J380" s="2853">
        <v>0.92620000000000002</v>
      </c>
      <c r="K380" s="2853">
        <v>0.92620000000000002</v>
      </c>
      <c r="L380" s="2853">
        <v>0.92620000000000002</v>
      </c>
      <c r="M380" s="2854">
        <v>0.92620000000000002</v>
      </c>
    </row>
    <row r="381" spans="1:20">
      <c r="A381" s="2852">
        <v>2</v>
      </c>
      <c r="B381" s="2853">
        <v>1.0435000000000001</v>
      </c>
      <c r="C381" s="2853">
        <v>1.0435000000000001</v>
      </c>
      <c r="D381" s="2853">
        <v>1</v>
      </c>
      <c r="E381" s="2853">
        <v>1</v>
      </c>
      <c r="F381" s="2853">
        <v>1</v>
      </c>
      <c r="G381" s="2853">
        <v>1</v>
      </c>
      <c r="H381" s="2853">
        <v>1</v>
      </c>
      <c r="I381" s="2853">
        <v>0.9103</v>
      </c>
      <c r="J381" s="2853">
        <v>0.9103</v>
      </c>
      <c r="K381" s="2853">
        <v>0.9103</v>
      </c>
      <c r="L381" s="2853">
        <v>0.9103</v>
      </c>
      <c r="M381" s="2854">
        <v>0.9103</v>
      </c>
    </row>
    <row r="382" spans="1:20">
      <c r="A382" s="2855">
        <v>2.1</v>
      </c>
      <c r="B382" s="2853">
        <v>1.0336000000000001</v>
      </c>
      <c r="C382" s="2853">
        <v>1.0336000000000001</v>
      </c>
      <c r="D382" s="2853">
        <v>0.98899999999999999</v>
      </c>
      <c r="E382" s="2853">
        <v>0.98899999999999999</v>
      </c>
      <c r="F382" s="2853">
        <v>0.98899999999999999</v>
      </c>
      <c r="G382" s="2853">
        <v>0.98899999999999999</v>
      </c>
      <c r="H382" s="2853">
        <v>0.98899999999999999</v>
      </c>
      <c r="I382" s="2853">
        <v>0.89539999999999997</v>
      </c>
      <c r="J382" s="2853">
        <v>0.89539999999999997</v>
      </c>
      <c r="K382" s="2853">
        <v>0.89539999999999997</v>
      </c>
      <c r="L382" s="2853">
        <v>0.89539999999999997</v>
      </c>
      <c r="M382" s="2854">
        <v>0.89539999999999997</v>
      </c>
    </row>
    <row r="383" spans="1:20">
      <c r="A383" s="2855">
        <v>2.2000000000000002</v>
      </c>
      <c r="B383" s="2853">
        <v>1.0243</v>
      </c>
      <c r="C383" s="2853">
        <v>1.0243</v>
      </c>
      <c r="D383" s="2853">
        <v>0.97860000000000003</v>
      </c>
      <c r="E383" s="2853">
        <v>0.97860000000000003</v>
      </c>
      <c r="F383" s="2853">
        <v>0.97860000000000003</v>
      </c>
      <c r="G383" s="2853">
        <v>0.97860000000000003</v>
      </c>
      <c r="H383" s="2853">
        <v>0.97860000000000003</v>
      </c>
      <c r="I383" s="2853">
        <v>0.88139999999999996</v>
      </c>
      <c r="J383" s="2853">
        <v>0.88139999999999996</v>
      </c>
      <c r="K383" s="2853">
        <v>0.88139999999999996</v>
      </c>
      <c r="L383" s="2853">
        <v>0.88139999999999996</v>
      </c>
      <c r="M383" s="2854">
        <v>0.88139999999999996</v>
      </c>
    </row>
    <row r="384" spans="1:20">
      <c r="A384" s="2855">
        <v>2.2999999999999998</v>
      </c>
      <c r="B384" s="2853">
        <v>1.0157</v>
      </c>
      <c r="C384" s="2853">
        <v>1.0157</v>
      </c>
      <c r="D384" s="2853">
        <v>0.96889999999999998</v>
      </c>
      <c r="E384" s="2853">
        <v>0.96889999999999998</v>
      </c>
      <c r="F384" s="2853">
        <v>0.96889999999999998</v>
      </c>
      <c r="G384" s="2853">
        <v>0.96889999999999998</v>
      </c>
      <c r="H384" s="2853">
        <v>0.96889999999999998</v>
      </c>
      <c r="I384" s="2853">
        <v>0.86819999999999997</v>
      </c>
      <c r="J384" s="2853">
        <v>0.86819999999999997</v>
      </c>
      <c r="K384" s="2853">
        <v>0.86819999999999997</v>
      </c>
      <c r="L384" s="2853">
        <v>0.86819999999999997</v>
      </c>
      <c r="M384" s="2854">
        <v>0.86819999999999997</v>
      </c>
    </row>
    <row r="385" spans="1:13">
      <c r="A385" s="2855">
        <v>2.4</v>
      </c>
      <c r="B385" s="2853">
        <v>1.0076000000000001</v>
      </c>
      <c r="C385" s="2853">
        <v>1.0076000000000001</v>
      </c>
      <c r="D385" s="2853">
        <v>0.95979999999999999</v>
      </c>
      <c r="E385" s="2853">
        <v>0.95979999999999999</v>
      </c>
      <c r="F385" s="2853">
        <v>0.95979999999999999</v>
      </c>
      <c r="G385" s="2853">
        <v>0.95979999999999999</v>
      </c>
      <c r="H385" s="2853">
        <v>0.95979999999999999</v>
      </c>
      <c r="I385" s="2853">
        <v>0.85580000000000001</v>
      </c>
      <c r="J385" s="2853">
        <v>0.85580000000000001</v>
      </c>
      <c r="K385" s="2853">
        <v>0.85580000000000001</v>
      </c>
      <c r="L385" s="2853">
        <v>0.85580000000000001</v>
      </c>
      <c r="M385" s="2854">
        <v>0.85580000000000001</v>
      </c>
    </row>
    <row r="386" spans="1:13">
      <c r="A386" s="2855">
        <v>2.5</v>
      </c>
      <c r="B386" s="2853">
        <v>1</v>
      </c>
      <c r="C386" s="2853">
        <v>1</v>
      </c>
      <c r="D386" s="2853">
        <v>0.95120000000000005</v>
      </c>
      <c r="E386" s="2853">
        <v>0.95120000000000005</v>
      </c>
      <c r="F386" s="2853">
        <v>0.95120000000000005</v>
      </c>
      <c r="G386" s="2853">
        <v>0.95120000000000005</v>
      </c>
      <c r="H386" s="2853">
        <v>0.95120000000000005</v>
      </c>
      <c r="I386" s="2853">
        <v>0.84419999999999995</v>
      </c>
      <c r="J386" s="2853">
        <v>0.84419999999999995</v>
      </c>
      <c r="K386" s="2853">
        <v>0.84419999999999995</v>
      </c>
      <c r="L386" s="2853">
        <v>0.84419999999999995</v>
      </c>
      <c r="M386" s="2854">
        <v>0.84419999999999995</v>
      </c>
    </row>
    <row r="387" spans="1:13">
      <c r="A387" s="2855">
        <v>2.6</v>
      </c>
      <c r="B387" s="2853">
        <v>0.9929</v>
      </c>
      <c r="C387" s="2853">
        <v>0.9929</v>
      </c>
      <c r="D387" s="2853">
        <v>0.94320000000000004</v>
      </c>
      <c r="E387" s="2853">
        <v>0.94320000000000004</v>
      </c>
      <c r="F387" s="2853">
        <v>0.94320000000000004</v>
      </c>
      <c r="G387" s="2853">
        <v>0.94320000000000004</v>
      </c>
      <c r="H387" s="2853">
        <v>0.94320000000000004</v>
      </c>
      <c r="I387" s="2853">
        <v>0.83330000000000004</v>
      </c>
      <c r="J387" s="2853">
        <v>0.83330000000000004</v>
      </c>
      <c r="K387" s="2853">
        <v>0.83330000000000004</v>
      </c>
      <c r="L387" s="2853">
        <v>0.83330000000000004</v>
      </c>
      <c r="M387" s="2854">
        <v>0.83330000000000004</v>
      </c>
    </row>
    <row r="388" spans="1:13">
      <c r="A388" s="2855">
        <v>2.7</v>
      </c>
      <c r="B388" s="2853">
        <v>0.98629999999999995</v>
      </c>
      <c r="C388" s="2853">
        <v>0.98629999999999995</v>
      </c>
      <c r="D388" s="2853">
        <v>0.93569999999999998</v>
      </c>
      <c r="E388" s="2853">
        <v>0.93569999999999998</v>
      </c>
      <c r="F388" s="2853">
        <v>0.93569999999999998</v>
      </c>
      <c r="G388" s="2853">
        <v>0.93569999999999998</v>
      </c>
      <c r="H388" s="2853">
        <v>0.93569999999999998</v>
      </c>
      <c r="I388" s="2853">
        <v>0.82320000000000004</v>
      </c>
      <c r="J388" s="2853">
        <v>0.82320000000000004</v>
      </c>
      <c r="K388" s="2853">
        <v>0.82320000000000004</v>
      </c>
      <c r="L388" s="2853">
        <v>0.82320000000000004</v>
      </c>
      <c r="M388" s="2854">
        <v>0.82320000000000004</v>
      </c>
    </row>
    <row r="389" spans="1:13">
      <c r="A389" s="2855">
        <v>2.8</v>
      </c>
      <c r="B389" s="2853">
        <v>0.98009999999999997</v>
      </c>
      <c r="C389" s="2853">
        <v>0.98009999999999997</v>
      </c>
      <c r="D389" s="2853">
        <v>0.92879999999999996</v>
      </c>
      <c r="E389" s="2853">
        <v>0.92879999999999996</v>
      </c>
      <c r="F389" s="2853">
        <v>0.92879999999999996</v>
      </c>
      <c r="G389" s="2853">
        <v>0.92879999999999996</v>
      </c>
      <c r="H389" s="2853">
        <v>0.92879999999999996</v>
      </c>
      <c r="I389" s="2853">
        <v>0.81359999999999999</v>
      </c>
      <c r="J389" s="2853">
        <v>0.81359999999999999</v>
      </c>
      <c r="K389" s="2853">
        <v>0.81359999999999999</v>
      </c>
      <c r="L389" s="2853">
        <v>0.81359999999999999</v>
      </c>
      <c r="M389" s="2854">
        <v>0.81359999999999999</v>
      </c>
    </row>
    <row r="390" spans="1:13">
      <c r="A390" s="2855">
        <v>2.9</v>
      </c>
      <c r="B390" s="2853">
        <v>0.97430000000000005</v>
      </c>
      <c r="C390" s="2853">
        <v>0.97430000000000005</v>
      </c>
      <c r="D390" s="2853">
        <v>0.92220000000000002</v>
      </c>
      <c r="E390" s="2853">
        <v>0.92220000000000002</v>
      </c>
      <c r="F390" s="2853">
        <v>0.92220000000000002</v>
      </c>
      <c r="G390" s="2853">
        <v>0.92220000000000002</v>
      </c>
      <c r="H390" s="2853">
        <v>0.92220000000000002</v>
      </c>
      <c r="I390" s="2853">
        <v>0.80459999999999998</v>
      </c>
      <c r="J390" s="2853">
        <v>0.80459999999999998</v>
      </c>
      <c r="K390" s="2853">
        <v>0.80459999999999998</v>
      </c>
      <c r="L390" s="2853">
        <v>0.80459999999999998</v>
      </c>
      <c r="M390" s="2854">
        <v>0.80459999999999998</v>
      </c>
    </row>
    <row r="391" spans="1:13">
      <c r="A391" s="2855">
        <v>3</v>
      </c>
      <c r="B391" s="2853">
        <v>0.96889999999999998</v>
      </c>
      <c r="C391" s="2853">
        <v>0.96889999999999998</v>
      </c>
      <c r="D391" s="2853">
        <v>0.91610000000000003</v>
      </c>
      <c r="E391" s="2853">
        <v>0.91610000000000003</v>
      </c>
      <c r="F391" s="2853">
        <v>0.91610000000000003</v>
      </c>
      <c r="G391" s="2853">
        <v>0.91610000000000003</v>
      </c>
      <c r="H391" s="2853">
        <v>0.91610000000000003</v>
      </c>
      <c r="I391" s="2853">
        <v>0.79620000000000002</v>
      </c>
      <c r="J391" s="2853">
        <v>0.79620000000000002</v>
      </c>
      <c r="K391" s="2853">
        <v>0.79620000000000002</v>
      </c>
      <c r="L391" s="2853">
        <v>0.79620000000000002</v>
      </c>
      <c r="M391" s="2854">
        <v>0.79620000000000002</v>
      </c>
    </row>
    <row r="392" spans="1:13">
      <c r="A392" s="2855">
        <v>3.1</v>
      </c>
      <c r="B392" s="2853">
        <v>0.96389999999999998</v>
      </c>
      <c r="C392" s="2853">
        <v>0.96389999999999998</v>
      </c>
      <c r="D392" s="2853">
        <v>0.91039999999999999</v>
      </c>
      <c r="E392" s="2853">
        <v>0.91039999999999999</v>
      </c>
      <c r="F392" s="2853">
        <v>0.91039999999999999</v>
      </c>
      <c r="G392" s="2853">
        <v>0.91039999999999999</v>
      </c>
      <c r="H392" s="2853">
        <v>0.91039999999999999</v>
      </c>
      <c r="I392" s="2853">
        <v>0.7883</v>
      </c>
      <c r="J392" s="2853">
        <v>0.7883</v>
      </c>
      <c r="K392" s="2853">
        <v>0.7883</v>
      </c>
      <c r="L392" s="2853">
        <v>0.7883</v>
      </c>
      <c r="M392" s="2854">
        <v>0.7883</v>
      </c>
    </row>
    <row r="393" spans="1:13">
      <c r="A393" s="2855">
        <v>3.2</v>
      </c>
      <c r="B393" s="2853">
        <v>0.95930000000000004</v>
      </c>
      <c r="C393" s="2853">
        <v>0.95930000000000004</v>
      </c>
      <c r="D393" s="2853">
        <v>0.9052</v>
      </c>
      <c r="E393" s="2853">
        <v>0.9052</v>
      </c>
      <c r="F393" s="2853">
        <v>0.9052</v>
      </c>
      <c r="G393" s="2853">
        <v>0.9052</v>
      </c>
      <c r="H393" s="2853">
        <v>0.9052</v>
      </c>
      <c r="I393" s="2853">
        <v>0.78090000000000004</v>
      </c>
      <c r="J393" s="2853">
        <v>0.78090000000000004</v>
      </c>
      <c r="K393" s="2853">
        <v>0.78090000000000004</v>
      </c>
      <c r="L393" s="2853">
        <v>0.78090000000000004</v>
      </c>
      <c r="M393" s="2854">
        <v>0.78090000000000004</v>
      </c>
    </row>
    <row r="394" spans="1:13">
      <c r="A394" s="2855">
        <v>3.3</v>
      </c>
      <c r="B394" s="2853">
        <v>0.95489999999999997</v>
      </c>
      <c r="C394" s="2853">
        <v>0.95489999999999997</v>
      </c>
      <c r="D394" s="2853">
        <v>0.9002</v>
      </c>
      <c r="E394" s="2853">
        <v>0.9002</v>
      </c>
      <c r="F394" s="2853">
        <v>0.9002</v>
      </c>
      <c r="G394" s="2853">
        <v>0.9002</v>
      </c>
      <c r="H394" s="2853">
        <v>0.9002</v>
      </c>
      <c r="I394" s="2853">
        <v>0.77410000000000001</v>
      </c>
      <c r="J394" s="2853">
        <v>0.77410000000000001</v>
      </c>
      <c r="K394" s="2853">
        <v>0.77410000000000001</v>
      </c>
      <c r="L394" s="2853">
        <v>0.77410000000000001</v>
      </c>
      <c r="M394" s="2854">
        <v>0.77410000000000001</v>
      </c>
    </row>
    <row r="395" spans="1:13">
      <c r="A395" s="2855">
        <v>3.4</v>
      </c>
      <c r="B395" s="2853">
        <v>0.95089999999999997</v>
      </c>
      <c r="C395" s="2853">
        <v>0.95089999999999997</v>
      </c>
      <c r="D395" s="2853">
        <v>0.89559999999999995</v>
      </c>
      <c r="E395" s="2853">
        <v>0.89559999999999995</v>
      </c>
      <c r="F395" s="2853">
        <v>0.89559999999999995</v>
      </c>
      <c r="G395" s="2853">
        <v>0.89559999999999995</v>
      </c>
      <c r="H395" s="2853">
        <v>0.89559999999999995</v>
      </c>
      <c r="I395" s="2853">
        <v>0.76759999999999995</v>
      </c>
      <c r="J395" s="2853">
        <v>0.76759999999999995</v>
      </c>
      <c r="K395" s="2853">
        <v>0.76759999999999995</v>
      </c>
      <c r="L395" s="2853">
        <v>0.76759999999999995</v>
      </c>
      <c r="M395" s="2854">
        <v>0.76759999999999995</v>
      </c>
    </row>
    <row r="396" spans="1:13">
      <c r="A396" s="2855">
        <v>3.5</v>
      </c>
      <c r="B396" s="2853">
        <v>0.94710000000000005</v>
      </c>
      <c r="C396" s="2853">
        <v>0.94710000000000005</v>
      </c>
      <c r="D396" s="2853">
        <v>0.89129999999999998</v>
      </c>
      <c r="E396" s="2853">
        <v>0.89129999999999998</v>
      </c>
      <c r="F396" s="2853">
        <v>0.89129999999999998</v>
      </c>
      <c r="G396" s="2853">
        <v>0.89129999999999998</v>
      </c>
      <c r="H396" s="2853">
        <v>0.89129999999999998</v>
      </c>
      <c r="I396" s="2853">
        <v>0.76160000000000005</v>
      </c>
      <c r="J396" s="2853">
        <v>0.76160000000000005</v>
      </c>
      <c r="K396" s="2853">
        <v>0.76160000000000005</v>
      </c>
      <c r="L396" s="2853">
        <v>0.76160000000000005</v>
      </c>
      <c r="M396" s="2854">
        <v>0.76160000000000005</v>
      </c>
    </row>
    <row r="397" spans="1:13">
      <c r="A397" s="2855">
        <v>3.6</v>
      </c>
      <c r="B397" s="2853">
        <v>0.94359999999999999</v>
      </c>
      <c r="C397" s="2853">
        <v>0.94359999999999999</v>
      </c>
      <c r="D397" s="2853">
        <v>0.88729999999999998</v>
      </c>
      <c r="E397" s="2853">
        <v>0.88729999999999998</v>
      </c>
      <c r="F397" s="2853">
        <v>0.88729999999999998</v>
      </c>
      <c r="G397" s="2853">
        <v>0.88729999999999998</v>
      </c>
      <c r="H397" s="2853">
        <v>0.88729999999999998</v>
      </c>
      <c r="I397" s="2853">
        <v>0.75590000000000002</v>
      </c>
      <c r="J397" s="2853">
        <v>0.75590000000000002</v>
      </c>
      <c r="K397" s="2853">
        <v>0.75590000000000002</v>
      </c>
      <c r="L397" s="2853">
        <v>0.75590000000000002</v>
      </c>
      <c r="M397" s="2854">
        <v>0.75590000000000002</v>
      </c>
    </row>
    <row r="398" spans="1:13">
      <c r="A398" s="2855">
        <v>3.7</v>
      </c>
      <c r="B398" s="2853">
        <v>0.94040000000000001</v>
      </c>
      <c r="C398" s="2853">
        <v>0.94040000000000001</v>
      </c>
      <c r="D398" s="2853">
        <v>0.88349999999999995</v>
      </c>
      <c r="E398" s="2853">
        <v>0.88349999999999995</v>
      </c>
      <c r="F398" s="2853">
        <v>0.88349999999999995</v>
      </c>
      <c r="G398" s="2853">
        <v>0.88349999999999995</v>
      </c>
      <c r="H398" s="2853">
        <v>0.88349999999999995</v>
      </c>
      <c r="I398" s="2853">
        <v>0.75070000000000003</v>
      </c>
      <c r="J398" s="2853">
        <v>0.75070000000000003</v>
      </c>
      <c r="K398" s="2853">
        <v>0.75070000000000003</v>
      </c>
      <c r="L398" s="2853">
        <v>0.75070000000000003</v>
      </c>
      <c r="M398" s="2854">
        <v>0.75070000000000003</v>
      </c>
    </row>
    <row r="399" spans="1:13">
      <c r="A399" s="2855">
        <v>3.8</v>
      </c>
      <c r="B399" s="2853">
        <v>0.93740000000000001</v>
      </c>
      <c r="C399" s="2853">
        <v>0.93740000000000001</v>
      </c>
      <c r="D399" s="2853">
        <v>0.88009999999999999</v>
      </c>
      <c r="E399" s="2853">
        <v>0.88009999999999999</v>
      </c>
      <c r="F399" s="2853">
        <v>0.88009999999999999</v>
      </c>
      <c r="G399" s="2853">
        <v>0.88009999999999999</v>
      </c>
      <c r="H399" s="2853">
        <v>0.88009999999999999</v>
      </c>
      <c r="I399" s="2853">
        <v>0.74570000000000003</v>
      </c>
      <c r="J399" s="2853">
        <v>0.74570000000000003</v>
      </c>
      <c r="K399" s="2853">
        <v>0.74570000000000003</v>
      </c>
      <c r="L399" s="2853">
        <v>0.74570000000000003</v>
      </c>
      <c r="M399" s="2854">
        <v>0.74570000000000003</v>
      </c>
    </row>
    <row r="400" spans="1:13">
      <c r="A400" s="2855">
        <v>3.9</v>
      </c>
      <c r="B400" s="2853">
        <v>0.93459999999999999</v>
      </c>
      <c r="C400" s="2853">
        <v>0.93459999999999999</v>
      </c>
      <c r="D400" s="2853">
        <v>0.87680000000000002</v>
      </c>
      <c r="E400" s="2853">
        <v>0.87680000000000002</v>
      </c>
      <c r="F400" s="2853">
        <v>0.87680000000000002</v>
      </c>
      <c r="G400" s="2853">
        <v>0.87680000000000002</v>
      </c>
      <c r="H400" s="2853">
        <v>0.87680000000000002</v>
      </c>
      <c r="I400" s="2853">
        <v>0.74109999999999998</v>
      </c>
      <c r="J400" s="2853">
        <v>0.74109999999999998</v>
      </c>
      <c r="K400" s="2853">
        <v>0.74109999999999998</v>
      </c>
      <c r="L400" s="2853">
        <v>0.74109999999999998</v>
      </c>
      <c r="M400" s="2854">
        <v>0.74109999999999998</v>
      </c>
    </row>
    <row r="401" spans="1:13">
      <c r="A401" s="2855">
        <v>4</v>
      </c>
      <c r="B401" s="2853">
        <v>0.93179999999999996</v>
      </c>
      <c r="C401" s="2853">
        <v>0.93179999999999996</v>
      </c>
      <c r="D401" s="2853">
        <v>0.87380000000000002</v>
      </c>
      <c r="E401" s="2853">
        <v>0.87380000000000002</v>
      </c>
      <c r="F401" s="2853">
        <v>0.87380000000000002</v>
      </c>
      <c r="G401" s="2853">
        <v>0.87380000000000002</v>
      </c>
      <c r="H401" s="2853">
        <v>0.87380000000000002</v>
      </c>
      <c r="I401" s="2853">
        <v>0.73680000000000001</v>
      </c>
      <c r="J401" s="2853">
        <v>0.73680000000000001</v>
      </c>
      <c r="K401" s="2853">
        <v>0.73680000000000001</v>
      </c>
      <c r="L401" s="2853">
        <v>0.73680000000000001</v>
      </c>
      <c r="M401" s="2854">
        <v>0.73680000000000001</v>
      </c>
    </row>
    <row r="402" spans="1:13">
      <c r="A402" s="2855">
        <v>4.0999999999999996</v>
      </c>
      <c r="B402" s="2853">
        <v>0.92920000000000003</v>
      </c>
      <c r="C402" s="2853">
        <v>0.92920000000000003</v>
      </c>
      <c r="D402" s="2853">
        <v>0.87090000000000001</v>
      </c>
      <c r="E402" s="2853">
        <v>0.87090000000000001</v>
      </c>
      <c r="F402" s="2853">
        <v>0.87090000000000001</v>
      </c>
      <c r="G402" s="2853">
        <v>0.87090000000000001</v>
      </c>
      <c r="H402" s="2853">
        <v>0.87090000000000001</v>
      </c>
      <c r="I402" s="2853">
        <v>0.73270000000000002</v>
      </c>
      <c r="J402" s="2853">
        <v>0.73270000000000002</v>
      </c>
      <c r="K402" s="2853">
        <v>0.73270000000000002</v>
      </c>
      <c r="L402" s="2853">
        <v>0.73270000000000002</v>
      </c>
      <c r="M402" s="2854">
        <v>0.73270000000000002</v>
      </c>
    </row>
    <row r="403" spans="1:13">
      <c r="A403" s="2855">
        <v>4.2</v>
      </c>
      <c r="B403" s="2853">
        <v>0.92659999999999998</v>
      </c>
      <c r="C403" s="2853">
        <v>0.92659999999999998</v>
      </c>
      <c r="D403" s="2853">
        <v>0.86819999999999997</v>
      </c>
      <c r="E403" s="2853">
        <v>0.86819999999999997</v>
      </c>
      <c r="F403" s="2853">
        <v>0.86819999999999997</v>
      </c>
      <c r="G403" s="2853">
        <v>0.86819999999999997</v>
      </c>
      <c r="H403" s="2853">
        <v>0.86819999999999997</v>
      </c>
      <c r="I403" s="2853">
        <v>0.7288</v>
      </c>
      <c r="J403" s="2853">
        <v>0.7288</v>
      </c>
      <c r="K403" s="2853">
        <v>0.7288</v>
      </c>
      <c r="L403" s="2853">
        <v>0.7288</v>
      </c>
      <c r="M403" s="2854">
        <v>0.7288</v>
      </c>
    </row>
    <row r="404" spans="1:13">
      <c r="A404" s="2855">
        <v>4.3</v>
      </c>
      <c r="B404" s="2853">
        <v>0.92410000000000003</v>
      </c>
      <c r="C404" s="2853">
        <v>0.92410000000000003</v>
      </c>
      <c r="D404" s="2853">
        <v>0.86550000000000005</v>
      </c>
      <c r="E404" s="2853">
        <v>0.86550000000000005</v>
      </c>
      <c r="F404" s="2853">
        <v>0.86550000000000005</v>
      </c>
      <c r="G404" s="2853">
        <v>0.86550000000000005</v>
      </c>
      <c r="H404" s="2853">
        <v>0.86550000000000005</v>
      </c>
      <c r="I404" s="2853">
        <v>0.72509999999999997</v>
      </c>
      <c r="J404" s="2853">
        <v>0.72509999999999997</v>
      </c>
      <c r="K404" s="2853">
        <v>0.72509999999999997</v>
      </c>
      <c r="L404" s="2853">
        <v>0.72509999999999997</v>
      </c>
      <c r="M404" s="2854">
        <v>0.72509999999999997</v>
      </c>
    </row>
    <row r="405" spans="1:13">
      <c r="A405" s="2855">
        <v>4.4000000000000004</v>
      </c>
      <c r="B405" s="2853">
        <v>0.92179999999999995</v>
      </c>
      <c r="C405" s="2853">
        <v>0.92179999999999995</v>
      </c>
      <c r="D405" s="2853">
        <v>0.8629</v>
      </c>
      <c r="E405" s="2853">
        <v>0.8629</v>
      </c>
      <c r="F405" s="2853">
        <v>0.8629</v>
      </c>
      <c r="G405" s="2853">
        <v>0.8629</v>
      </c>
      <c r="H405" s="2853">
        <v>0.8629</v>
      </c>
      <c r="I405" s="2853">
        <v>0.72150000000000003</v>
      </c>
      <c r="J405" s="2853">
        <v>0.72150000000000003</v>
      </c>
      <c r="K405" s="2853">
        <v>0.72150000000000003</v>
      </c>
      <c r="L405" s="2853">
        <v>0.72150000000000003</v>
      </c>
      <c r="M405" s="2854">
        <v>0.72150000000000003</v>
      </c>
    </row>
    <row r="406" spans="1:13">
      <c r="A406" s="2855">
        <v>4.5</v>
      </c>
      <c r="B406" s="2853">
        <v>0.91949999999999998</v>
      </c>
      <c r="C406" s="2853">
        <v>0.91949999999999998</v>
      </c>
      <c r="D406" s="2853">
        <v>0.86050000000000004</v>
      </c>
      <c r="E406" s="2853">
        <v>0.86050000000000004</v>
      </c>
      <c r="F406" s="2853">
        <v>0.86050000000000004</v>
      </c>
      <c r="G406" s="2853">
        <v>0.86050000000000004</v>
      </c>
      <c r="H406" s="2853">
        <v>0.86050000000000004</v>
      </c>
      <c r="I406" s="2853">
        <v>0.71819999999999995</v>
      </c>
      <c r="J406" s="2853">
        <v>0.71819999999999995</v>
      </c>
      <c r="K406" s="2853">
        <v>0.71819999999999995</v>
      </c>
      <c r="L406" s="2853">
        <v>0.71819999999999995</v>
      </c>
      <c r="M406" s="2854">
        <v>0.71819999999999995</v>
      </c>
    </row>
    <row r="407" spans="1:13">
      <c r="A407" s="2855">
        <v>4.5999999999999996</v>
      </c>
      <c r="B407" s="2853">
        <v>0.9173</v>
      </c>
      <c r="C407" s="2853">
        <v>0.9173</v>
      </c>
      <c r="D407" s="2853">
        <v>0.85809999999999997</v>
      </c>
      <c r="E407" s="2853">
        <v>0.85809999999999997</v>
      </c>
      <c r="F407" s="2853">
        <v>0.85809999999999997</v>
      </c>
      <c r="G407" s="2853">
        <v>0.85809999999999997</v>
      </c>
      <c r="H407" s="2853">
        <v>0.85809999999999997</v>
      </c>
      <c r="I407" s="2853">
        <v>0.71499999999999997</v>
      </c>
      <c r="J407" s="2853">
        <v>0.71499999999999997</v>
      </c>
      <c r="K407" s="2853">
        <v>0.71499999999999997</v>
      </c>
      <c r="L407" s="2853">
        <v>0.71499999999999997</v>
      </c>
      <c r="M407" s="2854">
        <v>0.71499999999999997</v>
      </c>
    </row>
    <row r="408" spans="1:13">
      <c r="A408" s="2855">
        <v>4.7</v>
      </c>
      <c r="B408" s="2853">
        <v>0.91520000000000001</v>
      </c>
      <c r="C408" s="2853">
        <v>0.91520000000000001</v>
      </c>
      <c r="D408" s="2853">
        <v>0.85570000000000002</v>
      </c>
      <c r="E408" s="2853">
        <v>0.85570000000000002</v>
      </c>
      <c r="F408" s="2853">
        <v>0.85570000000000002</v>
      </c>
      <c r="G408" s="2853">
        <v>0.85570000000000002</v>
      </c>
      <c r="H408" s="2853">
        <v>0.85570000000000002</v>
      </c>
      <c r="I408" s="2853">
        <v>0.71199999999999997</v>
      </c>
      <c r="J408" s="2853">
        <v>0.71199999999999997</v>
      </c>
      <c r="K408" s="2853">
        <v>0.71199999999999997</v>
      </c>
      <c r="L408" s="2853">
        <v>0.71199999999999997</v>
      </c>
      <c r="M408" s="2854">
        <v>0.71199999999999997</v>
      </c>
    </row>
    <row r="409" spans="1:13">
      <c r="A409" s="2855">
        <v>4.8</v>
      </c>
      <c r="B409" s="2853">
        <v>0.91310000000000002</v>
      </c>
      <c r="C409" s="2853">
        <v>0.91310000000000002</v>
      </c>
      <c r="D409" s="2853">
        <v>0.85340000000000005</v>
      </c>
      <c r="E409" s="2853">
        <v>0.85340000000000005</v>
      </c>
      <c r="F409" s="2853">
        <v>0.85340000000000005</v>
      </c>
      <c r="G409" s="2853">
        <v>0.85340000000000005</v>
      </c>
      <c r="H409" s="2853">
        <v>0.85340000000000005</v>
      </c>
      <c r="I409" s="2853">
        <v>0.70909999999999995</v>
      </c>
      <c r="J409" s="2853">
        <v>0.70909999999999995</v>
      </c>
      <c r="K409" s="2853">
        <v>0.70909999999999995</v>
      </c>
      <c r="L409" s="2853">
        <v>0.70909999999999995</v>
      </c>
      <c r="M409" s="2854">
        <v>0.70909999999999995</v>
      </c>
    </row>
    <row r="410" spans="1:13">
      <c r="A410" s="2855">
        <v>4.9000000000000004</v>
      </c>
      <c r="B410" s="2853">
        <v>0.91120000000000001</v>
      </c>
      <c r="C410" s="2853">
        <v>0.91120000000000001</v>
      </c>
      <c r="D410" s="2853">
        <v>0.85109999999999997</v>
      </c>
      <c r="E410" s="2853">
        <v>0.85109999999999997</v>
      </c>
      <c r="F410" s="2853">
        <v>0.85109999999999997</v>
      </c>
      <c r="G410" s="2853">
        <v>0.85109999999999997</v>
      </c>
      <c r="H410" s="2853">
        <v>0.85109999999999997</v>
      </c>
      <c r="I410" s="2853">
        <v>0.70620000000000005</v>
      </c>
      <c r="J410" s="2853">
        <v>0.70620000000000005</v>
      </c>
      <c r="K410" s="2853">
        <v>0.70620000000000005</v>
      </c>
      <c r="L410" s="2853">
        <v>0.70620000000000005</v>
      </c>
      <c r="M410" s="2854">
        <v>0.70620000000000005</v>
      </c>
    </row>
    <row r="411" spans="1:13">
      <c r="A411" s="2855">
        <v>5</v>
      </c>
      <c r="B411" s="2853">
        <v>0.90920000000000001</v>
      </c>
      <c r="C411" s="2853">
        <v>0.90920000000000001</v>
      </c>
      <c r="D411" s="2853">
        <v>0.84889999999999999</v>
      </c>
      <c r="E411" s="2853">
        <v>0.84889999999999999</v>
      </c>
      <c r="F411" s="2853">
        <v>0.84889999999999999</v>
      </c>
      <c r="G411" s="2853">
        <v>0.84889999999999999</v>
      </c>
      <c r="H411" s="2853">
        <v>0.84889999999999999</v>
      </c>
      <c r="I411" s="2853">
        <v>0.70350000000000001</v>
      </c>
      <c r="J411" s="2853">
        <v>0.70350000000000001</v>
      </c>
      <c r="K411" s="2853">
        <v>0.70350000000000001</v>
      </c>
      <c r="L411" s="2853">
        <v>0.70350000000000001</v>
      </c>
      <c r="M411" s="2854">
        <v>0.70350000000000001</v>
      </c>
    </row>
    <row r="412" spans="1:13">
      <c r="A412" s="2852">
        <v>5.0999999999999996</v>
      </c>
      <c r="B412" s="2853">
        <v>0.90720000000000001</v>
      </c>
      <c r="C412" s="2853">
        <v>0.90720000000000001</v>
      </c>
      <c r="D412" s="2853">
        <v>0.84670000000000001</v>
      </c>
      <c r="E412" s="2853">
        <v>0.84670000000000001</v>
      </c>
      <c r="F412" s="2853">
        <v>0.84670000000000001</v>
      </c>
      <c r="G412" s="2853">
        <v>0.84670000000000001</v>
      </c>
      <c r="H412" s="2853">
        <v>0.84670000000000001</v>
      </c>
      <c r="I412" s="2853">
        <v>0.70089999999999997</v>
      </c>
      <c r="J412" s="2853">
        <v>0.70089999999999997</v>
      </c>
      <c r="K412" s="2853">
        <v>0.70089999999999997</v>
      </c>
      <c r="L412" s="2853">
        <v>0.70089999999999997</v>
      </c>
      <c r="M412" s="2854">
        <v>0.70089999999999997</v>
      </c>
    </row>
    <row r="413" spans="1:13">
      <c r="A413" s="2852">
        <v>5.2</v>
      </c>
      <c r="B413" s="2853">
        <v>0.90529999999999999</v>
      </c>
      <c r="C413" s="2853">
        <v>0.90529999999999999</v>
      </c>
      <c r="D413" s="2853">
        <v>0.84450000000000003</v>
      </c>
      <c r="E413" s="2853">
        <v>0.84450000000000003</v>
      </c>
      <c r="F413" s="2853">
        <v>0.84450000000000003</v>
      </c>
      <c r="G413" s="2853">
        <v>0.84450000000000003</v>
      </c>
      <c r="H413" s="2853">
        <v>0.84450000000000003</v>
      </c>
      <c r="I413" s="2853">
        <v>0.69820000000000004</v>
      </c>
      <c r="J413" s="2853">
        <v>0.69820000000000004</v>
      </c>
      <c r="K413" s="2853">
        <v>0.69820000000000004</v>
      </c>
      <c r="L413" s="2853">
        <v>0.69820000000000004</v>
      </c>
      <c r="M413" s="2854">
        <v>0.69820000000000004</v>
      </c>
    </row>
    <row r="414" spans="1:13">
      <c r="A414" s="2852">
        <v>5.3</v>
      </c>
      <c r="B414" s="2853">
        <v>0.90339999999999998</v>
      </c>
      <c r="C414" s="2853">
        <v>0.90339999999999998</v>
      </c>
      <c r="D414" s="2853">
        <v>0.84230000000000005</v>
      </c>
      <c r="E414" s="2853">
        <v>0.84230000000000005</v>
      </c>
      <c r="F414" s="2853">
        <v>0.84230000000000005</v>
      </c>
      <c r="G414" s="2853">
        <v>0.84230000000000005</v>
      </c>
      <c r="H414" s="2853">
        <v>0.84230000000000005</v>
      </c>
      <c r="I414" s="2853">
        <v>0.69569999999999999</v>
      </c>
      <c r="J414" s="2853">
        <v>0.69569999999999999</v>
      </c>
      <c r="K414" s="2853">
        <v>0.69569999999999999</v>
      </c>
      <c r="L414" s="2853">
        <v>0.69569999999999999</v>
      </c>
      <c r="M414" s="2854">
        <v>0.69569999999999999</v>
      </c>
    </row>
    <row r="415" spans="1:13">
      <c r="A415" s="2852">
        <v>5.4</v>
      </c>
      <c r="B415" s="2853">
        <v>0.90149999999999997</v>
      </c>
      <c r="C415" s="2853">
        <v>0.90149999999999997</v>
      </c>
      <c r="D415" s="2853">
        <v>0.84019999999999995</v>
      </c>
      <c r="E415" s="2853">
        <v>0.84019999999999995</v>
      </c>
      <c r="F415" s="2853">
        <v>0.84019999999999995</v>
      </c>
      <c r="G415" s="2853">
        <v>0.84019999999999995</v>
      </c>
      <c r="H415" s="2853">
        <v>0.84019999999999995</v>
      </c>
      <c r="I415" s="2853">
        <v>0.69310000000000005</v>
      </c>
      <c r="J415" s="2853">
        <v>0.69310000000000005</v>
      </c>
      <c r="K415" s="2853">
        <v>0.69310000000000005</v>
      </c>
      <c r="L415" s="2853">
        <v>0.69310000000000005</v>
      </c>
      <c r="M415" s="2854">
        <v>0.69310000000000005</v>
      </c>
    </row>
    <row r="416" spans="1:13">
      <c r="A416" s="2852">
        <v>5.5</v>
      </c>
      <c r="B416" s="2853">
        <v>0.89959999999999996</v>
      </c>
      <c r="C416" s="2853">
        <v>0.89959999999999996</v>
      </c>
      <c r="D416" s="2853">
        <v>0.83809999999999996</v>
      </c>
      <c r="E416" s="2853">
        <v>0.83809999999999996</v>
      </c>
      <c r="F416" s="2853">
        <v>0.83809999999999996</v>
      </c>
      <c r="G416" s="2853">
        <v>0.83809999999999996</v>
      </c>
      <c r="H416" s="2853">
        <v>0.83809999999999996</v>
      </c>
      <c r="I416" s="2853">
        <v>0.69059999999999999</v>
      </c>
      <c r="J416" s="2853">
        <v>0.69059999999999999</v>
      </c>
      <c r="K416" s="2853">
        <v>0.69059999999999999</v>
      </c>
      <c r="L416" s="2853">
        <v>0.69059999999999999</v>
      </c>
      <c r="M416" s="2854">
        <v>0.69059999999999999</v>
      </c>
    </row>
    <row r="417" spans="1:13">
      <c r="A417" s="2852">
        <v>5.6</v>
      </c>
      <c r="B417" s="2853">
        <v>0.89780000000000004</v>
      </c>
      <c r="C417" s="2853">
        <v>0.89780000000000004</v>
      </c>
      <c r="D417" s="2853">
        <v>0.83599999999999997</v>
      </c>
      <c r="E417" s="2853">
        <v>0.83599999999999997</v>
      </c>
      <c r="F417" s="2853">
        <v>0.83599999999999997</v>
      </c>
      <c r="G417" s="2853">
        <v>0.83599999999999997</v>
      </c>
      <c r="H417" s="2853">
        <v>0.83599999999999997</v>
      </c>
      <c r="I417" s="2853">
        <v>0.68810000000000004</v>
      </c>
      <c r="J417" s="2853">
        <v>0.68810000000000004</v>
      </c>
      <c r="K417" s="2853">
        <v>0.68810000000000004</v>
      </c>
      <c r="L417" s="2853">
        <v>0.68810000000000004</v>
      </c>
      <c r="M417" s="2854">
        <v>0.68810000000000004</v>
      </c>
    </row>
    <row r="418" spans="1:13">
      <c r="A418" s="2855">
        <v>5.7</v>
      </c>
      <c r="B418" s="2853">
        <v>0.89600000000000002</v>
      </c>
      <c r="C418" s="2853">
        <v>0.89600000000000002</v>
      </c>
      <c r="D418" s="2853">
        <v>0.83389999999999997</v>
      </c>
      <c r="E418" s="2853">
        <v>0.83389999999999997</v>
      </c>
      <c r="F418" s="2853">
        <v>0.83389999999999997</v>
      </c>
      <c r="G418" s="2853">
        <v>0.83389999999999997</v>
      </c>
      <c r="H418" s="2853">
        <v>0.83389999999999997</v>
      </c>
      <c r="I418" s="2853">
        <v>0.68569999999999998</v>
      </c>
      <c r="J418" s="2853">
        <v>0.68569999999999998</v>
      </c>
      <c r="K418" s="2853">
        <v>0.68569999999999998</v>
      </c>
      <c r="L418" s="2853">
        <v>0.68569999999999998</v>
      </c>
      <c r="M418" s="2854">
        <v>0.68569999999999998</v>
      </c>
    </row>
    <row r="419" spans="1:13">
      <c r="A419" s="2852">
        <v>5.8</v>
      </c>
      <c r="B419" s="2853">
        <v>0.89419999999999999</v>
      </c>
      <c r="C419" s="2853">
        <v>0.89419999999999999</v>
      </c>
      <c r="D419" s="2853">
        <v>0.83189999999999997</v>
      </c>
      <c r="E419" s="2853">
        <v>0.83189999999999997</v>
      </c>
      <c r="F419" s="2853">
        <v>0.83189999999999997</v>
      </c>
      <c r="G419" s="2853">
        <v>0.83189999999999997</v>
      </c>
      <c r="H419" s="2853">
        <v>0.83189999999999997</v>
      </c>
      <c r="I419" s="2853">
        <v>0.68320000000000003</v>
      </c>
      <c r="J419" s="2853">
        <v>0.68320000000000003</v>
      </c>
      <c r="K419" s="2853">
        <v>0.68320000000000003</v>
      </c>
      <c r="L419" s="2853">
        <v>0.68320000000000003</v>
      </c>
      <c r="M419" s="2854">
        <v>0.68320000000000003</v>
      </c>
    </row>
    <row r="420" spans="1:13">
      <c r="A420" s="2852">
        <v>5.9</v>
      </c>
      <c r="B420" s="2853">
        <v>0.89239999999999997</v>
      </c>
      <c r="C420" s="2853">
        <v>0.89239999999999997</v>
      </c>
      <c r="D420" s="2853">
        <v>0.82989999999999997</v>
      </c>
      <c r="E420" s="2853">
        <v>0.82989999999999997</v>
      </c>
      <c r="F420" s="2853">
        <v>0.82989999999999997</v>
      </c>
      <c r="G420" s="2853">
        <v>0.82989999999999997</v>
      </c>
      <c r="H420" s="2853">
        <v>0.82989999999999997</v>
      </c>
      <c r="I420" s="2853">
        <v>0.68069999999999997</v>
      </c>
      <c r="J420" s="2853">
        <v>0.68069999999999997</v>
      </c>
      <c r="K420" s="2853">
        <v>0.68069999999999997</v>
      </c>
      <c r="L420" s="2853">
        <v>0.68069999999999997</v>
      </c>
      <c r="M420" s="2854">
        <v>0.68069999999999997</v>
      </c>
    </row>
    <row r="421" spans="1:13">
      <c r="A421" s="2852">
        <v>6</v>
      </c>
      <c r="B421" s="2853">
        <v>0.89070000000000005</v>
      </c>
      <c r="C421" s="2853">
        <v>0.89070000000000005</v>
      </c>
      <c r="D421" s="2853">
        <v>0.82789999999999997</v>
      </c>
      <c r="E421" s="2853">
        <v>0.82789999999999997</v>
      </c>
      <c r="F421" s="2853">
        <v>0.82789999999999997</v>
      </c>
      <c r="G421" s="2853">
        <v>0.82789999999999997</v>
      </c>
      <c r="H421" s="2853">
        <v>0.82789999999999997</v>
      </c>
      <c r="I421" s="2853">
        <v>0.6784</v>
      </c>
      <c r="J421" s="2853">
        <v>0.6784</v>
      </c>
      <c r="K421" s="2853">
        <v>0.6784</v>
      </c>
      <c r="L421" s="2853">
        <v>0.6784</v>
      </c>
      <c r="M421" s="2854">
        <v>0.6784</v>
      </c>
    </row>
    <row r="422" spans="1:13">
      <c r="A422" s="2852">
        <v>6.1</v>
      </c>
      <c r="B422" s="2853">
        <v>0.88900000000000001</v>
      </c>
      <c r="C422" s="2853">
        <v>0.88900000000000001</v>
      </c>
      <c r="D422" s="2853">
        <v>0.82589999999999997</v>
      </c>
      <c r="E422" s="2853">
        <v>0.82589999999999997</v>
      </c>
      <c r="F422" s="2853">
        <v>0.82589999999999997</v>
      </c>
      <c r="G422" s="2853">
        <v>0.82589999999999997</v>
      </c>
      <c r="H422" s="2853">
        <v>0.82589999999999997</v>
      </c>
      <c r="I422" s="2853">
        <v>0.67600000000000005</v>
      </c>
      <c r="J422" s="2853">
        <v>0.67600000000000005</v>
      </c>
      <c r="K422" s="2853">
        <v>0.67600000000000005</v>
      </c>
      <c r="L422" s="2853">
        <v>0.67600000000000005</v>
      </c>
      <c r="M422" s="2854">
        <v>0.67600000000000005</v>
      </c>
    </row>
    <row r="423" spans="1:13">
      <c r="A423" s="2852">
        <v>6.2</v>
      </c>
      <c r="B423" s="2853">
        <v>0.88729999999999998</v>
      </c>
      <c r="C423" s="2853">
        <v>0.88729999999999998</v>
      </c>
      <c r="D423" s="2853">
        <v>0.82389999999999997</v>
      </c>
      <c r="E423" s="2853">
        <v>0.82389999999999997</v>
      </c>
      <c r="F423" s="2853">
        <v>0.82389999999999997</v>
      </c>
      <c r="G423" s="2853">
        <v>0.82389999999999997</v>
      </c>
      <c r="H423" s="2853">
        <v>0.82389999999999997</v>
      </c>
      <c r="I423" s="2853">
        <v>0.67359999999999998</v>
      </c>
      <c r="J423" s="2853">
        <v>0.67359999999999998</v>
      </c>
      <c r="K423" s="2853">
        <v>0.67359999999999998</v>
      </c>
      <c r="L423" s="2853">
        <v>0.67359999999999998</v>
      </c>
      <c r="M423" s="2854">
        <v>0.67359999999999998</v>
      </c>
    </row>
    <row r="424" spans="1:13">
      <c r="A424" s="2852">
        <v>6.3</v>
      </c>
      <c r="B424" s="2853">
        <v>0.88560000000000005</v>
      </c>
      <c r="C424" s="2853">
        <v>0.88560000000000005</v>
      </c>
      <c r="D424" s="2853">
        <v>0.82189999999999996</v>
      </c>
      <c r="E424" s="2853">
        <v>0.82189999999999996</v>
      </c>
      <c r="F424" s="2853">
        <v>0.82189999999999996</v>
      </c>
      <c r="G424" s="2853">
        <v>0.82189999999999996</v>
      </c>
      <c r="H424" s="2853">
        <v>0.82189999999999996</v>
      </c>
      <c r="I424" s="2853">
        <v>0.67130000000000001</v>
      </c>
      <c r="J424" s="2853">
        <v>0.67130000000000001</v>
      </c>
      <c r="K424" s="2853">
        <v>0.67130000000000001</v>
      </c>
      <c r="L424" s="2853">
        <v>0.67130000000000001</v>
      </c>
      <c r="M424" s="2854">
        <v>0.67130000000000001</v>
      </c>
    </row>
    <row r="425" spans="1:13">
      <c r="A425" s="2852">
        <v>6.4</v>
      </c>
      <c r="B425" s="2853">
        <v>0.88390000000000002</v>
      </c>
      <c r="C425" s="2853">
        <v>0.88390000000000002</v>
      </c>
      <c r="D425" s="2853">
        <v>0.82</v>
      </c>
      <c r="E425" s="2853">
        <v>0.82</v>
      </c>
      <c r="F425" s="2853">
        <v>0.82</v>
      </c>
      <c r="G425" s="2853">
        <v>0.82</v>
      </c>
      <c r="H425" s="2853">
        <v>0.82</v>
      </c>
      <c r="I425" s="2853">
        <v>0.66890000000000005</v>
      </c>
      <c r="J425" s="2853">
        <v>0.66890000000000005</v>
      </c>
      <c r="K425" s="2853">
        <v>0.66890000000000005</v>
      </c>
      <c r="L425" s="2853">
        <v>0.66890000000000005</v>
      </c>
      <c r="M425" s="2854">
        <v>0.66890000000000005</v>
      </c>
    </row>
    <row r="426" spans="1:13">
      <c r="A426" s="2852">
        <v>6.5</v>
      </c>
      <c r="B426" s="2853">
        <v>0.88229999999999997</v>
      </c>
      <c r="C426" s="2853">
        <v>0.88229999999999997</v>
      </c>
      <c r="D426" s="2853">
        <v>0.81810000000000005</v>
      </c>
      <c r="E426" s="2853">
        <v>0.81810000000000005</v>
      </c>
      <c r="F426" s="2853">
        <v>0.81810000000000005</v>
      </c>
      <c r="G426" s="2853">
        <v>0.81810000000000005</v>
      </c>
      <c r="H426" s="2853">
        <v>0.81810000000000005</v>
      </c>
      <c r="I426" s="2853">
        <v>0.66659999999999997</v>
      </c>
      <c r="J426" s="2853">
        <v>0.66659999999999997</v>
      </c>
      <c r="K426" s="2853">
        <v>0.66659999999999997</v>
      </c>
      <c r="L426" s="2853">
        <v>0.66659999999999997</v>
      </c>
      <c r="M426" s="2854">
        <v>0.66659999999999997</v>
      </c>
    </row>
    <row r="427" spans="1:13">
      <c r="A427" s="2852">
        <v>6.6</v>
      </c>
      <c r="B427" s="2853">
        <v>0.88070000000000004</v>
      </c>
      <c r="C427" s="2853">
        <v>0.88070000000000004</v>
      </c>
      <c r="D427" s="2853">
        <v>0.81620000000000004</v>
      </c>
      <c r="E427" s="2853">
        <v>0.81620000000000004</v>
      </c>
      <c r="F427" s="2853">
        <v>0.81620000000000004</v>
      </c>
      <c r="G427" s="2853">
        <v>0.81620000000000004</v>
      </c>
      <c r="H427" s="2853">
        <v>0.81620000000000004</v>
      </c>
      <c r="I427" s="2853">
        <v>0.66439999999999999</v>
      </c>
      <c r="J427" s="2853">
        <v>0.66439999999999999</v>
      </c>
      <c r="K427" s="2853">
        <v>0.66439999999999999</v>
      </c>
      <c r="L427" s="2853">
        <v>0.66439999999999999</v>
      </c>
      <c r="M427" s="2854">
        <v>0.66439999999999999</v>
      </c>
    </row>
    <row r="428" spans="1:13">
      <c r="A428" s="2852">
        <v>6.7</v>
      </c>
      <c r="B428" s="2853">
        <v>0.879</v>
      </c>
      <c r="C428" s="2853">
        <v>0.879</v>
      </c>
      <c r="D428" s="2853">
        <v>0.81430000000000002</v>
      </c>
      <c r="E428" s="2853">
        <v>0.81430000000000002</v>
      </c>
      <c r="F428" s="2853">
        <v>0.81430000000000002</v>
      </c>
      <c r="G428" s="2853">
        <v>0.81430000000000002</v>
      </c>
      <c r="H428" s="2853">
        <v>0.81430000000000002</v>
      </c>
      <c r="I428" s="2853">
        <v>0.66210000000000002</v>
      </c>
      <c r="J428" s="2853">
        <v>0.66210000000000002</v>
      </c>
      <c r="K428" s="2853">
        <v>0.66210000000000002</v>
      </c>
      <c r="L428" s="2853">
        <v>0.66210000000000002</v>
      </c>
      <c r="M428" s="2854">
        <v>0.66210000000000002</v>
      </c>
    </row>
    <row r="429" spans="1:13">
      <c r="A429" s="2852">
        <v>6.8</v>
      </c>
      <c r="B429" s="2853">
        <v>0.87739999999999996</v>
      </c>
      <c r="C429" s="2853">
        <v>0.87739999999999996</v>
      </c>
      <c r="D429" s="2853">
        <v>0.81240000000000001</v>
      </c>
      <c r="E429" s="2853">
        <v>0.81240000000000001</v>
      </c>
      <c r="F429" s="2853">
        <v>0.81240000000000001</v>
      </c>
      <c r="G429" s="2853">
        <v>0.81240000000000001</v>
      </c>
      <c r="H429" s="2853">
        <v>0.81240000000000001</v>
      </c>
      <c r="I429" s="2853">
        <v>0.65980000000000005</v>
      </c>
      <c r="J429" s="2853">
        <v>0.65980000000000005</v>
      </c>
      <c r="K429" s="2853">
        <v>0.65980000000000005</v>
      </c>
      <c r="L429" s="2853">
        <v>0.65980000000000005</v>
      </c>
      <c r="M429" s="2854">
        <v>0.65980000000000005</v>
      </c>
    </row>
    <row r="430" spans="1:13">
      <c r="A430" s="2852">
        <v>6.9</v>
      </c>
      <c r="B430" s="2853">
        <v>0.87580000000000002</v>
      </c>
      <c r="C430" s="2853">
        <v>0.87580000000000002</v>
      </c>
      <c r="D430" s="2853">
        <v>0.8105</v>
      </c>
      <c r="E430" s="2853">
        <v>0.8105</v>
      </c>
      <c r="F430" s="2853">
        <v>0.8105</v>
      </c>
      <c r="G430" s="2853">
        <v>0.8105</v>
      </c>
      <c r="H430" s="2853">
        <v>0.8105</v>
      </c>
      <c r="I430" s="2853">
        <v>0.65749999999999997</v>
      </c>
      <c r="J430" s="2853">
        <v>0.65749999999999997</v>
      </c>
      <c r="K430" s="2853">
        <v>0.65749999999999997</v>
      </c>
      <c r="L430" s="2853">
        <v>0.65749999999999997</v>
      </c>
      <c r="M430" s="2854">
        <v>0.65749999999999997</v>
      </c>
    </row>
    <row r="431" spans="1:13">
      <c r="A431" s="2852">
        <v>7</v>
      </c>
      <c r="B431" s="2853">
        <v>0.87419999999999998</v>
      </c>
      <c r="C431" s="2853">
        <v>0.87419999999999998</v>
      </c>
      <c r="D431" s="2853">
        <v>0.80869999999999997</v>
      </c>
      <c r="E431" s="2853">
        <v>0.80869999999999997</v>
      </c>
      <c r="F431" s="2853">
        <v>0.80869999999999997</v>
      </c>
      <c r="G431" s="2853">
        <v>0.80869999999999997</v>
      </c>
      <c r="H431" s="2853">
        <v>0.80869999999999997</v>
      </c>
      <c r="I431" s="2853">
        <v>0.65529999999999999</v>
      </c>
      <c r="J431" s="2853">
        <v>0.65529999999999999</v>
      </c>
      <c r="K431" s="2853">
        <v>0.65529999999999999</v>
      </c>
      <c r="L431" s="2853">
        <v>0.65529999999999999</v>
      </c>
      <c r="M431" s="2854">
        <v>0.65529999999999999</v>
      </c>
    </row>
    <row r="432" spans="1:13">
      <c r="A432" s="2852">
        <v>7.1</v>
      </c>
      <c r="B432" s="2853">
        <v>0.87270000000000003</v>
      </c>
      <c r="C432" s="2853">
        <v>0.87270000000000003</v>
      </c>
      <c r="D432" s="2853">
        <v>0.80689999999999995</v>
      </c>
      <c r="E432" s="2853">
        <v>0.80689999999999995</v>
      </c>
      <c r="F432" s="2853">
        <v>0.80689999999999995</v>
      </c>
      <c r="G432" s="2853">
        <v>0.80689999999999995</v>
      </c>
      <c r="H432" s="2853">
        <v>0.80689999999999995</v>
      </c>
      <c r="I432" s="2853">
        <v>0.6532</v>
      </c>
      <c r="J432" s="2853">
        <v>0.6532</v>
      </c>
      <c r="K432" s="2853">
        <v>0.6532</v>
      </c>
      <c r="L432" s="2853">
        <v>0.6532</v>
      </c>
      <c r="M432" s="2854">
        <v>0.6532</v>
      </c>
    </row>
    <row r="433" spans="1:13">
      <c r="A433" s="2852">
        <v>7.2</v>
      </c>
      <c r="B433" s="2853">
        <v>0.87119999999999997</v>
      </c>
      <c r="C433" s="2853">
        <v>0.87119999999999997</v>
      </c>
      <c r="D433" s="2853">
        <v>0.80510000000000004</v>
      </c>
      <c r="E433" s="2853">
        <v>0.80510000000000004</v>
      </c>
      <c r="F433" s="2853">
        <v>0.80510000000000004</v>
      </c>
      <c r="G433" s="2853">
        <v>0.80510000000000004</v>
      </c>
      <c r="H433" s="2853">
        <v>0.80510000000000004</v>
      </c>
      <c r="I433" s="2853">
        <v>0.65100000000000002</v>
      </c>
      <c r="J433" s="2853">
        <v>0.65100000000000002</v>
      </c>
      <c r="K433" s="2853">
        <v>0.65100000000000002</v>
      </c>
      <c r="L433" s="2853">
        <v>0.65100000000000002</v>
      </c>
      <c r="M433" s="2854">
        <v>0.65100000000000002</v>
      </c>
    </row>
    <row r="434" spans="1:13">
      <c r="A434" s="2852">
        <v>7.3</v>
      </c>
      <c r="B434" s="2853">
        <v>0.86970000000000003</v>
      </c>
      <c r="C434" s="2853">
        <v>0.86970000000000003</v>
      </c>
      <c r="D434" s="2853">
        <v>0.80330000000000001</v>
      </c>
      <c r="E434" s="2853">
        <v>0.80330000000000001</v>
      </c>
      <c r="F434" s="2853">
        <v>0.80330000000000001</v>
      </c>
      <c r="G434" s="2853">
        <v>0.80330000000000001</v>
      </c>
      <c r="H434" s="2853">
        <v>0.80330000000000001</v>
      </c>
      <c r="I434" s="2853">
        <v>0.64880000000000004</v>
      </c>
      <c r="J434" s="2853">
        <v>0.64880000000000004</v>
      </c>
      <c r="K434" s="2853">
        <v>0.64880000000000004</v>
      </c>
      <c r="L434" s="2853">
        <v>0.64880000000000004</v>
      </c>
      <c r="M434" s="2854">
        <v>0.64880000000000004</v>
      </c>
    </row>
    <row r="435" spans="1:13">
      <c r="A435" s="2852">
        <v>7.4</v>
      </c>
      <c r="B435" s="2853">
        <v>0.86819999999999997</v>
      </c>
      <c r="C435" s="2853">
        <v>0.86819999999999997</v>
      </c>
      <c r="D435" s="2853">
        <v>0.80149999999999999</v>
      </c>
      <c r="E435" s="2853">
        <v>0.80149999999999999</v>
      </c>
      <c r="F435" s="2853">
        <v>0.80149999999999999</v>
      </c>
      <c r="G435" s="2853">
        <v>0.80149999999999999</v>
      </c>
      <c r="H435" s="2853">
        <v>0.80149999999999999</v>
      </c>
      <c r="I435" s="2853">
        <v>0.64659999999999995</v>
      </c>
      <c r="J435" s="2853">
        <v>0.64659999999999995</v>
      </c>
      <c r="K435" s="2853">
        <v>0.64659999999999995</v>
      </c>
      <c r="L435" s="2853">
        <v>0.64659999999999995</v>
      </c>
      <c r="M435" s="2854">
        <v>0.64659999999999995</v>
      </c>
    </row>
    <row r="436" spans="1:13">
      <c r="A436" s="2852">
        <v>7.5</v>
      </c>
      <c r="B436" s="2853">
        <v>0.86660000000000004</v>
      </c>
      <c r="C436" s="2853">
        <v>0.86660000000000004</v>
      </c>
      <c r="D436" s="2853">
        <v>0.79969999999999997</v>
      </c>
      <c r="E436" s="2853">
        <v>0.79969999999999997</v>
      </c>
      <c r="F436" s="2853">
        <v>0.79969999999999997</v>
      </c>
      <c r="G436" s="2853">
        <v>0.79969999999999997</v>
      </c>
      <c r="H436" s="2853">
        <v>0.79969999999999997</v>
      </c>
      <c r="I436" s="2853">
        <v>0.64449999999999996</v>
      </c>
      <c r="J436" s="2853">
        <v>0.64449999999999996</v>
      </c>
      <c r="K436" s="2853">
        <v>0.64449999999999996</v>
      </c>
      <c r="L436" s="2853">
        <v>0.64449999999999996</v>
      </c>
      <c r="M436" s="2854">
        <v>0.64449999999999996</v>
      </c>
    </row>
    <row r="437" spans="1:13">
      <c r="A437" s="2852">
        <v>7.6</v>
      </c>
      <c r="B437" s="2853">
        <v>0.86509999999999998</v>
      </c>
      <c r="C437" s="2853">
        <v>0.86509999999999998</v>
      </c>
      <c r="D437" s="2853">
        <v>0.79800000000000004</v>
      </c>
      <c r="E437" s="2853">
        <v>0.79800000000000004</v>
      </c>
      <c r="F437" s="2853">
        <v>0.79800000000000004</v>
      </c>
      <c r="G437" s="2853">
        <v>0.79800000000000004</v>
      </c>
      <c r="H437" s="2853">
        <v>0.79800000000000004</v>
      </c>
      <c r="I437" s="2853">
        <v>0.64239999999999997</v>
      </c>
      <c r="J437" s="2853">
        <v>0.64239999999999997</v>
      </c>
      <c r="K437" s="2853">
        <v>0.64239999999999997</v>
      </c>
      <c r="L437" s="2853">
        <v>0.64239999999999997</v>
      </c>
      <c r="M437" s="2854">
        <v>0.64239999999999997</v>
      </c>
    </row>
    <row r="438" spans="1:13">
      <c r="A438" s="2852">
        <v>7.7</v>
      </c>
      <c r="B438" s="2853">
        <v>0.86370000000000002</v>
      </c>
      <c r="C438" s="2853">
        <v>0.86370000000000002</v>
      </c>
      <c r="D438" s="2853">
        <v>0.79630000000000001</v>
      </c>
      <c r="E438" s="2853">
        <v>0.79630000000000001</v>
      </c>
      <c r="F438" s="2853">
        <v>0.79630000000000001</v>
      </c>
      <c r="G438" s="2853">
        <v>0.79630000000000001</v>
      </c>
      <c r="H438" s="2853">
        <v>0.79630000000000001</v>
      </c>
      <c r="I438" s="2853">
        <v>0.64029999999999998</v>
      </c>
      <c r="J438" s="2853">
        <v>0.64029999999999998</v>
      </c>
      <c r="K438" s="2853">
        <v>0.64029999999999998</v>
      </c>
      <c r="L438" s="2853">
        <v>0.64029999999999998</v>
      </c>
      <c r="M438" s="2854">
        <v>0.64029999999999998</v>
      </c>
    </row>
    <row r="439" spans="1:13">
      <c r="A439" s="2852">
        <v>7.8</v>
      </c>
      <c r="B439" s="2853">
        <v>0.86229999999999996</v>
      </c>
      <c r="C439" s="2853">
        <v>0.86229999999999996</v>
      </c>
      <c r="D439" s="2853">
        <v>0.79449999999999998</v>
      </c>
      <c r="E439" s="2853">
        <v>0.79449999999999998</v>
      </c>
      <c r="F439" s="2853">
        <v>0.79449999999999998</v>
      </c>
      <c r="G439" s="2853">
        <v>0.79449999999999998</v>
      </c>
      <c r="H439" s="2853">
        <v>0.79449999999999998</v>
      </c>
      <c r="I439" s="2853">
        <v>0.63819999999999999</v>
      </c>
      <c r="J439" s="2853">
        <v>0.63819999999999999</v>
      </c>
      <c r="K439" s="2853">
        <v>0.63819999999999999</v>
      </c>
      <c r="L439" s="2853">
        <v>0.63819999999999999</v>
      </c>
      <c r="M439" s="2854">
        <v>0.63819999999999999</v>
      </c>
    </row>
    <row r="440" spans="1:13">
      <c r="A440" s="2852">
        <v>7.9</v>
      </c>
      <c r="B440" s="2853">
        <v>0.8609</v>
      </c>
      <c r="C440" s="2853">
        <v>0.8609</v>
      </c>
      <c r="D440" s="2853">
        <v>0.79279999999999995</v>
      </c>
      <c r="E440" s="2853">
        <v>0.79279999999999995</v>
      </c>
      <c r="F440" s="2853">
        <v>0.79279999999999995</v>
      </c>
      <c r="G440" s="2853">
        <v>0.79279999999999995</v>
      </c>
      <c r="H440" s="2853">
        <v>0.79279999999999995</v>
      </c>
      <c r="I440" s="2853">
        <v>0.6361</v>
      </c>
      <c r="J440" s="2853">
        <v>0.6361</v>
      </c>
      <c r="K440" s="2853">
        <v>0.6361</v>
      </c>
      <c r="L440" s="2853">
        <v>0.6361</v>
      </c>
      <c r="M440" s="2854">
        <v>0.6361</v>
      </c>
    </row>
    <row r="441" spans="1:13">
      <c r="A441" s="2852">
        <v>8</v>
      </c>
      <c r="B441" s="2853">
        <v>0.85940000000000005</v>
      </c>
      <c r="C441" s="2853">
        <v>0.85940000000000005</v>
      </c>
      <c r="D441" s="2853">
        <v>0.79110000000000003</v>
      </c>
      <c r="E441" s="2853">
        <v>0.79110000000000003</v>
      </c>
      <c r="F441" s="2853">
        <v>0.79110000000000003</v>
      </c>
      <c r="G441" s="2853">
        <v>0.79110000000000003</v>
      </c>
      <c r="H441" s="2853">
        <v>0.79110000000000003</v>
      </c>
      <c r="I441" s="2853">
        <v>0.6341</v>
      </c>
      <c r="J441" s="2853">
        <v>0.6341</v>
      </c>
      <c r="K441" s="2853">
        <v>0.6341</v>
      </c>
      <c r="L441" s="2853">
        <v>0.6341</v>
      </c>
      <c r="M441" s="2854">
        <v>0.6341</v>
      </c>
    </row>
    <row r="442" spans="1:13">
      <c r="A442" s="2852">
        <v>8.1</v>
      </c>
      <c r="B442" s="2853">
        <v>0.85799999999999998</v>
      </c>
      <c r="C442" s="2853">
        <v>0.85799999999999998</v>
      </c>
      <c r="D442" s="2853">
        <v>0.78939999999999999</v>
      </c>
      <c r="E442" s="2853">
        <v>0.78939999999999999</v>
      </c>
      <c r="F442" s="2853">
        <v>0.78939999999999999</v>
      </c>
      <c r="G442" s="2853">
        <v>0.78939999999999999</v>
      </c>
      <c r="H442" s="2853">
        <v>0.78939999999999999</v>
      </c>
      <c r="I442" s="2853">
        <v>0.6321</v>
      </c>
      <c r="J442" s="2853">
        <v>0.6321</v>
      </c>
      <c r="K442" s="2853">
        <v>0.6321</v>
      </c>
      <c r="L442" s="2853">
        <v>0.6321</v>
      </c>
      <c r="M442" s="2854">
        <v>0.6321</v>
      </c>
    </row>
    <row r="443" spans="1:13">
      <c r="A443" s="2852">
        <v>8.1999999999999993</v>
      </c>
      <c r="B443" s="2853">
        <v>0.85660000000000003</v>
      </c>
      <c r="C443" s="2853">
        <v>0.85660000000000003</v>
      </c>
      <c r="D443" s="2853">
        <v>0.78779999999999994</v>
      </c>
      <c r="E443" s="2853">
        <v>0.78779999999999994</v>
      </c>
      <c r="F443" s="2853">
        <v>0.78779999999999994</v>
      </c>
      <c r="G443" s="2853">
        <v>0.78779999999999994</v>
      </c>
      <c r="H443" s="2853">
        <v>0.78779999999999994</v>
      </c>
      <c r="I443" s="2853">
        <v>0.63009999999999999</v>
      </c>
      <c r="J443" s="2853">
        <v>0.63009999999999999</v>
      </c>
      <c r="K443" s="2853">
        <v>0.63009999999999999</v>
      </c>
      <c r="L443" s="2853">
        <v>0.63009999999999999</v>
      </c>
      <c r="M443" s="2854">
        <v>0.63009999999999999</v>
      </c>
    </row>
    <row r="444" spans="1:13">
      <c r="A444" s="2852">
        <v>8.3000000000000007</v>
      </c>
      <c r="B444" s="2853">
        <v>0.85529999999999995</v>
      </c>
      <c r="C444" s="2853">
        <v>0.85529999999999995</v>
      </c>
      <c r="D444" s="2853">
        <v>0.78620000000000001</v>
      </c>
      <c r="E444" s="2853">
        <v>0.78620000000000001</v>
      </c>
      <c r="F444" s="2853">
        <v>0.78620000000000001</v>
      </c>
      <c r="G444" s="2853">
        <v>0.78620000000000001</v>
      </c>
      <c r="H444" s="2853">
        <v>0.78620000000000001</v>
      </c>
      <c r="I444" s="2853">
        <v>0.62809999999999999</v>
      </c>
      <c r="J444" s="2853">
        <v>0.62809999999999999</v>
      </c>
      <c r="K444" s="2853">
        <v>0.62809999999999999</v>
      </c>
      <c r="L444" s="2853">
        <v>0.62809999999999999</v>
      </c>
      <c r="M444" s="2854">
        <v>0.62809999999999999</v>
      </c>
    </row>
    <row r="445" spans="1:13">
      <c r="A445" s="2852">
        <v>8.4</v>
      </c>
      <c r="B445" s="2853">
        <v>0.85389999999999999</v>
      </c>
      <c r="C445" s="2853">
        <v>0.85389999999999999</v>
      </c>
      <c r="D445" s="2853">
        <v>0.78459999999999996</v>
      </c>
      <c r="E445" s="2853">
        <v>0.78459999999999996</v>
      </c>
      <c r="F445" s="2853">
        <v>0.78459999999999996</v>
      </c>
      <c r="G445" s="2853">
        <v>0.78459999999999996</v>
      </c>
      <c r="H445" s="2853">
        <v>0.78459999999999996</v>
      </c>
      <c r="I445" s="2853">
        <v>0.62609999999999999</v>
      </c>
      <c r="J445" s="2853">
        <v>0.62609999999999999</v>
      </c>
      <c r="K445" s="2853">
        <v>0.62609999999999999</v>
      </c>
      <c r="L445" s="2853">
        <v>0.62609999999999999</v>
      </c>
      <c r="M445" s="2854">
        <v>0.62609999999999999</v>
      </c>
    </row>
    <row r="446" spans="1:13">
      <c r="A446" s="2852">
        <v>8.5</v>
      </c>
      <c r="B446" s="2853">
        <v>0.85260000000000002</v>
      </c>
      <c r="C446" s="2853">
        <v>0.85260000000000002</v>
      </c>
      <c r="D446" s="2853">
        <v>0.78290000000000004</v>
      </c>
      <c r="E446" s="2853">
        <v>0.78290000000000004</v>
      </c>
      <c r="F446" s="2853">
        <v>0.78290000000000004</v>
      </c>
      <c r="G446" s="2853">
        <v>0.78290000000000004</v>
      </c>
      <c r="H446" s="2853">
        <v>0.78290000000000004</v>
      </c>
      <c r="I446" s="2853">
        <v>0.62419999999999998</v>
      </c>
      <c r="J446" s="2853">
        <v>0.62419999999999998</v>
      </c>
      <c r="K446" s="2853">
        <v>0.62419999999999998</v>
      </c>
      <c r="L446" s="2853">
        <v>0.62419999999999998</v>
      </c>
      <c r="M446" s="2854">
        <v>0.62419999999999998</v>
      </c>
    </row>
    <row r="447" spans="1:13">
      <c r="A447" s="2852">
        <v>8.6</v>
      </c>
      <c r="B447" s="2853">
        <v>0.85129999999999995</v>
      </c>
      <c r="C447" s="2853">
        <v>0.85129999999999995</v>
      </c>
      <c r="D447" s="2853">
        <v>0.78129999999999999</v>
      </c>
      <c r="E447" s="2853">
        <v>0.78129999999999999</v>
      </c>
      <c r="F447" s="2853">
        <v>0.78129999999999999</v>
      </c>
      <c r="G447" s="2853">
        <v>0.78129999999999999</v>
      </c>
      <c r="H447" s="2853">
        <v>0.78129999999999999</v>
      </c>
      <c r="I447" s="2853">
        <v>0.62229999999999996</v>
      </c>
      <c r="J447" s="2853">
        <v>0.62229999999999996</v>
      </c>
      <c r="K447" s="2853">
        <v>0.62229999999999996</v>
      </c>
      <c r="L447" s="2853">
        <v>0.62229999999999996</v>
      </c>
      <c r="M447" s="2854">
        <v>0.62229999999999996</v>
      </c>
    </row>
    <row r="448" spans="1:13">
      <c r="A448" s="2852">
        <v>8.6999999999999993</v>
      </c>
      <c r="B448" s="2853">
        <v>0.85</v>
      </c>
      <c r="C448" s="2853">
        <v>0.85</v>
      </c>
      <c r="D448" s="2853">
        <v>0.77969999999999995</v>
      </c>
      <c r="E448" s="2853">
        <v>0.77969999999999995</v>
      </c>
      <c r="F448" s="2853">
        <v>0.77969999999999995</v>
      </c>
      <c r="G448" s="2853">
        <v>0.77969999999999995</v>
      </c>
      <c r="H448" s="2853">
        <v>0.77969999999999995</v>
      </c>
      <c r="I448" s="2853">
        <v>0.62039999999999995</v>
      </c>
      <c r="J448" s="2853">
        <v>0.62039999999999995</v>
      </c>
      <c r="K448" s="2853">
        <v>0.62039999999999995</v>
      </c>
      <c r="L448" s="2853">
        <v>0.62039999999999995</v>
      </c>
      <c r="M448" s="2854">
        <v>0.62039999999999995</v>
      </c>
    </row>
    <row r="449" spans="1:13">
      <c r="A449" s="2852">
        <v>8.8000000000000007</v>
      </c>
      <c r="B449" s="2853">
        <v>0.84860000000000002</v>
      </c>
      <c r="C449" s="2853">
        <v>0.84860000000000002</v>
      </c>
      <c r="D449" s="2853">
        <v>0.7782</v>
      </c>
      <c r="E449" s="2853">
        <v>0.7782</v>
      </c>
      <c r="F449" s="2853">
        <v>0.7782</v>
      </c>
      <c r="G449" s="2853">
        <v>0.7782</v>
      </c>
      <c r="H449" s="2853">
        <v>0.7782</v>
      </c>
      <c r="I449" s="2853">
        <v>0.61850000000000005</v>
      </c>
      <c r="J449" s="2853">
        <v>0.61850000000000005</v>
      </c>
      <c r="K449" s="2853">
        <v>0.61850000000000005</v>
      </c>
      <c r="L449" s="2853">
        <v>0.61850000000000005</v>
      </c>
      <c r="M449" s="2854">
        <v>0.61850000000000005</v>
      </c>
    </row>
    <row r="450" spans="1:13">
      <c r="A450" s="2852">
        <v>8.9</v>
      </c>
      <c r="B450" s="2853">
        <v>0.84740000000000004</v>
      </c>
      <c r="C450" s="2853">
        <v>0.84740000000000004</v>
      </c>
      <c r="D450" s="2853">
        <v>0.77669999999999995</v>
      </c>
      <c r="E450" s="2853">
        <v>0.77669999999999995</v>
      </c>
      <c r="F450" s="2853">
        <v>0.77669999999999995</v>
      </c>
      <c r="G450" s="2853">
        <v>0.77669999999999995</v>
      </c>
      <c r="H450" s="2853">
        <v>0.77669999999999995</v>
      </c>
      <c r="I450" s="2853">
        <v>0.61670000000000003</v>
      </c>
      <c r="J450" s="2853">
        <v>0.61670000000000003</v>
      </c>
      <c r="K450" s="2853">
        <v>0.61670000000000003</v>
      </c>
      <c r="L450" s="2853">
        <v>0.61670000000000003</v>
      </c>
      <c r="M450" s="2854">
        <v>0.61670000000000003</v>
      </c>
    </row>
    <row r="451" spans="1:13">
      <c r="A451" s="2855">
        <v>9</v>
      </c>
      <c r="B451" s="2853">
        <v>0.84619999999999995</v>
      </c>
      <c r="C451" s="2853">
        <v>0.84619999999999995</v>
      </c>
      <c r="D451" s="2853">
        <v>0.77510000000000001</v>
      </c>
      <c r="E451" s="2853">
        <v>0.77510000000000001</v>
      </c>
      <c r="F451" s="2853">
        <v>0.77510000000000001</v>
      </c>
      <c r="G451" s="2853">
        <v>0.77510000000000001</v>
      </c>
      <c r="H451" s="2853">
        <v>0.77510000000000001</v>
      </c>
      <c r="I451" s="2853">
        <v>0.61480000000000001</v>
      </c>
      <c r="J451" s="2853">
        <v>0.61480000000000001</v>
      </c>
      <c r="K451" s="2853">
        <v>0.61480000000000001</v>
      </c>
      <c r="L451" s="2853">
        <v>0.61480000000000001</v>
      </c>
      <c r="M451" s="2854">
        <v>0.61480000000000001</v>
      </c>
    </row>
    <row r="452" spans="1:13">
      <c r="A452" s="2855">
        <v>9.1</v>
      </c>
      <c r="B452" s="2853">
        <v>0.84499999999999997</v>
      </c>
      <c r="C452" s="2853">
        <v>0.84499999999999997</v>
      </c>
      <c r="D452" s="2853">
        <v>0.77359999999999995</v>
      </c>
      <c r="E452" s="2853">
        <v>0.77359999999999995</v>
      </c>
      <c r="F452" s="2853">
        <v>0.77359999999999995</v>
      </c>
      <c r="G452" s="2853">
        <v>0.77359999999999995</v>
      </c>
      <c r="H452" s="2853">
        <v>0.77359999999999995</v>
      </c>
      <c r="I452" s="2853">
        <v>0.61299999999999999</v>
      </c>
      <c r="J452" s="2853">
        <v>0.61299999999999999</v>
      </c>
      <c r="K452" s="2853">
        <v>0.61299999999999999</v>
      </c>
      <c r="L452" s="2853">
        <v>0.61299999999999999</v>
      </c>
      <c r="M452" s="2854">
        <v>0.61299999999999999</v>
      </c>
    </row>
    <row r="453" spans="1:13">
      <c r="A453" s="2855">
        <v>9.1999999999999993</v>
      </c>
      <c r="B453" s="2853">
        <v>0.84370000000000001</v>
      </c>
      <c r="C453" s="2853">
        <v>0.84370000000000001</v>
      </c>
      <c r="D453" s="2853">
        <v>0.77210000000000001</v>
      </c>
      <c r="E453" s="2853">
        <v>0.77210000000000001</v>
      </c>
      <c r="F453" s="2853">
        <v>0.77210000000000001</v>
      </c>
      <c r="G453" s="2853">
        <v>0.77210000000000001</v>
      </c>
      <c r="H453" s="2853">
        <v>0.77210000000000001</v>
      </c>
      <c r="I453" s="2853">
        <v>0.61119999999999997</v>
      </c>
      <c r="J453" s="2853">
        <v>0.61119999999999997</v>
      </c>
      <c r="K453" s="2853">
        <v>0.61119999999999997</v>
      </c>
      <c r="L453" s="2853">
        <v>0.61119999999999997</v>
      </c>
      <c r="M453" s="2854">
        <v>0.61119999999999997</v>
      </c>
    </row>
    <row r="454" spans="1:13">
      <c r="A454" s="2855">
        <v>9.3000000000000007</v>
      </c>
      <c r="B454" s="2853">
        <v>0.84250000000000003</v>
      </c>
      <c r="C454" s="2853">
        <v>0.84250000000000003</v>
      </c>
      <c r="D454" s="2853">
        <v>0.77059999999999995</v>
      </c>
      <c r="E454" s="2853">
        <v>0.77059999999999995</v>
      </c>
      <c r="F454" s="2853">
        <v>0.77059999999999995</v>
      </c>
      <c r="G454" s="2853">
        <v>0.77059999999999995</v>
      </c>
      <c r="H454" s="2853">
        <v>0.77059999999999995</v>
      </c>
      <c r="I454" s="2853">
        <v>0.60940000000000005</v>
      </c>
      <c r="J454" s="2853">
        <v>0.60940000000000005</v>
      </c>
      <c r="K454" s="2853">
        <v>0.60940000000000005</v>
      </c>
      <c r="L454" s="2853">
        <v>0.60940000000000005</v>
      </c>
      <c r="M454" s="2854">
        <v>0.60940000000000005</v>
      </c>
    </row>
    <row r="455" spans="1:13">
      <c r="A455" s="2855">
        <v>9.4</v>
      </c>
      <c r="B455" s="2853">
        <v>0.84130000000000005</v>
      </c>
      <c r="C455" s="2853">
        <v>0.84130000000000005</v>
      </c>
      <c r="D455" s="2853">
        <v>0.76900000000000002</v>
      </c>
      <c r="E455" s="2853">
        <v>0.76900000000000002</v>
      </c>
      <c r="F455" s="2853">
        <v>0.76900000000000002</v>
      </c>
      <c r="G455" s="2853">
        <v>0.76900000000000002</v>
      </c>
      <c r="H455" s="2853">
        <v>0.76900000000000002</v>
      </c>
      <c r="I455" s="2853">
        <v>0.60760000000000003</v>
      </c>
      <c r="J455" s="2853">
        <v>0.60760000000000003</v>
      </c>
      <c r="K455" s="2853">
        <v>0.60760000000000003</v>
      </c>
      <c r="L455" s="2853">
        <v>0.60760000000000003</v>
      </c>
      <c r="M455" s="2854">
        <v>0.60760000000000003</v>
      </c>
    </row>
    <row r="456" spans="1:13">
      <c r="A456" s="2855">
        <v>9.5</v>
      </c>
      <c r="B456" s="2853">
        <v>0.84009999999999996</v>
      </c>
      <c r="C456" s="2853">
        <v>0.84009999999999996</v>
      </c>
      <c r="D456" s="2853">
        <v>0.76759999999999995</v>
      </c>
      <c r="E456" s="2853">
        <v>0.76759999999999995</v>
      </c>
      <c r="F456" s="2853">
        <v>0.76759999999999995</v>
      </c>
      <c r="G456" s="2853">
        <v>0.76759999999999995</v>
      </c>
      <c r="H456" s="2853">
        <v>0.76759999999999995</v>
      </c>
      <c r="I456" s="2853">
        <v>0.60580000000000001</v>
      </c>
      <c r="J456" s="2853">
        <v>0.60580000000000001</v>
      </c>
      <c r="K456" s="2853">
        <v>0.60580000000000001</v>
      </c>
      <c r="L456" s="2853">
        <v>0.60580000000000001</v>
      </c>
      <c r="M456" s="2854">
        <v>0.60580000000000001</v>
      </c>
    </row>
    <row r="457" spans="1:13">
      <c r="A457" s="2855">
        <v>9.6</v>
      </c>
      <c r="B457" s="2853">
        <v>0.83899999999999997</v>
      </c>
      <c r="C457" s="2853">
        <v>0.83899999999999997</v>
      </c>
      <c r="D457" s="2853">
        <v>0.76619999999999999</v>
      </c>
      <c r="E457" s="2853">
        <v>0.76619999999999999</v>
      </c>
      <c r="F457" s="2853">
        <v>0.76619999999999999</v>
      </c>
      <c r="G457" s="2853">
        <v>0.76619999999999999</v>
      </c>
      <c r="H457" s="2853">
        <v>0.76619999999999999</v>
      </c>
      <c r="I457" s="2853">
        <v>0.60409999999999997</v>
      </c>
      <c r="J457" s="2853">
        <v>0.60409999999999997</v>
      </c>
      <c r="K457" s="2853">
        <v>0.60409999999999997</v>
      </c>
      <c r="L457" s="2853">
        <v>0.60409999999999997</v>
      </c>
      <c r="M457" s="2854">
        <v>0.60409999999999997</v>
      </c>
    </row>
    <row r="458" spans="1:13">
      <c r="A458" s="2855">
        <v>9.6999999999999993</v>
      </c>
      <c r="B458" s="2853">
        <v>0.83779999999999999</v>
      </c>
      <c r="C458" s="2853">
        <v>0.83779999999999999</v>
      </c>
      <c r="D458" s="2853">
        <v>0.76480000000000004</v>
      </c>
      <c r="E458" s="2853">
        <v>0.76480000000000004</v>
      </c>
      <c r="F458" s="2853">
        <v>0.76480000000000004</v>
      </c>
      <c r="G458" s="2853">
        <v>0.76480000000000004</v>
      </c>
      <c r="H458" s="2853">
        <v>0.76480000000000004</v>
      </c>
      <c r="I458" s="2853">
        <v>0.60240000000000005</v>
      </c>
      <c r="J458" s="2853">
        <v>0.60240000000000005</v>
      </c>
      <c r="K458" s="2853">
        <v>0.60240000000000005</v>
      </c>
      <c r="L458" s="2853">
        <v>0.60240000000000005</v>
      </c>
      <c r="M458" s="2854">
        <v>0.60240000000000005</v>
      </c>
    </row>
    <row r="459" spans="1:13">
      <c r="A459" s="2855">
        <v>9.8000000000000007</v>
      </c>
      <c r="B459" s="2853">
        <v>0.8367</v>
      </c>
      <c r="C459" s="2853">
        <v>0.8367</v>
      </c>
      <c r="D459" s="2853">
        <v>0.76329999999999998</v>
      </c>
      <c r="E459" s="2853">
        <v>0.76329999999999998</v>
      </c>
      <c r="F459" s="2853">
        <v>0.76329999999999998</v>
      </c>
      <c r="G459" s="2853">
        <v>0.76329999999999998</v>
      </c>
      <c r="H459" s="2853">
        <v>0.76329999999999998</v>
      </c>
      <c r="I459" s="2853">
        <v>0.60060000000000002</v>
      </c>
      <c r="J459" s="2853">
        <v>0.60060000000000002</v>
      </c>
      <c r="K459" s="2853">
        <v>0.60060000000000002</v>
      </c>
      <c r="L459" s="2853">
        <v>0.60060000000000002</v>
      </c>
      <c r="M459" s="2854">
        <v>0.60060000000000002</v>
      </c>
    </row>
    <row r="460" spans="1:13" ht="14.25" thickBot="1">
      <c r="A460" s="2856">
        <v>9.9</v>
      </c>
      <c r="B460" s="2857">
        <v>0.83560000000000001</v>
      </c>
      <c r="C460" s="2857">
        <v>0.83560000000000001</v>
      </c>
      <c r="D460" s="2857">
        <v>0.76190000000000002</v>
      </c>
      <c r="E460" s="2857">
        <v>0.76190000000000002</v>
      </c>
      <c r="F460" s="2857">
        <v>0.76190000000000002</v>
      </c>
      <c r="G460" s="2857">
        <v>0.76190000000000002</v>
      </c>
      <c r="H460" s="2857">
        <v>0.76190000000000002</v>
      </c>
      <c r="I460" s="2857">
        <v>0.59889999999999999</v>
      </c>
      <c r="J460" s="2857">
        <v>0.59889999999999999</v>
      </c>
      <c r="K460" s="2857">
        <v>0.59889999999999999</v>
      </c>
      <c r="L460" s="2857">
        <v>0.59889999999999999</v>
      </c>
      <c r="M460" s="285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34742</v>
      </c>
      <c r="C2" s="2" t="s">
        <v>106</v>
      </c>
      <c r="D2" s="185"/>
      <c r="E2" s="185"/>
      <c r="F2" s="185"/>
      <c r="G2" s="185"/>
    </row>
    <row r="3" spans="1:7" s="186" customFormat="1" ht="18" customHeight="1" thickBot="1">
      <c r="A3" s="189" t="s">
        <v>58</v>
      </c>
      <c r="B3" s="190">
        <f ca="1">ROUND(B2*10000/'数据-汇总表'!E3,0)</f>
        <v>58102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160</v>
      </c>
      <c r="F9" s="207"/>
      <c r="G9" s="212"/>
    </row>
    <row r="10" spans="1:7" s="200" customFormat="1" ht="13.5" customHeight="1">
      <c r="A10" s="726" t="s">
        <v>356</v>
      </c>
      <c r="B10" s="210" t="s">
        <v>67</v>
      </c>
      <c r="C10" s="211">
        <f>ROUND(D10*E10/10000,0)</f>
        <v>120</v>
      </c>
      <c r="D10" s="788">
        <f>'数据-汇总表'!E6</f>
        <v>5979.5300000000007</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120</v>
      </c>
      <c r="D19" s="198">
        <f>'数据-汇总表'!E3</f>
        <v>5979.5300000000007</v>
      </c>
      <c r="E19" s="197">
        <f>'数据-取费表'!B31</f>
        <v>200</v>
      </c>
      <c r="F19" s="217"/>
      <c r="G19" s="1" t="s">
        <v>436</v>
      </c>
    </row>
    <row r="20" spans="1:7" s="200" customFormat="1" ht="13.5" customHeight="1">
      <c r="A20" s="724" t="s">
        <v>419</v>
      </c>
      <c r="B20" s="196" t="s">
        <v>77</v>
      </c>
      <c r="C20" s="218">
        <f>ROUND((C5+C19)*F20,0)</f>
        <v>622</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2253</v>
      </c>
      <c r="D22" s="221">
        <f ca="1">C26</f>
        <v>1.6000000000000001E-3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2208</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13</v>
      </c>
      <c r="D24" s="224"/>
      <c r="E24" s="224"/>
      <c r="F24" s="225"/>
      <c r="G24" s="226" t="s">
        <v>82</v>
      </c>
    </row>
    <row r="25" spans="1:7" s="200" customFormat="1" ht="24">
      <c r="A25" s="727" t="s">
        <v>348</v>
      </c>
      <c r="B25" s="201" t="s">
        <v>420</v>
      </c>
      <c r="C25" s="1035">
        <f ca="1">ROUND(IF('数据-取费表'!B22&lt;=1,C20*F22*'数据-取费表'!B23/2,C20*(POWER((1+F22),'数据-取费表'!B23/2)-1)),0)</f>
        <v>32</v>
      </c>
      <c r="D25" s="224"/>
      <c r="E25" s="227"/>
      <c r="F25" s="225"/>
      <c r="G25" s="228" t="s">
        <v>83</v>
      </c>
    </row>
    <row r="26" spans="1:7" s="200" customFormat="1">
      <c r="A26" s="727" t="s">
        <v>350</v>
      </c>
      <c r="B26" s="201" t="s">
        <v>422</v>
      </c>
      <c r="C26" s="224">
        <f ca="1">ROUND(IF('数据-取费表'!B22&lt;=1,F21*F22*'数据-取费表'!B23/2,F21*(POWER((1+F22),'数据-取费表'!B23/2)-1)),4)</f>
        <v>1.6000000000000001E-3</v>
      </c>
      <c r="D26" s="224"/>
      <c r="E26" s="227"/>
      <c r="F26" s="225"/>
      <c r="G26" s="229"/>
    </row>
    <row r="27" spans="1:7" s="200" customFormat="1" ht="24.75">
      <c r="A27" s="724" t="s">
        <v>342</v>
      </c>
      <c r="B27" s="230" t="s">
        <v>85</v>
      </c>
      <c r="C27" s="231">
        <f>C28</f>
        <v>4270</v>
      </c>
      <c r="D27" s="221">
        <f>C29</f>
        <v>6.0000000000000001E-3</v>
      </c>
      <c r="E27" s="222" t="s">
        <v>99</v>
      </c>
      <c r="F27" s="232">
        <f>'数据-取费表'!Q16</f>
        <v>0.2</v>
      </c>
      <c r="G27" s="233" t="s">
        <v>431</v>
      </c>
    </row>
    <row r="28" spans="1:7" s="200" customFormat="1" ht="13.5" customHeight="1">
      <c r="A28" s="727" t="s">
        <v>349</v>
      </c>
      <c r="B28" s="234" t="s">
        <v>424</v>
      </c>
      <c r="C28" s="235">
        <f>ROUND((C5+C19+C20)*F27*'数据-取费表'!B21/'数据-取费表'!B20,0)</f>
        <v>4270</v>
      </c>
      <c r="D28" s="221"/>
      <c r="E28" s="222"/>
      <c r="F28" s="232"/>
      <c r="G28" s="233"/>
    </row>
    <row r="29" spans="1:7" s="200" customFormat="1" ht="13.5" customHeight="1">
      <c r="A29" s="727" t="s">
        <v>347</v>
      </c>
      <c r="B29" s="234" t="s">
        <v>425</v>
      </c>
      <c r="C29" s="224">
        <f>ROUND(C21*F27*'数据-取费表'!B21/'数据-取费表'!B20,4)</f>
        <v>6.0000000000000001E-3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30663</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3305</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2990</v>
      </c>
      <c r="D34" s="203"/>
      <c r="E34" s="206"/>
      <c r="F34" s="243">
        <f>IF('数据-取费表'!B24=0,1,'数据-取费表'!N16)</f>
        <v>1</v>
      </c>
      <c r="G34" s="205" t="s">
        <v>89</v>
      </c>
    </row>
    <row r="35" spans="1:7" ht="13.5" customHeight="1">
      <c r="A35" s="727" t="s">
        <v>351</v>
      </c>
      <c r="B35" s="201" t="s">
        <v>33</v>
      </c>
      <c r="C35" s="206">
        <f>ROUND(C34*F35,0)</f>
        <v>150</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120</v>
      </c>
      <c r="D37" s="203">
        <f>'数据-汇总表'!E3</f>
        <v>5979.5300000000007</v>
      </c>
      <c r="E37" s="235">
        <f>'数据-取费表'!B35</f>
        <v>200</v>
      </c>
      <c r="F37" s="245"/>
      <c r="G37" s="247" t="s">
        <v>92</v>
      </c>
    </row>
    <row r="38" spans="1:7" ht="13.5" customHeight="1">
      <c r="A38" s="727" t="s">
        <v>354</v>
      </c>
      <c r="B38" s="201" t="s">
        <v>36</v>
      </c>
      <c r="C38" s="206">
        <f>ROUND(C34*F38,0)</f>
        <v>45</v>
      </c>
      <c r="D38" s="206"/>
      <c r="E38" s="206"/>
      <c r="F38" s="245">
        <f>'数据-取费表'!B36</f>
        <v>1.4999999999999999E-2</v>
      </c>
      <c r="G38" s="205" t="s">
        <v>90</v>
      </c>
    </row>
    <row r="39" spans="1:7" s="200" customFormat="1" ht="13.5" customHeight="1">
      <c r="A39" s="724" t="s">
        <v>338</v>
      </c>
      <c r="B39" s="196" t="s">
        <v>77</v>
      </c>
      <c r="C39" s="218">
        <f>ROUND(C33*F20,0)</f>
        <v>99</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178</v>
      </c>
      <c r="D41" s="221">
        <f ca="1">C44</f>
        <v>1.6000000000000001E-3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173</v>
      </c>
      <c r="D42" s="224"/>
      <c r="E42" s="224"/>
      <c r="F42" s="225"/>
      <c r="G42" s="3483" t="s">
        <v>94</v>
      </c>
    </row>
    <row r="43" spans="1:7" ht="13.5" customHeight="1">
      <c r="A43" s="727" t="s">
        <v>347</v>
      </c>
      <c r="B43" s="201" t="s">
        <v>426</v>
      </c>
      <c r="C43" s="224">
        <f ca="1">ROUND(IF('数据-取费表'!B22&lt;=1,C39*F22*'数据-取费表'!B21/2,C39*(POWER((1+F22),'数据-取费表'!B21/2)-1)),0)</f>
        <v>5</v>
      </c>
      <c r="D43" s="224"/>
      <c r="E43" s="224"/>
      <c r="F43" s="225"/>
      <c r="G43" s="3484"/>
    </row>
    <row r="44" spans="1:7" ht="13.5" customHeight="1">
      <c r="A44" s="727" t="s">
        <v>348</v>
      </c>
      <c r="B44" s="201" t="s">
        <v>428</v>
      </c>
      <c r="C44" s="224">
        <f ca="1">ROUND(IF('数据-取费表'!B22&lt;=1,C40*F22*'数据-取费表'!B21/2,C40*(POWER((1+F22),'数据-取费表'!B21/2)-1)),4)</f>
        <v>1.6000000000000001E-3</v>
      </c>
      <c r="D44" s="224"/>
      <c r="E44" s="224"/>
      <c r="F44" s="225"/>
      <c r="G44" s="3485"/>
    </row>
    <row r="45" spans="1:7" s="200" customFormat="1" ht="13.5" customHeight="1">
      <c r="A45" s="724" t="s">
        <v>341</v>
      </c>
      <c r="B45" s="230" t="s">
        <v>85</v>
      </c>
      <c r="C45" s="231">
        <f>C46</f>
        <v>681</v>
      </c>
      <c r="D45" s="221">
        <f>C47</f>
        <v>6.0000000000000001E-3</v>
      </c>
      <c r="E45" s="222" t="s">
        <v>102</v>
      </c>
      <c r="F45" s="232"/>
      <c r="G45" s="233" t="s">
        <v>434</v>
      </c>
    </row>
    <row r="46" spans="1:7" s="200" customFormat="1" ht="13.5" customHeight="1">
      <c r="A46" s="727" t="s">
        <v>349</v>
      </c>
      <c r="B46" s="234" t="s">
        <v>427</v>
      </c>
      <c r="C46" s="235">
        <f>ROUND((C33+C39)*F27,0)</f>
        <v>681</v>
      </c>
      <c r="D46" s="249"/>
      <c r="E46" s="222"/>
      <c r="F46" s="232"/>
      <c r="G46" s="233"/>
    </row>
    <row r="47" spans="1:7" s="200" customFormat="1" ht="13.5" customHeight="1">
      <c r="A47" s="727" t="s">
        <v>347</v>
      </c>
      <c r="B47" s="234" t="s">
        <v>429</v>
      </c>
      <c r="C47" s="224">
        <f>ROUND(C40*F27,4)</f>
        <v>6.0000000000000001E-3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4689</v>
      </c>
      <c r="D49" s="218"/>
      <c r="E49" s="218"/>
      <c r="F49" s="250"/>
      <c r="G49" s="220" t="s">
        <v>435</v>
      </c>
    </row>
    <row r="50" spans="1:7" s="244" customFormat="1" ht="24">
      <c r="A50" s="724" t="s">
        <v>344</v>
      </c>
      <c r="B50" s="196" t="s">
        <v>97</v>
      </c>
      <c r="C50" s="218"/>
      <c r="D50" s="218"/>
      <c r="E50" s="218"/>
      <c r="F50" s="250">
        <f>IF('数据-取费表'!B24=0,'数据-取费表'!N16,1)</f>
        <v>0.87</v>
      </c>
      <c r="G50" s="233" t="s">
        <v>98</v>
      </c>
    </row>
    <row r="51" spans="1:7" ht="16.5" customHeight="1">
      <c r="A51" s="724" t="s">
        <v>345</v>
      </c>
      <c r="B51" s="196" t="s">
        <v>105</v>
      </c>
      <c r="C51" s="218">
        <f ca="1">ROUND(C49*F50,0)</f>
        <v>4079</v>
      </c>
      <c r="D51" s="218"/>
      <c r="E51" s="218"/>
      <c r="F51" s="250"/>
      <c r="G51" s="220" t="s">
        <v>37</v>
      </c>
    </row>
    <row r="52" spans="1:7" s="194" customFormat="1" ht="16.5" thickBot="1">
      <c r="A52" s="251" t="s">
        <v>38</v>
      </c>
      <c r="B52" s="252"/>
      <c r="C52" s="253">
        <f ca="1">C31+C51</f>
        <v>34742</v>
      </c>
      <c r="D52" s="252"/>
      <c r="E52" s="252"/>
      <c r="F52" s="252"/>
      <c r="G52" s="254"/>
    </row>
    <row r="55" spans="1:7" ht="15">
      <c r="B55" s="256" t="s">
        <v>39</v>
      </c>
      <c r="C55" s="257"/>
    </row>
    <row r="56" spans="1:7">
      <c r="B56" s="259" t="s">
        <v>40</v>
      </c>
      <c r="C56" s="260">
        <f ca="1">ROUND(C51/C52,3)</f>
        <v>0.11700000000000001</v>
      </c>
    </row>
    <row r="57" spans="1:7">
      <c r="B57" s="259" t="s">
        <v>41</v>
      </c>
      <c r="C57" s="261">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3" customWidth="1"/>
    <col min="2" max="2" width="18.625" style="2763" customWidth="1"/>
    <col min="3" max="6" width="10.25" style="2763" customWidth="1"/>
    <col min="7" max="7" width="10.5" style="2763" bestFit="1" customWidth="1"/>
    <col min="8" max="8" width="8.875" style="2762"/>
    <col min="9" max="9" width="13.375" style="2762" customWidth="1"/>
    <col min="10" max="13" width="13.375" style="2763" customWidth="1"/>
    <col min="14" max="14" width="18.25" style="2763" customWidth="1"/>
    <col min="15" max="17" width="15.125" style="2763" customWidth="1"/>
    <col min="18" max="20" width="11.5" style="2763" customWidth="1"/>
    <col min="21" max="16384" width="8.875" style="2763"/>
  </cols>
  <sheetData>
    <row r="1" spans="1:20" ht="12" thickBot="1">
      <c r="A1" s="3601" t="s">
        <v>2837</v>
      </c>
      <c r="B1" s="3601"/>
      <c r="C1" s="3601"/>
      <c r="D1" s="3601"/>
      <c r="E1" s="3601"/>
      <c r="F1" s="3601"/>
      <c r="G1" s="3602"/>
      <c r="I1" s="2919" t="s">
        <v>2838</v>
      </c>
      <c r="J1" s="2920" t="s">
        <v>2839</v>
      </c>
      <c r="K1" s="2920" t="s">
        <v>2840</v>
      </c>
      <c r="L1" s="2920" t="s">
        <v>2841</v>
      </c>
      <c r="M1" s="2920" t="s">
        <v>2842</v>
      </c>
      <c r="N1" s="2920" t="s">
        <v>2843</v>
      </c>
      <c r="O1" s="2920" t="s">
        <v>2844</v>
      </c>
      <c r="P1" s="2920" t="s">
        <v>2845</v>
      </c>
      <c r="Q1" s="2920" t="s">
        <v>2846</v>
      </c>
      <c r="R1" s="2920" t="s">
        <v>2847</v>
      </c>
      <c r="S1" s="2920" t="s">
        <v>2848</v>
      </c>
      <c r="T1" s="2921" t="s">
        <v>2849</v>
      </c>
    </row>
    <row r="2" spans="1:20" ht="12" thickBot="1">
      <c r="A2" s="2922" t="s">
        <v>2850</v>
      </c>
      <c r="B2" s="2922"/>
      <c r="C2" s="2922"/>
      <c r="D2" s="2922"/>
      <c r="E2" s="2922"/>
      <c r="F2" s="2922"/>
      <c r="G2" s="2923" t="s">
        <v>2851</v>
      </c>
      <c r="I2" s="2924" t="s">
        <v>2852</v>
      </c>
      <c r="J2" s="2924" t="s">
        <v>2853</v>
      </c>
      <c r="K2" s="2924" t="s">
        <v>2854</v>
      </c>
      <c r="L2" s="2924" t="s">
        <v>2855</v>
      </c>
      <c r="M2" s="2924" t="s">
        <v>2856</v>
      </c>
      <c r="N2" s="2924" t="s">
        <v>2857</v>
      </c>
      <c r="O2" s="2924" t="s">
        <v>2858</v>
      </c>
      <c r="P2" s="2924" t="s">
        <v>2859</v>
      </c>
      <c r="Q2" s="2924" t="s">
        <v>2860</v>
      </c>
      <c r="R2" s="2924" t="s">
        <v>2861</v>
      </c>
      <c r="S2" s="2924" t="s">
        <v>2862</v>
      </c>
      <c r="T2" s="2924" t="s">
        <v>2863</v>
      </c>
    </row>
    <row r="3" spans="1:20" s="2930" customFormat="1">
      <c r="A3" s="3599" t="s">
        <v>2864</v>
      </c>
      <c r="B3" s="2925"/>
      <c r="C3" s="2926" t="s">
        <v>2809</v>
      </c>
      <c r="D3" s="2926" t="s">
        <v>2865</v>
      </c>
      <c r="E3" s="2926" t="s">
        <v>2811</v>
      </c>
      <c r="F3" s="2926" t="s">
        <v>2866</v>
      </c>
      <c r="G3" s="2926" t="s">
        <v>2629</v>
      </c>
      <c r="H3" s="2927"/>
      <c r="I3" s="2928" t="s">
        <v>2867</v>
      </c>
      <c r="J3" s="2929" t="s">
        <v>128</v>
      </c>
      <c r="K3" s="2929" t="s">
        <v>129</v>
      </c>
      <c r="L3" s="2928" t="s">
        <v>130</v>
      </c>
      <c r="M3" s="2928" t="s">
        <v>131</v>
      </c>
      <c r="N3" s="2928" t="s">
        <v>132</v>
      </c>
      <c r="O3" s="2928" t="s">
        <v>133</v>
      </c>
      <c r="P3" s="2928" t="s">
        <v>134</v>
      </c>
      <c r="Q3" s="2928" t="s">
        <v>135</v>
      </c>
      <c r="R3" s="2928" t="s">
        <v>136</v>
      </c>
      <c r="S3" s="2928" t="s">
        <v>2868</v>
      </c>
      <c r="T3" s="2928" t="s">
        <v>2869</v>
      </c>
    </row>
    <row r="4" spans="1:20" s="2930" customFormat="1" ht="12" thickBot="1">
      <c r="A4" s="3600"/>
      <c r="B4" s="2931" t="s">
        <v>2870</v>
      </c>
      <c r="C4" s="2931" t="s">
        <v>2871</v>
      </c>
      <c r="D4" s="2931" t="s">
        <v>2871</v>
      </c>
      <c r="E4" s="2931" t="s">
        <v>2871</v>
      </c>
      <c r="F4" s="2932" t="s">
        <v>2871</v>
      </c>
      <c r="G4" s="2932" t="s">
        <v>2871</v>
      </c>
      <c r="H4" s="2927"/>
      <c r="I4" s="2929" t="s">
        <v>137</v>
      </c>
      <c r="J4" s="2929" t="s">
        <v>111</v>
      </c>
      <c r="K4" s="2929" t="s">
        <v>138</v>
      </c>
      <c r="L4" s="2928" t="s">
        <v>139</v>
      </c>
      <c r="M4" s="2928" t="s">
        <v>140</v>
      </c>
      <c r="N4" s="2928" t="s">
        <v>141</v>
      </c>
      <c r="O4" s="2928" t="s">
        <v>142</v>
      </c>
      <c r="P4" s="2928" t="s">
        <v>143</v>
      </c>
      <c r="Q4" s="2928" t="s">
        <v>2872</v>
      </c>
      <c r="R4" s="2928" t="s">
        <v>2873</v>
      </c>
      <c r="S4" s="2928" t="s">
        <v>2874</v>
      </c>
      <c r="T4" s="2928" t="s">
        <v>2875</v>
      </c>
    </row>
    <row r="5" spans="1:20">
      <c r="A5" s="2933" t="s">
        <v>2838</v>
      </c>
      <c r="B5" s="2924" t="s">
        <v>2852</v>
      </c>
      <c r="C5" s="2924">
        <v>34550</v>
      </c>
      <c r="D5" s="2924">
        <v>34470</v>
      </c>
      <c r="E5" s="2924">
        <v>34330</v>
      </c>
      <c r="F5" s="2924">
        <v>13400</v>
      </c>
      <c r="G5" s="2924">
        <v>25450</v>
      </c>
      <c r="H5" s="2927"/>
      <c r="I5" s="2928" t="s">
        <v>145</v>
      </c>
      <c r="J5" s="2929" t="s">
        <v>146</v>
      </c>
      <c r="K5" s="2929" t="s">
        <v>147</v>
      </c>
      <c r="L5" s="2928" t="s">
        <v>148</v>
      </c>
      <c r="M5" s="2928" t="s">
        <v>149</v>
      </c>
      <c r="N5" s="2928" t="s">
        <v>150</v>
      </c>
      <c r="O5" s="2928" t="s">
        <v>151</v>
      </c>
      <c r="P5" s="2928" t="s">
        <v>152</v>
      </c>
      <c r="Q5" s="2928" t="s">
        <v>2876</v>
      </c>
      <c r="R5" s="2928" t="s">
        <v>2877</v>
      </c>
      <c r="S5" s="2928" t="s">
        <v>153</v>
      </c>
      <c r="T5" s="2928" t="s">
        <v>2878</v>
      </c>
    </row>
    <row r="6" spans="1:20" ht="12" thickBot="1">
      <c r="A6" s="2928" t="s">
        <v>144</v>
      </c>
      <c r="B6" s="2928" t="s">
        <v>2867</v>
      </c>
      <c r="C6" s="2928">
        <v>36990</v>
      </c>
      <c r="D6" s="2928">
        <v>36850</v>
      </c>
      <c r="E6" s="2928">
        <v>36700</v>
      </c>
      <c r="F6" s="2928">
        <v>14590</v>
      </c>
      <c r="G6" s="2928">
        <v>27450</v>
      </c>
      <c r="H6" s="2927"/>
      <c r="I6" s="2934" t="s">
        <v>154</v>
      </c>
      <c r="J6" s="2929" t="s">
        <v>155</v>
      </c>
      <c r="K6" s="2929" t="s">
        <v>156</v>
      </c>
      <c r="L6" s="2928" t="s">
        <v>157</v>
      </c>
      <c r="M6" s="2928" t="s">
        <v>158</v>
      </c>
      <c r="N6" s="2928" t="s">
        <v>159</v>
      </c>
      <c r="O6" s="2928" t="s">
        <v>160</v>
      </c>
      <c r="P6" s="2928" t="s">
        <v>2879</v>
      </c>
      <c r="Q6" s="2928" t="s">
        <v>2880</v>
      </c>
      <c r="R6" s="2928" t="s">
        <v>161</v>
      </c>
      <c r="S6" s="2928" t="s">
        <v>2881</v>
      </c>
      <c r="T6" s="2928" t="s">
        <v>2882</v>
      </c>
    </row>
    <row r="7" spans="1:20">
      <c r="A7" s="2928" t="s">
        <v>144</v>
      </c>
      <c r="B7" s="2929" t="s">
        <v>137</v>
      </c>
      <c r="C7" s="2928">
        <v>34850</v>
      </c>
      <c r="D7" s="2928">
        <v>34690</v>
      </c>
      <c r="E7" s="2928">
        <v>34550</v>
      </c>
      <c r="F7" s="2928">
        <v>14360</v>
      </c>
      <c r="G7" s="2928">
        <v>25620</v>
      </c>
      <c r="H7" s="2927"/>
      <c r="J7" s="2929" t="s">
        <v>162</v>
      </c>
      <c r="K7" s="2929" t="s">
        <v>163</v>
      </c>
      <c r="L7" s="2928" t="s">
        <v>164</v>
      </c>
      <c r="M7" s="2928" t="s">
        <v>165</v>
      </c>
      <c r="N7" s="2928" t="s">
        <v>166</v>
      </c>
      <c r="O7" s="2928" t="s">
        <v>167</v>
      </c>
      <c r="P7" s="2928" t="s">
        <v>2883</v>
      </c>
      <c r="Q7" s="2928" t="s">
        <v>2884</v>
      </c>
      <c r="R7" s="2928" t="s">
        <v>2885</v>
      </c>
      <c r="S7" s="2928" t="s">
        <v>2886</v>
      </c>
      <c r="T7" s="2928" t="s">
        <v>2887</v>
      </c>
    </row>
    <row r="8" spans="1:20" ht="12" thickBot="1">
      <c r="A8" s="2928" t="s">
        <v>144</v>
      </c>
      <c r="B8" s="2928" t="s">
        <v>145</v>
      </c>
      <c r="C8" s="2928">
        <v>32630</v>
      </c>
      <c r="D8" s="2928">
        <v>32510</v>
      </c>
      <c r="E8" s="2928">
        <v>32420</v>
      </c>
      <c r="F8" s="2928">
        <v>13300</v>
      </c>
      <c r="G8" s="2928">
        <v>24010</v>
      </c>
      <c r="H8" s="2927"/>
      <c r="J8" s="2929" t="s">
        <v>168</v>
      </c>
      <c r="K8" s="2929" t="s">
        <v>169</v>
      </c>
      <c r="L8" s="2928" t="s">
        <v>170</v>
      </c>
      <c r="M8" s="2928" t="s">
        <v>171</v>
      </c>
      <c r="N8" s="2928" t="s">
        <v>172</v>
      </c>
      <c r="O8" s="2928" t="s">
        <v>173</v>
      </c>
      <c r="P8" s="2928" t="s">
        <v>2888</v>
      </c>
      <c r="Q8" s="2928" t="s">
        <v>174</v>
      </c>
      <c r="R8" s="2928" t="s">
        <v>2889</v>
      </c>
      <c r="S8" s="2928" t="s">
        <v>2890</v>
      </c>
      <c r="T8" s="2935" t="s">
        <v>2891</v>
      </c>
    </row>
    <row r="9" spans="1:20" ht="12" thickBot="1">
      <c r="A9" s="2936" t="s">
        <v>144</v>
      </c>
      <c r="B9" s="2934" t="s">
        <v>154</v>
      </c>
      <c r="C9" s="2935">
        <v>36370</v>
      </c>
      <c r="D9" s="2935">
        <v>36210</v>
      </c>
      <c r="E9" s="2935">
        <v>36050</v>
      </c>
      <c r="F9" s="2935"/>
      <c r="G9" s="2935">
        <v>26740</v>
      </c>
      <c r="H9" s="2927"/>
      <c r="J9" s="2929" t="s">
        <v>175</v>
      </c>
      <c r="K9" s="2929" t="s">
        <v>176</v>
      </c>
      <c r="L9" s="2928" t="s">
        <v>177</v>
      </c>
      <c r="M9" s="2928" t="s">
        <v>178</v>
      </c>
      <c r="N9" s="2928" t="s">
        <v>179</v>
      </c>
      <c r="O9" s="2928" t="s">
        <v>180</v>
      </c>
      <c r="P9" s="2928" t="s">
        <v>2892</v>
      </c>
      <c r="Q9" s="2928" t="s">
        <v>182</v>
      </c>
      <c r="R9" s="2928" t="s">
        <v>183</v>
      </c>
      <c r="S9" s="2928" t="s">
        <v>200</v>
      </c>
    </row>
    <row r="10" spans="1:20">
      <c r="A10" s="2933" t="s">
        <v>184</v>
      </c>
      <c r="B10" s="2924" t="s">
        <v>2853</v>
      </c>
      <c r="C10" s="2928">
        <v>32350</v>
      </c>
      <c r="D10" s="2928">
        <v>31430</v>
      </c>
      <c r="E10" s="2928">
        <v>31320</v>
      </c>
      <c r="F10" s="2928">
        <v>10850</v>
      </c>
      <c r="G10" s="2928">
        <v>22860</v>
      </c>
      <c r="H10" s="2927"/>
      <c r="J10" s="2929" t="s">
        <v>185</v>
      </c>
      <c r="K10" s="2929" t="s">
        <v>186</v>
      </c>
      <c r="L10" s="2928" t="s">
        <v>187</v>
      </c>
      <c r="M10" s="2928" t="s">
        <v>188</v>
      </c>
      <c r="N10" s="2928" t="s">
        <v>189</v>
      </c>
      <c r="O10" s="2928" t="s">
        <v>190</v>
      </c>
      <c r="P10" s="2928" t="s">
        <v>181</v>
      </c>
      <c r="Q10" s="2928" t="s">
        <v>192</v>
      </c>
      <c r="R10" s="2928" t="s">
        <v>193</v>
      </c>
      <c r="S10" s="2928" t="s">
        <v>2893</v>
      </c>
    </row>
    <row r="11" spans="1:20">
      <c r="A11" s="2928" t="s">
        <v>184</v>
      </c>
      <c r="B11" s="2929" t="s">
        <v>128</v>
      </c>
      <c r="C11" s="2928">
        <v>31590</v>
      </c>
      <c r="D11" s="2928">
        <v>29490</v>
      </c>
      <c r="E11" s="2928">
        <v>28700</v>
      </c>
      <c r="F11" s="2928">
        <v>10410</v>
      </c>
      <c r="G11" s="2928">
        <v>21460</v>
      </c>
      <c r="H11" s="2927"/>
      <c r="J11" s="2929" t="s">
        <v>194</v>
      </c>
      <c r="K11" s="2929" t="s">
        <v>195</v>
      </c>
      <c r="L11" s="2928" t="s">
        <v>196</v>
      </c>
      <c r="M11" s="2928" t="s">
        <v>197</v>
      </c>
      <c r="N11" s="2928" t="s">
        <v>198</v>
      </c>
      <c r="O11" s="2928" t="s">
        <v>2894</v>
      </c>
      <c r="P11" s="2928" t="s">
        <v>191</v>
      </c>
      <c r="Q11" s="2928" t="s">
        <v>199</v>
      </c>
      <c r="R11" s="2928" t="s">
        <v>2895</v>
      </c>
      <c r="S11" s="2928" t="s">
        <v>2896</v>
      </c>
    </row>
    <row r="12" spans="1:20">
      <c r="A12" s="2928" t="s">
        <v>184</v>
      </c>
      <c r="B12" s="2929" t="s">
        <v>111</v>
      </c>
      <c r="C12" s="2928">
        <v>29640</v>
      </c>
      <c r="D12" s="2928">
        <v>27550</v>
      </c>
      <c r="E12" s="2928">
        <v>28010</v>
      </c>
      <c r="F12" s="2928">
        <v>8730</v>
      </c>
      <c r="G12" s="2928">
        <v>20050</v>
      </c>
      <c r="H12" s="2927"/>
      <c r="J12" s="2929" t="s">
        <v>201</v>
      </c>
      <c r="K12" s="2929" t="s">
        <v>202</v>
      </c>
      <c r="L12" s="2928" t="s">
        <v>203</v>
      </c>
      <c r="M12" s="2928" t="s">
        <v>204</v>
      </c>
      <c r="N12" s="2928" t="s">
        <v>205</v>
      </c>
      <c r="O12" s="2928" t="s">
        <v>2897</v>
      </c>
      <c r="P12" s="2928" t="s">
        <v>2898</v>
      </c>
      <c r="Q12" s="2928" t="s">
        <v>2899</v>
      </c>
      <c r="R12" s="2928" t="s">
        <v>2900</v>
      </c>
      <c r="S12" s="2928" t="s">
        <v>2901</v>
      </c>
    </row>
    <row r="13" spans="1:20">
      <c r="A13" s="2928" t="s">
        <v>184</v>
      </c>
      <c r="B13" s="2929" t="s">
        <v>146</v>
      </c>
      <c r="C13" s="2928">
        <v>29680</v>
      </c>
      <c r="D13" s="2928">
        <v>27660</v>
      </c>
      <c r="E13" s="2928">
        <v>28210</v>
      </c>
      <c r="F13" s="2928">
        <v>9590</v>
      </c>
      <c r="G13" s="2928">
        <v>20120</v>
      </c>
      <c r="H13" s="2927"/>
      <c r="J13" s="2929" t="s">
        <v>208</v>
      </c>
      <c r="K13" s="2929" t="s">
        <v>209</v>
      </c>
      <c r="L13" s="2928" t="s">
        <v>210</v>
      </c>
      <c r="M13" s="2928" t="s">
        <v>211</v>
      </c>
      <c r="N13" s="2928" t="s">
        <v>212</v>
      </c>
      <c r="O13" s="2928" t="s">
        <v>2902</v>
      </c>
      <c r="P13" s="2928" t="s">
        <v>206</v>
      </c>
      <c r="Q13" s="2928" t="s">
        <v>219</v>
      </c>
      <c r="R13" s="2928" t="s">
        <v>220</v>
      </c>
      <c r="S13" s="2928" t="s">
        <v>214</v>
      </c>
    </row>
    <row r="14" spans="1:20">
      <c r="A14" s="2928" t="s">
        <v>184</v>
      </c>
      <c r="B14" s="2929" t="s">
        <v>155</v>
      </c>
      <c r="C14" s="2928">
        <v>30520</v>
      </c>
      <c r="D14" s="2928">
        <v>29510</v>
      </c>
      <c r="E14" s="2928">
        <v>29400</v>
      </c>
      <c r="F14" s="2928">
        <v>9630</v>
      </c>
      <c r="G14" s="2928">
        <v>21480</v>
      </c>
      <c r="H14" s="2927"/>
      <c r="J14" s="2929" t="s">
        <v>2903</v>
      </c>
      <c r="K14" s="2929" t="s">
        <v>215</v>
      </c>
      <c r="L14" s="2928" t="s">
        <v>216</v>
      </c>
      <c r="M14" s="2928" t="s">
        <v>217</v>
      </c>
      <c r="N14" s="2928" t="s">
        <v>218</v>
      </c>
      <c r="O14" s="2928" t="s">
        <v>240</v>
      </c>
      <c r="P14" s="2928" t="s">
        <v>213</v>
      </c>
      <c r="Q14" s="2928" t="s">
        <v>2904</v>
      </c>
      <c r="R14" s="2928" t="s">
        <v>228</v>
      </c>
      <c r="S14" s="2928" t="s">
        <v>221</v>
      </c>
    </row>
    <row r="15" spans="1:20">
      <c r="A15" s="2928" t="s">
        <v>184</v>
      </c>
      <c r="B15" s="2929" t="s">
        <v>162</v>
      </c>
      <c r="C15" s="2928">
        <v>29090</v>
      </c>
      <c r="D15" s="2928">
        <v>27590</v>
      </c>
      <c r="E15" s="2928">
        <v>28120</v>
      </c>
      <c r="F15" s="2928">
        <v>9110</v>
      </c>
      <c r="G15" s="2928">
        <v>20070</v>
      </c>
      <c r="H15" s="2927"/>
      <c r="J15" s="2929" t="s">
        <v>222</v>
      </c>
      <c r="K15" s="2929" t="s">
        <v>223</v>
      </c>
      <c r="L15" s="2928" t="s">
        <v>224</v>
      </c>
      <c r="M15" s="2928" t="s">
        <v>225</v>
      </c>
      <c r="N15" s="2928" t="s">
        <v>226</v>
      </c>
      <c r="O15" s="2928" t="s">
        <v>2905</v>
      </c>
      <c r="P15" s="2928" t="s">
        <v>2906</v>
      </c>
      <c r="Q15" s="2928" t="s">
        <v>242</v>
      </c>
      <c r="R15" s="2928" t="s">
        <v>2907</v>
      </c>
      <c r="S15" s="2928" t="s">
        <v>229</v>
      </c>
    </row>
    <row r="16" spans="1:20">
      <c r="A16" s="2928" t="s">
        <v>184</v>
      </c>
      <c r="B16" s="2929" t="s">
        <v>168</v>
      </c>
      <c r="C16" s="2928">
        <v>26790</v>
      </c>
      <c r="D16" s="2928">
        <v>30370</v>
      </c>
      <c r="E16" s="2928">
        <v>30240</v>
      </c>
      <c r="F16" s="2928">
        <v>11590</v>
      </c>
      <c r="G16" s="2928">
        <v>22090</v>
      </c>
      <c r="H16" s="2927"/>
      <c r="J16" s="2929" t="s">
        <v>230</v>
      </c>
      <c r="K16" s="2929" t="s">
        <v>231</v>
      </c>
      <c r="L16" s="2928" t="s">
        <v>232</v>
      </c>
      <c r="M16" s="2928" t="s">
        <v>233</v>
      </c>
      <c r="N16" s="2928" t="s">
        <v>234</v>
      </c>
      <c r="O16" s="2928" t="s">
        <v>2908</v>
      </c>
      <c r="P16" s="2928" t="s">
        <v>227</v>
      </c>
      <c r="Q16" s="2928" t="s">
        <v>250</v>
      </c>
      <c r="R16" s="2928" t="s">
        <v>207</v>
      </c>
      <c r="S16" s="2928" t="s">
        <v>2909</v>
      </c>
    </row>
    <row r="17" spans="1:19" ht="14.25" customHeight="1">
      <c r="A17" s="2928" t="s">
        <v>184</v>
      </c>
      <c r="B17" s="2929" t="s">
        <v>175</v>
      </c>
      <c r="C17" s="2928">
        <v>29180</v>
      </c>
      <c r="D17" s="2928">
        <v>27620</v>
      </c>
      <c r="E17" s="2928">
        <v>28180</v>
      </c>
      <c r="F17" s="2928">
        <v>10790</v>
      </c>
      <c r="G17" s="2928">
        <v>20090</v>
      </c>
      <c r="H17" s="2927"/>
      <c r="J17" s="2929" t="s">
        <v>235</v>
      </c>
      <c r="K17" s="2929" t="s">
        <v>236</v>
      </c>
      <c r="L17" s="2928" t="s">
        <v>237</v>
      </c>
      <c r="M17" s="2928" t="s">
        <v>238</v>
      </c>
      <c r="N17" s="2928" t="s">
        <v>239</v>
      </c>
      <c r="O17" s="2928" t="s">
        <v>2910</v>
      </c>
      <c r="P17" s="2928" t="s">
        <v>2911</v>
      </c>
      <c r="Q17" s="2928" t="s">
        <v>256</v>
      </c>
      <c r="R17" s="2928" t="s">
        <v>2912</v>
      </c>
      <c r="S17" s="2928" t="s">
        <v>258</v>
      </c>
    </row>
    <row r="18" spans="1:19" ht="14.25" customHeight="1">
      <c r="A18" s="2928" t="s">
        <v>184</v>
      </c>
      <c r="B18" s="2929" t="s">
        <v>185</v>
      </c>
      <c r="C18" s="2928">
        <v>26840</v>
      </c>
      <c r="D18" s="2928">
        <v>28930</v>
      </c>
      <c r="E18" s="2928">
        <v>28820</v>
      </c>
      <c r="F18" s="2928"/>
      <c r="G18" s="2928">
        <v>21050</v>
      </c>
      <c r="H18" s="2927"/>
      <c r="J18" s="2929" t="s">
        <v>244</v>
      </c>
      <c r="K18" s="2929" t="s">
        <v>245</v>
      </c>
      <c r="L18" s="2928" t="s">
        <v>246</v>
      </c>
      <c r="M18" s="2928" t="s">
        <v>247</v>
      </c>
      <c r="N18" s="2928" t="s">
        <v>248</v>
      </c>
      <c r="O18" s="2928" t="s">
        <v>2913</v>
      </c>
      <c r="P18" s="2928" t="s">
        <v>241</v>
      </c>
      <c r="Q18" s="2928" t="s">
        <v>2914</v>
      </c>
      <c r="R18" s="2928" t="s">
        <v>257</v>
      </c>
      <c r="S18" s="2928" t="s">
        <v>266</v>
      </c>
    </row>
    <row r="19" spans="1:19" ht="14.25" customHeight="1">
      <c r="A19" s="2928" t="s">
        <v>184</v>
      </c>
      <c r="B19" s="2929" t="s">
        <v>194</v>
      </c>
      <c r="C19" s="2928">
        <v>27750</v>
      </c>
      <c r="D19" s="2928">
        <v>26680</v>
      </c>
      <c r="E19" s="2928">
        <v>26590</v>
      </c>
      <c r="F19" s="2928"/>
      <c r="G19" s="2928">
        <v>19420</v>
      </c>
      <c r="H19" s="2927"/>
      <c r="J19" s="2929" t="s">
        <v>251</v>
      </c>
      <c r="K19" s="2929" t="s">
        <v>252</v>
      </c>
      <c r="L19" s="2928" t="s">
        <v>253</v>
      </c>
      <c r="M19" s="2928" t="s">
        <v>254</v>
      </c>
      <c r="N19" s="2928" t="s">
        <v>255</v>
      </c>
      <c r="O19" s="2928" t="s">
        <v>2915</v>
      </c>
      <c r="P19" s="2928" t="s">
        <v>249</v>
      </c>
      <c r="Q19" s="2928" t="s">
        <v>2916</v>
      </c>
      <c r="R19" s="2928" t="s">
        <v>265</v>
      </c>
      <c r="S19" s="2928" t="s">
        <v>2917</v>
      </c>
    </row>
    <row r="20" spans="1:19" ht="14.25" customHeight="1">
      <c r="A20" s="2928" t="s">
        <v>184</v>
      </c>
      <c r="B20" s="2929" t="s">
        <v>201</v>
      </c>
      <c r="C20" s="2928">
        <v>27050</v>
      </c>
      <c r="D20" s="2928">
        <v>29010</v>
      </c>
      <c r="E20" s="2928">
        <v>28910</v>
      </c>
      <c r="F20" s="2928"/>
      <c r="G20" s="2928">
        <v>21110</v>
      </c>
      <c r="J20" s="2929" t="s">
        <v>259</v>
      </c>
      <c r="K20" s="2929" t="s">
        <v>260</v>
      </c>
      <c r="L20" s="2928" t="s">
        <v>261</v>
      </c>
      <c r="M20" s="2928" t="s">
        <v>262</v>
      </c>
      <c r="N20" s="2928" t="s">
        <v>263</v>
      </c>
      <c r="O20" s="2928" t="s">
        <v>2918</v>
      </c>
      <c r="P20" s="2928" t="s">
        <v>2919</v>
      </c>
      <c r="Q20" s="2928" t="s">
        <v>290</v>
      </c>
      <c r="R20" s="2928" t="s">
        <v>2920</v>
      </c>
      <c r="S20" s="2928" t="s">
        <v>277</v>
      </c>
    </row>
    <row r="21" spans="1:19" ht="14.25" customHeight="1" thickBot="1">
      <c r="A21" s="2928" t="s">
        <v>184</v>
      </c>
      <c r="B21" s="2929" t="s">
        <v>208</v>
      </c>
      <c r="C21" s="2928">
        <v>32370</v>
      </c>
      <c r="D21" s="2928">
        <v>26730</v>
      </c>
      <c r="E21" s="2928">
        <v>26640</v>
      </c>
      <c r="F21" s="2928"/>
      <c r="G21" s="2928">
        <v>19440</v>
      </c>
      <c r="J21" s="2935" t="s">
        <v>2921</v>
      </c>
      <c r="K21" s="2929" t="s">
        <v>267</v>
      </c>
      <c r="L21" s="2928" t="s">
        <v>268</v>
      </c>
      <c r="M21" s="2928" t="s">
        <v>269</v>
      </c>
      <c r="N21" s="2928" t="s">
        <v>270</v>
      </c>
      <c r="O21" s="2928" t="s">
        <v>264</v>
      </c>
      <c r="P21" s="2928" t="s">
        <v>283</v>
      </c>
      <c r="Q21" s="2928" t="s">
        <v>293</v>
      </c>
      <c r="R21" s="2928" t="s">
        <v>2922</v>
      </c>
      <c r="S21" s="2935" t="s">
        <v>2923</v>
      </c>
    </row>
    <row r="22" spans="1:19" ht="14.25" customHeight="1">
      <c r="A22" s="2928" t="s">
        <v>184</v>
      </c>
      <c r="B22" s="2929" t="s">
        <v>2903</v>
      </c>
      <c r="C22" s="2928">
        <v>29830</v>
      </c>
      <c r="D22" s="2928">
        <v>27600</v>
      </c>
      <c r="E22" s="2928">
        <v>28150</v>
      </c>
      <c r="F22" s="2928"/>
      <c r="G22" s="2928">
        <v>20080</v>
      </c>
      <c r="K22" s="2929" t="s">
        <v>2924</v>
      </c>
      <c r="L22" s="2928" t="s">
        <v>272</v>
      </c>
      <c r="M22" s="2928" t="s">
        <v>273</v>
      </c>
      <c r="N22" s="2928" t="s">
        <v>274</v>
      </c>
      <c r="O22" s="2928" t="s">
        <v>2925</v>
      </c>
      <c r="P22" s="2928" t="s">
        <v>286</v>
      </c>
      <c r="Q22" s="2928" t="s">
        <v>295</v>
      </c>
      <c r="R22" s="2928" t="s">
        <v>243</v>
      </c>
    </row>
    <row r="23" spans="1:19" ht="14.25" customHeight="1">
      <c r="A23" s="2928" t="s">
        <v>184</v>
      </c>
      <c r="B23" s="2929" t="s">
        <v>222</v>
      </c>
      <c r="C23" s="2928">
        <v>27800</v>
      </c>
      <c r="D23" s="2928">
        <v>26900</v>
      </c>
      <c r="E23" s="2928">
        <v>27170</v>
      </c>
      <c r="F23" s="2928"/>
      <c r="G23" s="2928">
        <v>19570</v>
      </c>
      <c r="K23" s="2929" t="s">
        <v>2926</v>
      </c>
      <c r="L23" s="2928" t="s">
        <v>278</v>
      </c>
      <c r="M23" s="2928" t="s">
        <v>279</v>
      </c>
      <c r="N23" s="2928" t="s">
        <v>2927</v>
      </c>
      <c r="O23" s="2928" t="s">
        <v>2928</v>
      </c>
      <c r="P23" s="2928" t="s">
        <v>289</v>
      </c>
      <c r="Q23" s="2928" t="s">
        <v>298</v>
      </c>
      <c r="R23" s="2928" t="s">
        <v>2929</v>
      </c>
    </row>
    <row r="24" spans="1:19" ht="14.25" customHeight="1">
      <c r="A24" s="2928" t="s">
        <v>184</v>
      </c>
      <c r="B24" s="2929" t="s">
        <v>230</v>
      </c>
      <c r="C24" s="2928">
        <v>27930</v>
      </c>
      <c r="D24" s="2928">
        <v>32260</v>
      </c>
      <c r="E24" s="2928">
        <v>32120</v>
      </c>
      <c r="F24" s="2928"/>
      <c r="G24" s="2928">
        <v>23470</v>
      </c>
      <c r="K24" s="2929" t="s">
        <v>2930</v>
      </c>
      <c r="L24" s="2928" t="s">
        <v>281</v>
      </c>
      <c r="M24" s="2928" t="s">
        <v>282</v>
      </c>
      <c r="N24" s="2928" t="s">
        <v>2931</v>
      </c>
      <c r="O24" s="2928" t="s">
        <v>285</v>
      </c>
      <c r="P24" s="2928" t="s">
        <v>2932</v>
      </c>
      <c r="Q24" s="2937" t="s">
        <v>2933</v>
      </c>
      <c r="R24" s="2928" t="s">
        <v>2934</v>
      </c>
    </row>
    <row r="25" spans="1:19" ht="14.25" customHeight="1">
      <c r="A25" s="2928" t="s">
        <v>184</v>
      </c>
      <c r="B25" s="2929" t="s">
        <v>235</v>
      </c>
      <c r="C25" s="2928">
        <v>32230</v>
      </c>
      <c r="D25" s="2928">
        <v>29640</v>
      </c>
      <c r="E25" s="2928">
        <v>29510</v>
      </c>
      <c r="F25" s="2928"/>
      <c r="G25" s="2928">
        <v>21560</v>
      </c>
      <c r="K25" s="2929" t="s">
        <v>2935</v>
      </c>
      <c r="L25" s="2928" t="s">
        <v>2936</v>
      </c>
      <c r="M25" s="2928" t="s">
        <v>284</v>
      </c>
      <c r="N25" s="2928" t="s">
        <v>292</v>
      </c>
      <c r="O25" s="2928" t="s">
        <v>288</v>
      </c>
      <c r="P25" s="2928" t="s">
        <v>275</v>
      </c>
      <c r="Q25" s="2937" t="s">
        <v>271</v>
      </c>
      <c r="R25" s="2928" t="s">
        <v>2937</v>
      </c>
    </row>
    <row r="26" spans="1:19" ht="14.25" customHeight="1" thickBot="1">
      <c r="A26" s="2928" t="s">
        <v>184</v>
      </c>
      <c r="B26" s="2929" t="s">
        <v>244</v>
      </c>
      <c r="C26" s="2928">
        <v>31690</v>
      </c>
      <c r="D26" s="2928">
        <v>27650</v>
      </c>
      <c r="E26" s="2928">
        <v>28200</v>
      </c>
      <c r="F26" s="2928"/>
      <c r="G26" s="2928">
        <v>20110</v>
      </c>
      <c r="K26" s="2934" t="s">
        <v>2938</v>
      </c>
      <c r="L26" s="2928" t="s">
        <v>2939</v>
      </c>
      <c r="M26" s="2928" t="s">
        <v>287</v>
      </c>
      <c r="N26" s="2928" t="s">
        <v>294</v>
      </c>
      <c r="O26" s="2928" t="s">
        <v>2940</v>
      </c>
      <c r="P26" s="2928" t="s">
        <v>2941</v>
      </c>
      <c r="Q26" s="2937" t="s">
        <v>276</v>
      </c>
      <c r="R26" s="2928" t="s">
        <v>2942</v>
      </c>
    </row>
    <row r="27" spans="1:19" ht="14.25" customHeight="1">
      <c r="A27" s="2928" t="s">
        <v>184</v>
      </c>
      <c r="B27" s="2929" t="s">
        <v>251</v>
      </c>
      <c r="C27" s="2928">
        <v>29610</v>
      </c>
      <c r="D27" s="2928">
        <v>27770</v>
      </c>
      <c r="E27" s="2928">
        <v>28300</v>
      </c>
      <c r="F27" s="2928"/>
      <c r="G27" s="2928">
        <v>20210</v>
      </c>
      <c r="L27" s="2928" t="s">
        <v>2943</v>
      </c>
      <c r="M27" s="2928" t="s">
        <v>291</v>
      </c>
      <c r="N27" s="2928" t="s">
        <v>297</v>
      </c>
      <c r="O27" s="2928" t="s">
        <v>2944</v>
      </c>
      <c r="P27" s="2928" t="s">
        <v>2945</v>
      </c>
      <c r="Q27" s="2928" t="s">
        <v>2946</v>
      </c>
      <c r="R27" s="2928" t="s">
        <v>2947</v>
      </c>
    </row>
    <row r="28" spans="1:19" ht="14.25" customHeight="1">
      <c r="A28" s="2928" t="s">
        <v>184</v>
      </c>
      <c r="B28" s="2929" t="s">
        <v>259</v>
      </c>
      <c r="C28" s="2928"/>
      <c r="D28" s="2928">
        <v>31520</v>
      </c>
      <c r="E28" s="2928">
        <v>31410</v>
      </c>
      <c r="F28" s="2928"/>
      <c r="G28" s="2928">
        <v>22940</v>
      </c>
      <c r="L28" s="2928" t="s">
        <v>2948</v>
      </c>
      <c r="M28" s="2928" t="s">
        <v>2949</v>
      </c>
      <c r="N28" s="2928" t="s">
        <v>2950</v>
      </c>
      <c r="O28" s="2928" t="s">
        <v>2951</v>
      </c>
      <c r="P28" s="2928" t="s">
        <v>2952</v>
      </c>
      <c r="Q28" s="2928" t="s">
        <v>2953</v>
      </c>
      <c r="R28" s="2928" t="s">
        <v>2954</v>
      </c>
    </row>
    <row r="29" spans="1:19" ht="14.25" customHeight="1" thickBot="1">
      <c r="A29" s="2936" t="s">
        <v>184</v>
      </c>
      <c r="B29" s="2938" t="s">
        <v>2921</v>
      </c>
      <c r="C29" s="2939"/>
      <c r="D29" s="2939">
        <v>29460</v>
      </c>
      <c r="E29" s="2939">
        <v>28640</v>
      </c>
      <c r="F29" s="2939"/>
      <c r="G29" s="2939">
        <v>21430</v>
      </c>
      <c r="L29" s="2928" t="s">
        <v>2955</v>
      </c>
      <c r="M29" s="2928" t="s">
        <v>2956</v>
      </c>
      <c r="N29" s="2928" t="s">
        <v>2957</v>
      </c>
      <c r="O29" s="2928" t="s">
        <v>2958</v>
      </c>
      <c r="P29" s="2928" t="s">
        <v>2959</v>
      </c>
      <c r="Q29" s="2928" t="s">
        <v>2960</v>
      </c>
      <c r="R29" s="2928" t="s">
        <v>280</v>
      </c>
    </row>
    <row r="30" spans="1:19" ht="14.25" customHeight="1">
      <c r="A30" s="2933" t="s">
        <v>296</v>
      </c>
      <c r="B30" s="2924" t="s">
        <v>2854</v>
      </c>
      <c r="C30" s="2924">
        <v>26890</v>
      </c>
      <c r="D30" s="2924">
        <v>26770</v>
      </c>
      <c r="E30" s="2924">
        <v>25700</v>
      </c>
      <c r="F30" s="2924">
        <v>8180</v>
      </c>
      <c r="G30" s="2940">
        <v>18740</v>
      </c>
      <c r="L30" s="2928" t="s">
        <v>2961</v>
      </c>
      <c r="M30" s="2928" t="s">
        <v>2962</v>
      </c>
      <c r="N30" s="2928" t="s">
        <v>2963</v>
      </c>
      <c r="O30" s="2928" t="s">
        <v>2964</v>
      </c>
      <c r="P30" s="2928" t="s">
        <v>2965</v>
      </c>
      <c r="Q30" s="2928" t="s">
        <v>2966</v>
      </c>
      <c r="R30" s="2928" t="s">
        <v>2967</v>
      </c>
    </row>
    <row r="31" spans="1:19" ht="14.25" customHeight="1">
      <c r="A31" s="2928" t="s">
        <v>296</v>
      </c>
      <c r="B31" s="2929" t="s">
        <v>129</v>
      </c>
      <c r="C31" s="2928">
        <v>24550</v>
      </c>
      <c r="D31" s="2928">
        <v>23990</v>
      </c>
      <c r="E31" s="2928">
        <v>22930</v>
      </c>
      <c r="F31" s="2928">
        <v>7470</v>
      </c>
      <c r="G31" s="2941">
        <v>16790</v>
      </c>
      <c r="L31" s="2928" t="s">
        <v>2968</v>
      </c>
      <c r="M31" s="2928" t="s">
        <v>2969</v>
      </c>
      <c r="N31" s="2928" t="s">
        <v>2970</v>
      </c>
      <c r="O31" s="2928" t="s">
        <v>2971</v>
      </c>
      <c r="P31" s="2928" t="s">
        <v>2972</v>
      </c>
      <c r="Q31" s="2928" t="s">
        <v>2973</v>
      </c>
      <c r="R31" s="2928" t="s">
        <v>2974</v>
      </c>
    </row>
    <row r="32" spans="1:19" ht="14.25" customHeight="1" thickBot="1">
      <c r="A32" s="2928" t="s">
        <v>296</v>
      </c>
      <c r="B32" s="2929" t="s">
        <v>138</v>
      </c>
      <c r="C32" s="2928">
        <v>27210</v>
      </c>
      <c r="D32" s="2928">
        <v>23240</v>
      </c>
      <c r="E32" s="2928">
        <v>23260</v>
      </c>
      <c r="F32" s="2928">
        <v>7130</v>
      </c>
      <c r="G32" s="2941">
        <v>16270</v>
      </c>
      <c r="L32" s="2928" t="s">
        <v>2975</v>
      </c>
      <c r="M32" s="2928" t="s">
        <v>2976</v>
      </c>
      <c r="N32" s="2928" t="s">
        <v>300</v>
      </c>
      <c r="O32" s="2928" t="s">
        <v>2977</v>
      </c>
      <c r="P32" s="2928" t="s">
        <v>299</v>
      </c>
      <c r="Q32" s="2928" t="s">
        <v>2978</v>
      </c>
      <c r="R32" s="2935" t="s">
        <v>2979</v>
      </c>
    </row>
    <row r="33" spans="1:17" ht="14.25" customHeight="1" thickBot="1">
      <c r="A33" s="2928" t="s">
        <v>296</v>
      </c>
      <c r="B33" s="2929" t="s">
        <v>147</v>
      </c>
      <c r="C33" s="2928">
        <v>27300</v>
      </c>
      <c r="D33" s="2928">
        <v>22980</v>
      </c>
      <c r="E33" s="2928">
        <v>24260</v>
      </c>
      <c r="F33" s="2928">
        <v>5860</v>
      </c>
      <c r="G33" s="2941">
        <v>16090</v>
      </c>
      <c r="L33" s="2935" t="s">
        <v>2980</v>
      </c>
      <c r="M33" s="2928" t="s">
        <v>2981</v>
      </c>
      <c r="N33" s="2928" t="s">
        <v>301</v>
      </c>
      <c r="O33" s="2928" t="s">
        <v>2982</v>
      </c>
      <c r="P33" s="2928" t="s">
        <v>2983</v>
      </c>
      <c r="Q33" s="2928" t="s">
        <v>2984</v>
      </c>
    </row>
    <row r="34" spans="1:17" ht="14.25" customHeight="1">
      <c r="A34" s="2928" t="s">
        <v>296</v>
      </c>
      <c r="B34" s="2929" t="s">
        <v>156</v>
      </c>
      <c r="C34" s="2928">
        <v>23090</v>
      </c>
      <c r="D34" s="2928">
        <v>23390</v>
      </c>
      <c r="E34" s="2928">
        <v>23510</v>
      </c>
      <c r="F34" s="2928">
        <v>6700</v>
      </c>
      <c r="G34" s="2941">
        <v>16370</v>
      </c>
      <c r="M34" s="2928" t="s">
        <v>2985</v>
      </c>
      <c r="N34" s="2928" t="s">
        <v>302</v>
      </c>
      <c r="O34" s="2928" t="s">
        <v>2986</v>
      </c>
      <c r="P34" s="2928" t="s">
        <v>2987</v>
      </c>
      <c r="Q34" s="2928" t="s">
        <v>2988</v>
      </c>
    </row>
    <row r="35" spans="1:17" ht="14.25" customHeight="1">
      <c r="A35" s="2928" t="s">
        <v>296</v>
      </c>
      <c r="B35" s="2929" t="s">
        <v>163</v>
      </c>
      <c r="C35" s="2928">
        <v>27270</v>
      </c>
      <c r="D35" s="2928">
        <v>24270</v>
      </c>
      <c r="E35" s="2928">
        <v>24950</v>
      </c>
      <c r="F35" s="2928">
        <v>6600</v>
      </c>
      <c r="G35" s="2941">
        <v>16990</v>
      </c>
      <c r="M35" s="2928" t="s">
        <v>2989</v>
      </c>
      <c r="N35" s="2928" t="s">
        <v>2990</v>
      </c>
      <c r="O35" s="2928" t="s">
        <v>2991</v>
      </c>
      <c r="P35" s="2928" t="s">
        <v>2992</v>
      </c>
      <c r="Q35" s="2928" t="s">
        <v>2993</v>
      </c>
    </row>
    <row r="36" spans="1:17" ht="14.25" customHeight="1">
      <c r="A36" s="2928" t="s">
        <v>296</v>
      </c>
      <c r="B36" s="2929" t="s">
        <v>169</v>
      </c>
      <c r="C36" s="2928">
        <v>23490</v>
      </c>
      <c r="D36" s="2928">
        <v>23020</v>
      </c>
      <c r="E36" s="2928">
        <v>25230</v>
      </c>
      <c r="F36" s="2928">
        <v>6780</v>
      </c>
      <c r="G36" s="2941">
        <v>16120</v>
      </c>
      <c r="M36" s="2928" t="s">
        <v>2994</v>
      </c>
      <c r="N36" s="2928" t="s">
        <v>2995</v>
      </c>
      <c r="O36" s="2928" t="s">
        <v>2996</v>
      </c>
      <c r="P36" s="2928" t="s">
        <v>2997</v>
      </c>
      <c r="Q36" s="2928" t="s">
        <v>2998</v>
      </c>
    </row>
    <row r="37" spans="1:17" ht="14.25" customHeight="1">
      <c r="A37" s="2928" t="s">
        <v>296</v>
      </c>
      <c r="B37" s="2929" t="s">
        <v>176</v>
      </c>
      <c r="C37" s="2928">
        <v>24380</v>
      </c>
      <c r="D37" s="2928">
        <v>22240</v>
      </c>
      <c r="E37" s="2928">
        <v>25980</v>
      </c>
      <c r="F37" s="2928">
        <v>8160</v>
      </c>
      <c r="G37" s="2941">
        <v>15570</v>
      </c>
      <c r="M37" s="2928" t="s">
        <v>2999</v>
      </c>
      <c r="N37" s="2928" t="s">
        <v>3000</v>
      </c>
      <c r="O37" s="2928" t="s">
        <v>3001</v>
      </c>
      <c r="P37" s="2928" t="s">
        <v>3002</v>
      </c>
      <c r="Q37" s="2928" t="s">
        <v>3003</v>
      </c>
    </row>
    <row r="38" spans="1:17" ht="14.25" customHeight="1">
      <c r="A38" s="2928" t="s">
        <v>296</v>
      </c>
      <c r="B38" s="2929" t="s">
        <v>186</v>
      </c>
      <c r="C38" s="2928">
        <v>23120</v>
      </c>
      <c r="D38" s="2928">
        <v>24630</v>
      </c>
      <c r="E38" s="2928">
        <v>25030</v>
      </c>
      <c r="F38" s="2928">
        <v>7710</v>
      </c>
      <c r="G38" s="2941">
        <v>17240</v>
      </c>
      <c r="M38" s="2928" t="s">
        <v>3004</v>
      </c>
      <c r="N38" s="2928" t="s">
        <v>3005</v>
      </c>
      <c r="O38" s="2928" t="s">
        <v>3006</v>
      </c>
      <c r="P38" s="2928" t="s">
        <v>3007</v>
      </c>
      <c r="Q38" s="2928" t="s">
        <v>3008</v>
      </c>
    </row>
    <row r="39" spans="1:17" ht="14.25" customHeight="1">
      <c r="A39" s="2928" t="s">
        <v>296</v>
      </c>
      <c r="B39" s="2929" t="s">
        <v>195</v>
      </c>
      <c r="C39" s="2928">
        <v>22330</v>
      </c>
      <c r="D39" s="2928">
        <v>21140</v>
      </c>
      <c r="E39" s="2928">
        <v>23970</v>
      </c>
      <c r="F39" s="2928">
        <v>7940</v>
      </c>
      <c r="G39" s="2941">
        <v>14790</v>
      </c>
      <c r="M39" s="2928" t="s">
        <v>3009</v>
      </c>
      <c r="N39" s="2928" t="s">
        <v>3010</v>
      </c>
      <c r="O39" s="2928" t="s">
        <v>3011</v>
      </c>
      <c r="P39" s="2928" t="s">
        <v>3012</v>
      </c>
      <c r="Q39" s="2928" t="s">
        <v>3013</v>
      </c>
    </row>
    <row r="40" spans="1:17" ht="14.25" customHeight="1">
      <c r="A40" s="2928" t="s">
        <v>296</v>
      </c>
      <c r="B40" s="2929" t="s">
        <v>202</v>
      </c>
      <c r="C40" s="2928">
        <v>24740</v>
      </c>
      <c r="D40" s="2928">
        <v>24690</v>
      </c>
      <c r="E40" s="2928">
        <v>22610</v>
      </c>
      <c r="F40" s="2928"/>
      <c r="G40" s="2941">
        <v>17280</v>
      </c>
      <c r="M40" s="2928" t="s">
        <v>3014</v>
      </c>
      <c r="N40" s="2928" t="s">
        <v>3015</v>
      </c>
      <c r="O40" s="2928" t="s">
        <v>3016</v>
      </c>
      <c r="P40" s="2928" t="s">
        <v>3017</v>
      </c>
      <c r="Q40" s="2928" t="s">
        <v>3018</v>
      </c>
    </row>
    <row r="41" spans="1:17" ht="14.25" customHeight="1" thickBot="1">
      <c r="A41" s="2928" t="s">
        <v>296</v>
      </c>
      <c r="B41" s="2929" t="s">
        <v>209</v>
      </c>
      <c r="C41" s="2928">
        <v>21220</v>
      </c>
      <c r="D41" s="2928">
        <v>21120</v>
      </c>
      <c r="E41" s="2928">
        <v>22590</v>
      </c>
      <c r="F41" s="2928"/>
      <c r="G41" s="2941">
        <v>14780</v>
      </c>
      <c r="M41" s="2935" t="s">
        <v>3019</v>
      </c>
      <c r="N41" s="2928" t="s">
        <v>3020</v>
      </c>
      <c r="O41" s="2928" t="s">
        <v>3021</v>
      </c>
      <c r="P41" s="2928" t="s">
        <v>3022</v>
      </c>
      <c r="Q41" s="2928" t="s">
        <v>3023</v>
      </c>
    </row>
    <row r="42" spans="1:17" ht="14.25" customHeight="1">
      <c r="A42" s="2928" t="s">
        <v>296</v>
      </c>
      <c r="B42" s="2929" t="s">
        <v>215</v>
      </c>
      <c r="C42" s="2928">
        <v>24800</v>
      </c>
      <c r="D42" s="2928">
        <v>22280</v>
      </c>
      <c r="E42" s="2928">
        <v>24350</v>
      </c>
      <c r="F42" s="2928"/>
      <c r="G42" s="2941">
        <v>15590</v>
      </c>
      <c r="N42" s="2928" t="s">
        <v>3024</v>
      </c>
      <c r="O42" s="2928" t="s">
        <v>3025</v>
      </c>
      <c r="P42" s="2928" t="s">
        <v>3026</v>
      </c>
      <c r="Q42" s="2928" t="s">
        <v>3027</v>
      </c>
    </row>
    <row r="43" spans="1:17" ht="14.25" customHeight="1">
      <c r="A43" s="2928" t="s">
        <v>3028</v>
      </c>
      <c r="B43" s="2929" t="s">
        <v>223</v>
      </c>
      <c r="C43" s="2928">
        <v>21210</v>
      </c>
      <c r="D43" s="2928">
        <v>21160</v>
      </c>
      <c r="E43" s="2928">
        <v>22650</v>
      </c>
      <c r="F43" s="2928"/>
      <c r="G43" s="2941">
        <v>14800</v>
      </c>
      <c r="N43" s="2928" t="s">
        <v>3029</v>
      </c>
      <c r="O43" s="2928" t="s">
        <v>3030</v>
      </c>
      <c r="P43" s="2928" t="s">
        <v>3031</v>
      </c>
      <c r="Q43" s="2928" t="s">
        <v>3032</v>
      </c>
    </row>
    <row r="44" spans="1:17" ht="14.25" customHeight="1" thickBot="1">
      <c r="A44" s="2928" t="s">
        <v>296</v>
      </c>
      <c r="B44" s="2929" t="s">
        <v>231</v>
      </c>
      <c r="C44" s="2928">
        <v>22370</v>
      </c>
      <c r="D44" s="2928">
        <v>23140</v>
      </c>
      <c r="E44" s="2928">
        <v>25090</v>
      </c>
      <c r="F44" s="2928"/>
      <c r="G44" s="2941">
        <v>16190</v>
      </c>
      <c r="N44" s="2928" t="s">
        <v>3033</v>
      </c>
      <c r="O44" s="2928" t="s">
        <v>3034</v>
      </c>
      <c r="P44" s="2935" t="s">
        <v>3035</v>
      </c>
      <c r="Q44" s="2928" t="s">
        <v>3036</v>
      </c>
    </row>
    <row r="45" spans="1:17" ht="14.25" customHeight="1" thickBot="1">
      <c r="A45" s="2928" t="s">
        <v>296</v>
      </c>
      <c r="B45" s="2929" t="s">
        <v>236</v>
      </c>
      <c r="C45" s="2928">
        <v>21240</v>
      </c>
      <c r="D45" s="2928">
        <v>27050</v>
      </c>
      <c r="E45" s="2928">
        <v>28000</v>
      </c>
      <c r="F45" s="2928"/>
      <c r="G45" s="2941">
        <v>18940</v>
      </c>
      <c r="N45" s="2928" t="s">
        <v>3037</v>
      </c>
      <c r="O45" s="2935" t="s">
        <v>3038</v>
      </c>
      <c r="Q45" s="2928" t="s">
        <v>3039</v>
      </c>
    </row>
    <row r="46" spans="1:17" ht="14.25" customHeight="1">
      <c r="A46" s="2928" t="s">
        <v>296</v>
      </c>
      <c r="B46" s="2929" t="s">
        <v>245</v>
      </c>
      <c r="C46" s="2928">
        <v>23240</v>
      </c>
      <c r="D46" s="2928">
        <v>23000</v>
      </c>
      <c r="E46" s="2928">
        <v>24980</v>
      </c>
      <c r="F46" s="2928"/>
      <c r="G46" s="2941">
        <v>16100</v>
      </c>
      <c r="N46" s="2928" t="s">
        <v>3040</v>
      </c>
      <c r="Q46" s="2928" t="s">
        <v>3041</v>
      </c>
    </row>
    <row r="47" spans="1:17" ht="14.25" customHeight="1">
      <c r="A47" s="2928" t="s">
        <v>296</v>
      </c>
      <c r="B47" s="2929" t="s">
        <v>252</v>
      </c>
      <c r="C47" s="2928">
        <v>27150</v>
      </c>
      <c r="D47" s="2928">
        <v>23310</v>
      </c>
      <c r="E47" s="2928">
        <v>25150</v>
      </c>
      <c r="F47" s="2928"/>
      <c r="G47" s="2941">
        <v>16310</v>
      </c>
      <c r="N47" s="2928" t="s">
        <v>3042</v>
      </c>
      <c r="Q47" s="2928" t="s">
        <v>3043</v>
      </c>
    </row>
    <row r="48" spans="1:17" ht="14.25" customHeight="1">
      <c r="A48" s="2928" t="s">
        <v>296</v>
      </c>
      <c r="B48" s="2929" t="s">
        <v>260</v>
      </c>
      <c r="C48" s="2928">
        <v>23100</v>
      </c>
      <c r="D48" s="2928">
        <v>21110</v>
      </c>
      <c r="E48" s="2928">
        <v>23080</v>
      </c>
      <c r="F48" s="2928"/>
      <c r="G48" s="2941">
        <v>14780</v>
      </c>
      <c r="N48" s="2928" t="s">
        <v>3044</v>
      </c>
      <c r="Q48" s="2928" t="s">
        <v>3045</v>
      </c>
    </row>
    <row r="49" spans="1:17" ht="14.25" customHeight="1">
      <c r="A49" s="2928" t="s">
        <v>296</v>
      </c>
      <c r="B49" s="2929" t="s">
        <v>267</v>
      </c>
      <c r="C49" s="2928">
        <v>23400</v>
      </c>
      <c r="D49" s="2928">
        <v>22920</v>
      </c>
      <c r="E49" s="2928">
        <v>24900</v>
      </c>
      <c r="F49" s="2928"/>
      <c r="G49" s="2941">
        <v>16040</v>
      </c>
      <c r="N49" s="2928" t="s">
        <v>3046</v>
      </c>
      <c r="Q49" s="2928" t="s">
        <v>3047</v>
      </c>
    </row>
    <row r="50" spans="1:17" ht="14.25" customHeight="1">
      <c r="A50" s="2928" t="s">
        <v>296</v>
      </c>
      <c r="B50" s="2929" t="s">
        <v>2924</v>
      </c>
      <c r="C50" s="2928">
        <v>21200</v>
      </c>
      <c r="D50" s="2928">
        <v>26540</v>
      </c>
      <c r="E50" s="2928">
        <v>23200</v>
      </c>
      <c r="F50" s="2928"/>
      <c r="G50" s="2941">
        <v>18580</v>
      </c>
      <c r="N50" s="2928" t="s">
        <v>3048</v>
      </c>
      <c r="Q50" s="2929" t="s">
        <v>3049</v>
      </c>
    </row>
    <row r="51" spans="1:17" ht="14.25" customHeight="1" thickBot="1">
      <c r="A51" s="2928" t="s">
        <v>296</v>
      </c>
      <c r="B51" s="2929" t="s">
        <v>2926</v>
      </c>
      <c r="C51" s="2928">
        <v>23000</v>
      </c>
      <c r="D51" s="2928">
        <v>23460</v>
      </c>
      <c r="E51" s="2928">
        <v>25290</v>
      </c>
      <c r="F51" s="2928"/>
      <c r="G51" s="2941">
        <v>16420</v>
      </c>
      <c r="N51" s="2928" t="s">
        <v>3050</v>
      </c>
      <c r="Q51" s="2935" t="s">
        <v>3051</v>
      </c>
    </row>
    <row r="52" spans="1:17" ht="14.25" customHeight="1">
      <c r="A52" s="2928" t="s">
        <v>296</v>
      </c>
      <c r="B52" s="2929" t="s">
        <v>2930</v>
      </c>
      <c r="C52" s="2928">
        <v>26660</v>
      </c>
      <c r="D52" s="2928">
        <v>22350</v>
      </c>
      <c r="E52" s="2928">
        <v>22920</v>
      </c>
      <c r="F52" s="2928"/>
      <c r="G52" s="2941">
        <v>15640</v>
      </c>
      <c r="N52" s="2928" t="s">
        <v>3052</v>
      </c>
    </row>
    <row r="53" spans="1:17" ht="14.25" customHeight="1">
      <c r="A53" s="2928" t="s">
        <v>296</v>
      </c>
      <c r="B53" s="2929" t="s">
        <v>2935</v>
      </c>
      <c r="C53" s="2928">
        <v>23580</v>
      </c>
      <c r="D53" s="2928"/>
      <c r="E53" s="2928">
        <v>24280</v>
      </c>
      <c r="F53" s="2928"/>
      <c r="G53" s="2941"/>
      <c r="N53" s="2928" t="s">
        <v>3053</v>
      </c>
    </row>
    <row r="54" spans="1:17" ht="14.25" customHeight="1" thickBot="1">
      <c r="A54" s="2942" t="s">
        <v>296</v>
      </c>
      <c r="B54" s="2934" t="s">
        <v>2938</v>
      </c>
      <c r="C54" s="2935">
        <v>22460</v>
      </c>
      <c r="D54" s="2935"/>
      <c r="E54" s="2935"/>
      <c r="F54" s="2935"/>
      <c r="G54" s="2943"/>
      <c r="N54" s="2928" t="s">
        <v>3054</v>
      </c>
    </row>
    <row r="55" spans="1:17" ht="14.25" customHeight="1">
      <c r="A55" s="2933" t="s">
        <v>110</v>
      </c>
      <c r="B55" s="2924" t="s">
        <v>3055</v>
      </c>
      <c r="C55" s="2928">
        <v>21970</v>
      </c>
      <c r="D55" s="2928">
        <v>20370</v>
      </c>
      <c r="E55" s="2928">
        <v>20180</v>
      </c>
      <c r="F55" s="2928">
        <v>5730</v>
      </c>
      <c r="G55" s="2928">
        <v>13820</v>
      </c>
      <c r="N55" s="2928" t="s">
        <v>3056</v>
      </c>
    </row>
    <row r="56" spans="1:17" ht="14.25" customHeight="1">
      <c r="A56" s="2928" t="s">
        <v>110</v>
      </c>
      <c r="B56" s="2928" t="s">
        <v>130</v>
      </c>
      <c r="C56" s="2928">
        <v>20470</v>
      </c>
      <c r="D56" s="2928">
        <v>20700</v>
      </c>
      <c r="E56" s="2928">
        <v>20380</v>
      </c>
      <c r="F56" s="2928">
        <v>4760</v>
      </c>
      <c r="G56" s="2928">
        <v>14050</v>
      </c>
      <c r="N56" s="2928" t="s">
        <v>3057</v>
      </c>
    </row>
    <row r="57" spans="1:17" ht="14.25" customHeight="1">
      <c r="A57" s="2928" t="s">
        <v>110</v>
      </c>
      <c r="B57" s="2928" t="s">
        <v>139</v>
      </c>
      <c r="C57" s="2928">
        <v>20790</v>
      </c>
      <c r="D57" s="2928">
        <v>21370</v>
      </c>
      <c r="E57" s="2928">
        <v>20890</v>
      </c>
      <c r="F57" s="2928">
        <v>4910</v>
      </c>
      <c r="G57" s="2928">
        <v>14510</v>
      </c>
      <c r="N57" s="2928" t="s">
        <v>3058</v>
      </c>
    </row>
    <row r="58" spans="1:17" ht="14.25" customHeight="1">
      <c r="A58" s="2928" t="s">
        <v>110</v>
      </c>
      <c r="B58" s="2928" t="s">
        <v>148</v>
      </c>
      <c r="C58" s="2928">
        <v>21460</v>
      </c>
      <c r="D58" s="2928">
        <v>20920</v>
      </c>
      <c r="E58" s="2928">
        <v>23410</v>
      </c>
      <c r="F58" s="2928">
        <v>5100</v>
      </c>
      <c r="G58" s="2928">
        <v>14200</v>
      </c>
      <c r="N58" s="2928" t="s">
        <v>3059</v>
      </c>
    </row>
    <row r="59" spans="1:17" ht="14.25" customHeight="1">
      <c r="A59" s="2928" t="s">
        <v>110</v>
      </c>
      <c r="B59" s="2928" t="s">
        <v>157</v>
      </c>
      <c r="C59" s="2928">
        <v>21000</v>
      </c>
      <c r="D59" s="2928">
        <v>21550</v>
      </c>
      <c r="E59" s="2928">
        <v>21150</v>
      </c>
      <c r="F59" s="2928">
        <v>5250</v>
      </c>
      <c r="G59" s="2928">
        <v>14630</v>
      </c>
      <c r="N59" s="2928" t="s">
        <v>3060</v>
      </c>
    </row>
    <row r="60" spans="1:17" ht="14.25" customHeight="1">
      <c r="A60" s="2928" t="s">
        <v>110</v>
      </c>
      <c r="B60" s="2928" t="s">
        <v>164</v>
      </c>
      <c r="C60" s="2928">
        <v>21640</v>
      </c>
      <c r="D60" s="2928">
        <v>21260</v>
      </c>
      <c r="E60" s="2928">
        <v>24040</v>
      </c>
      <c r="F60" s="2928">
        <v>4470</v>
      </c>
      <c r="G60" s="2928">
        <v>14430</v>
      </c>
      <c r="N60" s="2928" t="s">
        <v>3061</v>
      </c>
    </row>
    <row r="61" spans="1:17" ht="14.25" customHeight="1">
      <c r="A61" s="2928" t="s">
        <v>110</v>
      </c>
      <c r="B61" s="2928" t="s">
        <v>170</v>
      </c>
      <c r="C61" s="2928">
        <v>21330</v>
      </c>
      <c r="D61" s="2928">
        <v>18640</v>
      </c>
      <c r="E61" s="2928">
        <v>21190</v>
      </c>
      <c r="F61" s="2928">
        <v>4180</v>
      </c>
      <c r="G61" s="2928">
        <v>12650</v>
      </c>
      <c r="N61" s="2928" t="s">
        <v>3062</v>
      </c>
    </row>
    <row r="62" spans="1:17" ht="14.25" customHeight="1">
      <c r="A62" s="2928" t="s">
        <v>110</v>
      </c>
      <c r="B62" s="2928" t="s">
        <v>177</v>
      </c>
      <c r="C62" s="2928">
        <v>18710</v>
      </c>
      <c r="D62" s="2928">
        <v>19400</v>
      </c>
      <c r="E62" s="2928">
        <v>23750</v>
      </c>
      <c r="F62" s="2928">
        <v>4860</v>
      </c>
      <c r="G62" s="2928">
        <v>13170</v>
      </c>
      <c r="N62" s="2928" t="s">
        <v>3063</v>
      </c>
    </row>
    <row r="63" spans="1:17" ht="14.25" customHeight="1">
      <c r="A63" s="2928" t="s">
        <v>110</v>
      </c>
      <c r="B63" s="2928" t="s">
        <v>187</v>
      </c>
      <c r="C63" s="2928">
        <v>19480</v>
      </c>
      <c r="D63" s="2928">
        <v>16830</v>
      </c>
      <c r="E63" s="2928">
        <v>21590</v>
      </c>
      <c r="F63" s="2928">
        <v>4560</v>
      </c>
      <c r="G63" s="2928">
        <v>11420</v>
      </c>
      <c r="N63" s="2928" t="s">
        <v>3064</v>
      </c>
    </row>
    <row r="64" spans="1:17" ht="14.25" customHeight="1" thickBot="1">
      <c r="A64" s="2928" t="s">
        <v>110</v>
      </c>
      <c r="B64" s="2928" t="s">
        <v>196</v>
      </c>
      <c r="C64" s="2928">
        <v>16920</v>
      </c>
      <c r="D64" s="2928">
        <v>19190</v>
      </c>
      <c r="E64" s="2928">
        <v>22200</v>
      </c>
      <c r="F64" s="2928">
        <v>4390</v>
      </c>
      <c r="G64" s="2928">
        <v>13030</v>
      </c>
      <c r="N64" s="2935" t="s">
        <v>3065</v>
      </c>
    </row>
    <row r="65" spans="1:7" s="2762" customFormat="1" ht="14.25" customHeight="1">
      <c r="A65" s="2928" t="s">
        <v>110</v>
      </c>
      <c r="B65" s="2928" t="s">
        <v>203</v>
      </c>
      <c r="C65" s="2928">
        <v>19290</v>
      </c>
      <c r="D65" s="2928">
        <v>17020</v>
      </c>
      <c r="E65" s="2928">
        <v>19880</v>
      </c>
      <c r="F65" s="2928">
        <v>4070</v>
      </c>
      <c r="G65" s="2928">
        <v>11550</v>
      </c>
    </row>
    <row r="66" spans="1:7" s="2762" customFormat="1" ht="14.25" customHeight="1">
      <c r="A66" s="2928" t="s">
        <v>110</v>
      </c>
      <c r="B66" s="2928" t="s">
        <v>210</v>
      </c>
      <c r="C66" s="2928">
        <v>17090</v>
      </c>
      <c r="D66" s="2928">
        <v>18340</v>
      </c>
      <c r="E66" s="2928">
        <v>21830</v>
      </c>
      <c r="F66" s="2928">
        <v>4690</v>
      </c>
      <c r="G66" s="2928">
        <v>12450</v>
      </c>
    </row>
    <row r="67" spans="1:7" s="2762" customFormat="1" ht="14.25" customHeight="1">
      <c r="A67" s="2928" t="s">
        <v>110</v>
      </c>
      <c r="B67" s="2928" t="s">
        <v>216</v>
      </c>
      <c r="C67" s="2928">
        <v>18420</v>
      </c>
      <c r="D67" s="2928">
        <v>16360</v>
      </c>
      <c r="E67" s="2928">
        <v>20020</v>
      </c>
      <c r="F67" s="2928">
        <v>5150</v>
      </c>
      <c r="G67" s="2928">
        <v>11110</v>
      </c>
    </row>
    <row r="68" spans="1:7" s="2762" customFormat="1" ht="14.25" customHeight="1">
      <c r="A68" s="2928" t="s">
        <v>110</v>
      </c>
      <c r="B68" s="2928" t="s">
        <v>224</v>
      </c>
      <c r="C68" s="2928">
        <v>16450</v>
      </c>
      <c r="D68" s="2928">
        <v>18430</v>
      </c>
      <c r="E68" s="2928">
        <v>21010</v>
      </c>
      <c r="F68" s="2928">
        <v>4720</v>
      </c>
      <c r="G68" s="2928">
        <v>12510</v>
      </c>
    </row>
    <row r="69" spans="1:7" s="2762" customFormat="1" ht="14.25" customHeight="1">
      <c r="A69" s="2928" t="s">
        <v>110</v>
      </c>
      <c r="B69" s="2928" t="s">
        <v>232</v>
      </c>
      <c r="C69" s="2928">
        <v>18510</v>
      </c>
      <c r="D69" s="2928">
        <v>16300</v>
      </c>
      <c r="E69" s="2928">
        <v>18830</v>
      </c>
      <c r="F69" s="2928">
        <v>5400</v>
      </c>
      <c r="G69" s="2928">
        <v>11070</v>
      </c>
    </row>
    <row r="70" spans="1:7" s="2762" customFormat="1" ht="14.25" customHeight="1">
      <c r="A70" s="2928" t="s">
        <v>110</v>
      </c>
      <c r="B70" s="2928" t="s">
        <v>237</v>
      </c>
      <c r="C70" s="2928">
        <v>16370</v>
      </c>
      <c r="D70" s="2928">
        <v>18620</v>
      </c>
      <c r="E70" s="2928">
        <v>21100</v>
      </c>
      <c r="F70" s="2928">
        <v>5700</v>
      </c>
      <c r="G70" s="2928">
        <v>12640</v>
      </c>
    </row>
    <row r="71" spans="1:7" s="2762" customFormat="1" ht="14.25" customHeight="1">
      <c r="A71" s="2928" t="s">
        <v>110</v>
      </c>
      <c r="B71" s="2928" t="s">
        <v>246</v>
      </c>
      <c r="C71" s="2928">
        <v>18700</v>
      </c>
      <c r="D71" s="2928">
        <v>16290</v>
      </c>
      <c r="E71" s="2928">
        <v>18760</v>
      </c>
      <c r="F71" s="2928">
        <v>4780</v>
      </c>
      <c r="G71" s="2928">
        <v>11050</v>
      </c>
    </row>
    <row r="72" spans="1:7" s="2762" customFormat="1" ht="14.25" customHeight="1">
      <c r="A72" s="2928" t="s">
        <v>110</v>
      </c>
      <c r="B72" s="2928" t="s">
        <v>253</v>
      </c>
      <c r="C72" s="2928">
        <v>16340</v>
      </c>
      <c r="D72" s="2928">
        <v>17520</v>
      </c>
      <c r="E72" s="2928">
        <v>21170</v>
      </c>
      <c r="F72" s="2928"/>
      <c r="G72" s="2928">
        <v>11900</v>
      </c>
    </row>
    <row r="73" spans="1:7" s="2762" customFormat="1" ht="14.25" customHeight="1">
      <c r="A73" s="2928" t="s">
        <v>110</v>
      </c>
      <c r="B73" s="2928" t="s">
        <v>261</v>
      </c>
      <c r="C73" s="2928">
        <v>17610</v>
      </c>
      <c r="D73" s="2928">
        <v>18520</v>
      </c>
      <c r="E73" s="2928">
        <v>18720</v>
      </c>
      <c r="F73" s="2928"/>
      <c r="G73" s="2928">
        <v>12570</v>
      </c>
    </row>
    <row r="74" spans="1:7" s="2762" customFormat="1" ht="14.25" customHeight="1">
      <c r="A74" s="2928" t="s">
        <v>110</v>
      </c>
      <c r="B74" s="2928" t="s">
        <v>268</v>
      </c>
      <c r="C74" s="2928">
        <v>18600</v>
      </c>
      <c r="D74" s="2928">
        <v>16480</v>
      </c>
      <c r="E74" s="2928">
        <v>20100</v>
      </c>
      <c r="F74" s="2928"/>
      <c r="G74" s="2928">
        <v>11190</v>
      </c>
    </row>
    <row r="75" spans="1:7" s="2762" customFormat="1" ht="14.25" customHeight="1">
      <c r="A75" s="2928" t="s">
        <v>110</v>
      </c>
      <c r="B75" s="2928" t="s">
        <v>272</v>
      </c>
      <c r="C75" s="2928">
        <v>16570</v>
      </c>
      <c r="D75" s="2928">
        <v>17530</v>
      </c>
      <c r="E75" s="2928">
        <v>21030</v>
      </c>
      <c r="F75" s="2928"/>
      <c r="G75" s="2928">
        <v>11900</v>
      </c>
    </row>
    <row r="76" spans="1:7" s="2762" customFormat="1" ht="14.25" customHeight="1">
      <c r="A76" s="2928" t="s">
        <v>110</v>
      </c>
      <c r="B76" s="2928" t="s">
        <v>278</v>
      </c>
      <c r="C76" s="2928">
        <v>17610</v>
      </c>
      <c r="D76" s="2928">
        <v>20800</v>
      </c>
      <c r="E76" s="2928">
        <v>18920</v>
      </c>
      <c r="F76" s="2928"/>
      <c r="G76" s="2928">
        <v>14120</v>
      </c>
    </row>
    <row r="77" spans="1:7" s="2762" customFormat="1" ht="14.25" customHeight="1">
      <c r="A77" s="2928" t="s">
        <v>110</v>
      </c>
      <c r="B77" s="2928" t="s">
        <v>281</v>
      </c>
      <c r="C77" s="2928">
        <v>20890</v>
      </c>
      <c r="D77" s="2928">
        <v>19740</v>
      </c>
      <c r="E77" s="2928">
        <v>20110</v>
      </c>
      <c r="F77" s="2928"/>
      <c r="G77" s="2928">
        <v>13400</v>
      </c>
    </row>
    <row r="78" spans="1:7" s="2762" customFormat="1" ht="14.25" customHeight="1">
      <c r="A78" s="2928" t="s">
        <v>110</v>
      </c>
      <c r="B78" s="2928" t="s">
        <v>2936</v>
      </c>
      <c r="C78" s="2928">
        <v>19820</v>
      </c>
      <c r="D78" s="2928">
        <v>19780</v>
      </c>
      <c r="E78" s="2928">
        <v>18560</v>
      </c>
      <c r="F78" s="2928"/>
      <c r="G78" s="2928">
        <v>13430</v>
      </c>
    </row>
    <row r="79" spans="1:7" s="2762" customFormat="1" ht="14.25" customHeight="1">
      <c r="A79" s="2928" t="s">
        <v>110</v>
      </c>
      <c r="B79" s="2928" t="s">
        <v>2939</v>
      </c>
      <c r="C79" s="2928">
        <v>21660</v>
      </c>
      <c r="D79" s="2928">
        <v>18000</v>
      </c>
      <c r="E79" s="2928">
        <v>22570</v>
      </c>
      <c r="F79" s="2928"/>
      <c r="G79" s="2928">
        <v>12220</v>
      </c>
    </row>
    <row r="80" spans="1:7" s="2762" customFormat="1" ht="14.25" customHeight="1">
      <c r="A80" s="2928" t="s">
        <v>110</v>
      </c>
      <c r="B80" s="2928" t="s">
        <v>2943</v>
      </c>
      <c r="C80" s="2928">
        <v>19850</v>
      </c>
      <c r="D80" s="2928"/>
      <c r="E80" s="2928">
        <v>21700</v>
      </c>
      <c r="F80" s="2928"/>
      <c r="G80" s="2928"/>
    </row>
    <row r="81" spans="1:7" s="2762" customFormat="1" ht="14.25" customHeight="1">
      <c r="A81" s="2928" t="s">
        <v>110</v>
      </c>
      <c r="B81" s="2928" t="s">
        <v>2948</v>
      </c>
      <c r="C81" s="2928">
        <v>18080</v>
      </c>
      <c r="D81" s="2928"/>
      <c r="E81" s="2928">
        <v>20900</v>
      </c>
      <c r="F81" s="2928"/>
      <c r="G81" s="2928"/>
    </row>
    <row r="82" spans="1:7" s="2762" customFormat="1" ht="14.25" customHeight="1">
      <c r="A82" s="2928" t="s">
        <v>110</v>
      </c>
      <c r="B82" s="2928" t="s">
        <v>2955</v>
      </c>
      <c r="C82" s="2928"/>
      <c r="D82" s="2928"/>
      <c r="E82" s="2928">
        <v>20840</v>
      </c>
      <c r="F82" s="2928"/>
      <c r="G82" s="2928"/>
    </row>
    <row r="83" spans="1:7" s="2762" customFormat="1" ht="14.25" customHeight="1">
      <c r="A83" s="2928" t="s">
        <v>110</v>
      </c>
      <c r="B83" s="2928" t="s">
        <v>3066</v>
      </c>
      <c r="C83" s="2928"/>
      <c r="D83" s="2928"/>
      <c r="E83" s="2928"/>
      <c r="F83" s="2928">
        <v>4770</v>
      </c>
      <c r="G83" s="2928"/>
    </row>
    <row r="84" spans="1:7" s="2762" customFormat="1" ht="14.25" customHeight="1">
      <c r="A84" s="2928" t="s">
        <v>110</v>
      </c>
      <c r="B84" s="2928" t="s">
        <v>3067</v>
      </c>
      <c r="C84" s="2928"/>
      <c r="D84" s="2928"/>
      <c r="E84" s="2928"/>
      <c r="F84" s="2928">
        <v>4600</v>
      </c>
      <c r="G84" s="2928"/>
    </row>
    <row r="85" spans="1:7" s="2762" customFormat="1" ht="14.25" customHeight="1">
      <c r="A85" s="2928" t="s">
        <v>110</v>
      </c>
      <c r="B85" s="2928" t="s">
        <v>3068</v>
      </c>
      <c r="C85" s="2928"/>
      <c r="D85" s="2928"/>
      <c r="E85" s="2928"/>
      <c r="F85" s="2928">
        <v>4680</v>
      </c>
      <c r="G85" s="2928"/>
    </row>
    <row r="86" spans="1:7" s="2762" customFormat="1" ht="14.25" customHeight="1" thickBot="1">
      <c r="A86" s="2936" t="s">
        <v>110</v>
      </c>
      <c r="B86" s="2938" t="s">
        <v>3069</v>
      </c>
      <c r="C86" s="2939">
        <v>16610</v>
      </c>
      <c r="D86" s="2939">
        <v>16540</v>
      </c>
      <c r="E86" s="2939">
        <v>18850</v>
      </c>
      <c r="F86" s="2939"/>
      <c r="G86" s="2939">
        <v>11220</v>
      </c>
    </row>
    <row r="87" spans="1:7" s="2762" customFormat="1" ht="14.25" customHeight="1">
      <c r="A87" s="2933" t="s">
        <v>303</v>
      </c>
      <c r="B87" s="2924" t="s">
        <v>3070</v>
      </c>
      <c r="C87" s="2924">
        <v>15240</v>
      </c>
      <c r="D87" s="2924">
        <v>15170</v>
      </c>
      <c r="E87" s="2924">
        <v>18260</v>
      </c>
      <c r="F87" s="2924">
        <v>3830</v>
      </c>
      <c r="G87" s="2940">
        <v>10020</v>
      </c>
    </row>
    <row r="88" spans="1:7" s="2762" customFormat="1" ht="14.25" customHeight="1">
      <c r="A88" s="2928" t="s">
        <v>303</v>
      </c>
      <c r="B88" s="2928" t="s">
        <v>131</v>
      </c>
      <c r="C88" s="2928">
        <v>17310</v>
      </c>
      <c r="D88" s="2928">
        <v>17220</v>
      </c>
      <c r="E88" s="2928">
        <v>18610</v>
      </c>
      <c r="F88" s="2928">
        <v>3990</v>
      </c>
      <c r="G88" s="2941">
        <v>11380</v>
      </c>
    </row>
    <row r="89" spans="1:7" s="2762" customFormat="1" ht="14.25" customHeight="1">
      <c r="A89" s="2928" t="s">
        <v>303</v>
      </c>
      <c r="B89" s="2928" t="s">
        <v>140</v>
      </c>
      <c r="C89" s="2928">
        <v>15600</v>
      </c>
      <c r="D89" s="2928">
        <v>15550</v>
      </c>
      <c r="E89" s="2928">
        <v>19200</v>
      </c>
      <c r="F89" s="2928">
        <v>4110</v>
      </c>
      <c r="G89" s="2941">
        <v>10270</v>
      </c>
    </row>
    <row r="90" spans="1:7" s="2762" customFormat="1" ht="14.25" customHeight="1">
      <c r="A90" s="2928" t="s">
        <v>303</v>
      </c>
      <c r="B90" s="2928" t="s">
        <v>149</v>
      </c>
      <c r="C90" s="2928">
        <v>17330</v>
      </c>
      <c r="D90" s="2928">
        <v>17240</v>
      </c>
      <c r="E90" s="2928">
        <v>18570</v>
      </c>
      <c r="F90" s="2928">
        <v>4070</v>
      </c>
      <c r="G90" s="2941">
        <v>11390</v>
      </c>
    </row>
    <row r="91" spans="1:7" s="2762" customFormat="1" ht="14.25" customHeight="1">
      <c r="A91" s="2928" t="s">
        <v>303</v>
      </c>
      <c r="B91" s="2928" t="s">
        <v>158</v>
      </c>
      <c r="C91" s="2928">
        <v>16330</v>
      </c>
      <c r="D91" s="2928">
        <v>16260</v>
      </c>
      <c r="E91" s="2928">
        <v>16800</v>
      </c>
      <c r="F91" s="2928">
        <v>3410</v>
      </c>
      <c r="G91" s="2941">
        <v>10740</v>
      </c>
    </row>
    <row r="92" spans="1:7" s="2762" customFormat="1" ht="14.25" customHeight="1">
      <c r="A92" s="2928" t="s">
        <v>303</v>
      </c>
      <c r="B92" s="2928" t="s">
        <v>165</v>
      </c>
      <c r="C92" s="2928">
        <v>15570</v>
      </c>
      <c r="D92" s="2928">
        <v>15500</v>
      </c>
      <c r="E92" s="2928">
        <v>17360</v>
      </c>
      <c r="F92" s="2928">
        <v>3510</v>
      </c>
      <c r="G92" s="2941">
        <v>10240</v>
      </c>
    </row>
    <row r="93" spans="1:7" s="2762" customFormat="1" ht="14.25" customHeight="1">
      <c r="A93" s="2928" t="s">
        <v>303</v>
      </c>
      <c r="B93" s="2928" t="s">
        <v>171</v>
      </c>
      <c r="C93" s="2928">
        <v>14000</v>
      </c>
      <c r="D93" s="2928">
        <v>13930</v>
      </c>
      <c r="E93" s="2928">
        <v>18200</v>
      </c>
      <c r="F93" s="2928">
        <v>3640</v>
      </c>
      <c r="G93" s="2941">
        <v>9210</v>
      </c>
    </row>
    <row r="94" spans="1:7" s="2762" customFormat="1" ht="14.25" customHeight="1">
      <c r="A94" s="2928" t="s">
        <v>303</v>
      </c>
      <c r="B94" s="2928" t="s">
        <v>178</v>
      </c>
      <c r="C94" s="2928">
        <v>14530</v>
      </c>
      <c r="D94" s="2928">
        <v>14470</v>
      </c>
      <c r="E94" s="2928">
        <v>18240</v>
      </c>
      <c r="F94" s="2928">
        <v>3180</v>
      </c>
      <c r="G94" s="2941">
        <v>9560</v>
      </c>
    </row>
    <row r="95" spans="1:7" s="2762" customFormat="1" ht="14.25" customHeight="1">
      <c r="A95" s="2928" t="s">
        <v>303</v>
      </c>
      <c r="B95" s="2928" t="s">
        <v>188</v>
      </c>
      <c r="C95" s="2928">
        <v>17330</v>
      </c>
      <c r="D95" s="2928">
        <v>17260</v>
      </c>
      <c r="E95" s="2928">
        <v>18420</v>
      </c>
      <c r="F95" s="2928">
        <v>3060</v>
      </c>
      <c r="G95" s="2941">
        <v>11410</v>
      </c>
    </row>
    <row r="96" spans="1:7" s="2762" customFormat="1" ht="14.25" customHeight="1">
      <c r="A96" s="2928" t="s">
        <v>303</v>
      </c>
      <c r="B96" s="2928" t="s">
        <v>197</v>
      </c>
      <c r="C96" s="2928">
        <v>15030</v>
      </c>
      <c r="D96" s="2928">
        <v>14970</v>
      </c>
      <c r="E96" s="2928">
        <v>17580</v>
      </c>
      <c r="F96" s="2928">
        <v>2970</v>
      </c>
      <c r="G96" s="2941">
        <v>9890</v>
      </c>
    </row>
    <row r="97" spans="1:7" s="2762" customFormat="1" ht="14.25" customHeight="1">
      <c r="A97" s="2928" t="s">
        <v>303</v>
      </c>
      <c r="B97" s="2928" t="s">
        <v>204</v>
      </c>
      <c r="C97" s="2928">
        <v>17400</v>
      </c>
      <c r="D97" s="2928">
        <v>17330</v>
      </c>
      <c r="E97" s="2928">
        <v>16430</v>
      </c>
      <c r="F97" s="2928">
        <v>2950</v>
      </c>
      <c r="G97" s="2941">
        <v>11450</v>
      </c>
    </row>
    <row r="98" spans="1:7" s="2762" customFormat="1" ht="14.25" customHeight="1">
      <c r="A98" s="2928" t="s">
        <v>303</v>
      </c>
      <c r="B98" s="2928" t="s">
        <v>211</v>
      </c>
      <c r="C98" s="2928">
        <v>15200</v>
      </c>
      <c r="D98" s="2928">
        <v>15120</v>
      </c>
      <c r="E98" s="2928">
        <v>17550</v>
      </c>
      <c r="F98" s="2928">
        <v>3080</v>
      </c>
      <c r="G98" s="2941">
        <v>9990</v>
      </c>
    </row>
    <row r="99" spans="1:7" s="2762" customFormat="1" ht="14.25" customHeight="1">
      <c r="A99" s="2928" t="s">
        <v>303</v>
      </c>
      <c r="B99" s="2928" t="s">
        <v>217</v>
      </c>
      <c r="C99" s="2928">
        <v>17520</v>
      </c>
      <c r="D99" s="2928">
        <v>17430</v>
      </c>
      <c r="E99" s="2928">
        <v>16350</v>
      </c>
      <c r="F99" s="2928">
        <v>3260</v>
      </c>
      <c r="G99" s="2941">
        <v>11510</v>
      </c>
    </row>
    <row r="100" spans="1:7" s="2762" customFormat="1" ht="14.25" customHeight="1">
      <c r="A100" s="2928" t="s">
        <v>303</v>
      </c>
      <c r="B100" s="2928" t="s">
        <v>225</v>
      </c>
      <c r="C100" s="2928">
        <v>15340</v>
      </c>
      <c r="D100" s="2928">
        <v>15260</v>
      </c>
      <c r="E100" s="2928">
        <v>15930</v>
      </c>
      <c r="F100" s="2928">
        <v>2740</v>
      </c>
      <c r="G100" s="2941">
        <v>10080</v>
      </c>
    </row>
    <row r="101" spans="1:7" s="2762" customFormat="1" ht="14.25" customHeight="1">
      <c r="A101" s="2928" t="s">
        <v>303</v>
      </c>
      <c r="B101" s="2928" t="s">
        <v>233</v>
      </c>
      <c r="C101" s="2928">
        <v>14620</v>
      </c>
      <c r="D101" s="2928">
        <v>14560</v>
      </c>
      <c r="E101" s="2928">
        <v>15570</v>
      </c>
      <c r="F101" s="2928">
        <v>3500</v>
      </c>
      <c r="G101" s="2941">
        <v>9630</v>
      </c>
    </row>
    <row r="102" spans="1:7" s="2762" customFormat="1" ht="14.25" customHeight="1">
      <c r="A102" s="2928" t="s">
        <v>303</v>
      </c>
      <c r="B102" s="2928" t="s">
        <v>238</v>
      </c>
      <c r="C102" s="2928">
        <v>13680</v>
      </c>
      <c r="D102" s="2928">
        <v>13610</v>
      </c>
      <c r="E102" s="2928">
        <v>15690</v>
      </c>
      <c r="F102" s="2928">
        <v>2870</v>
      </c>
      <c r="G102" s="2941">
        <v>8990</v>
      </c>
    </row>
    <row r="103" spans="1:7" s="2762" customFormat="1" ht="14.25" customHeight="1">
      <c r="A103" s="2928" t="s">
        <v>303</v>
      </c>
      <c r="B103" s="2928" t="s">
        <v>247</v>
      </c>
      <c r="C103" s="2928">
        <v>14620</v>
      </c>
      <c r="D103" s="2928">
        <v>14540</v>
      </c>
      <c r="E103" s="2928">
        <v>15240</v>
      </c>
      <c r="F103" s="2928">
        <v>2840</v>
      </c>
      <c r="G103" s="2941">
        <v>9610</v>
      </c>
    </row>
    <row r="104" spans="1:7" s="2762" customFormat="1" ht="14.25" customHeight="1">
      <c r="A104" s="2928" t="s">
        <v>303</v>
      </c>
      <c r="B104" s="2928" t="s">
        <v>254</v>
      </c>
      <c r="C104" s="2928">
        <v>13610</v>
      </c>
      <c r="D104" s="2928">
        <v>13540</v>
      </c>
      <c r="E104" s="2928">
        <v>15750</v>
      </c>
      <c r="F104" s="2928">
        <v>2770</v>
      </c>
      <c r="G104" s="2941">
        <v>8940</v>
      </c>
    </row>
    <row r="105" spans="1:7" s="2762" customFormat="1" ht="14.25" customHeight="1">
      <c r="A105" s="2928" t="s">
        <v>303</v>
      </c>
      <c r="B105" s="2928" t="s">
        <v>262</v>
      </c>
      <c r="C105" s="2928">
        <v>13310</v>
      </c>
      <c r="D105" s="2928">
        <v>13240</v>
      </c>
      <c r="E105" s="2928">
        <v>16280</v>
      </c>
      <c r="F105" s="2928">
        <v>3210</v>
      </c>
      <c r="G105" s="2941">
        <v>8750</v>
      </c>
    </row>
    <row r="106" spans="1:7" s="2762" customFormat="1" ht="14.25" customHeight="1">
      <c r="A106" s="2928" t="s">
        <v>303</v>
      </c>
      <c r="B106" s="2928" t="s">
        <v>269</v>
      </c>
      <c r="C106" s="2928">
        <v>13010</v>
      </c>
      <c r="D106" s="2928">
        <v>12930</v>
      </c>
      <c r="E106" s="2928">
        <v>14960</v>
      </c>
      <c r="F106" s="2928">
        <v>3530</v>
      </c>
      <c r="G106" s="2941">
        <v>8550</v>
      </c>
    </row>
    <row r="107" spans="1:7" s="2762" customFormat="1" ht="14.25" customHeight="1">
      <c r="A107" s="2928" t="s">
        <v>303</v>
      </c>
      <c r="B107" s="2928" t="s">
        <v>273</v>
      </c>
      <c r="C107" s="2928">
        <v>13070</v>
      </c>
      <c r="D107" s="2928">
        <v>13000</v>
      </c>
      <c r="E107" s="2928">
        <v>15910</v>
      </c>
      <c r="F107" s="2928">
        <v>3990</v>
      </c>
      <c r="G107" s="2941">
        <v>8580</v>
      </c>
    </row>
    <row r="108" spans="1:7" s="2762" customFormat="1" ht="14.25" customHeight="1">
      <c r="A108" s="2928" t="s">
        <v>303</v>
      </c>
      <c r="B108" s="2928" t="s">
        <v>279</v>
      </c>
      <c r="C108" s="2928">
        <v>12640</v>
      </c>
      <c r="D108" s="2928">
        <v>12580</v>
      </c>
      <c r="E108" s="2928">
        <v>15730</v>
      </c>
      <c r="F108" s="2928"/>
      <c r="G108" s="2941">
        <v>8310</v>
      </c>
    </row>
    <row r="109" spans="1:7" s="2762" customFormat="1" ht="14.25" customHeight="1">
      <c r="A109" s="2928" t="s">
        <v>303</v>
      </c>
      <c r="B109" s="2928" t="s">
        <v>282</v>
      </c>
      <c r="C109" s="2928">
        <v>13130</v>
      </c>
      <c r="D109" s="2928">
        <v>13070</v>
      </c>
      <c r="E109" s="2928">
        <v>15000</v>
      </c>
      <c r="F109" s="2928"/>
      <c r="G109" s="2941">
        <v>8630</v>
      </c>
    </row>
    <row r="110" spans="1:7" s="2762" customFormat="1" ht="14.25" customHeight="1">
      <c r="A110" s="2928" t="s">
        <v>303</v>
      </c>
      <c r="B110" s="2928" t="s">
        <v>284</v>
      </c>
      <c r="C110" s="2928">
        <v>13560</v>
      </c>
      <c r="D110" s="2928">
        <v>13490</v>
      </c>
      <c r="E110" s="2928">
        <v>16300</v>
      </c>
      <c r="F110" s="2928"/>
      <c r="G110" s="2941">
        <v>8920</v>
      </c>
    </row>
    <row r="111" spans="1:7" s="2762" customFormat="1" ht="14.25" customHeight="1">
      <c r="A111" s="2928" t="s">
        <v>303</v>
      </c>
      <c r="B111" s="2928" t="s">
        <v>287</v>
      </c>
      <c r="C111" s="2928">
        <v>12440</v>
      </c>
      <c r="D111" s="2928">
        <v>12380</v>
      </c>
      <c r="E111" s="2928">
        <v>17850</v>
      </c>
      <c r="F111" s="2928"/>
      <c r="G111" s="2941">
        <v>8180</v>
      </c>
    </row>
    <row r="112" spans="1:7" s="2762" customFormat="1" ht="14.25" customHeight="1">
      <c r="A112" s="2928" t="s">
        <v>303</v>
      </c>
      <c r="B112" s="2928" t="s">
        <v>291</v>
      </c>
      <c r="C112" s="2928">
        <v>13260</v>
      </c>
      <c r="D112" s="2928">
        <v>13180</v>
      </c>
      <c r="E112" s="2928">
        <v>19740</v>
      </c>
      <c r="F112" s="2928"/>
      <c r="G112" s="2941">
        <v>8710</v>
      </c>
    </row>
    <row r="113" spans="1:7" s="2762" customFormat="1" ht="14.25" customHeight="1">
      <c r="A113" s="2928" t="s">
        <v>303</v>
      </c>
      <c r="B113" s="2928" t="s">
        <v>2949</v>
      </c>
      <c r="C113" s="2928">
        <v>15520</v>
      </c>
      <c r="D113" s="2928">
        <v>15450</v>
      </c>
      <c r="E113" s="2928"/>
      <c r="F113" s="2928"/>
      <c r="G113" s="2941">
        <v>10210</v>
      </c>
    </row>
    <row r="114" spans="1:7" s="2762" customFormat="1" ht="14.25" customHeight="1">
      <c r="A114" s="2928" t="s">
        <v>303</v>
      </c>
      <c r="B114" s="2928" t="s">
        <v>2956</v>
      </c>
      <c r="C114" s="2928">
        <v>13110</v>
      </c>
      <c r="D114" s="2928">
        <v>13050</v>
      </c>
      <c r="E114" s="2928"/>
      <c r="F114" s="2928"/>
      <c r="G114" s="2941">
        <v>8620</v>
      </c>
    </row>
    <row r="115" spans="1:7" s="2762" customFormat="1" ht="14.25" customHeight="1">
      <c r="A115" s="2928" t="s">
        <v>303</v>
      </c>
      <c r="B115" s="2928" t="s">
        <v>2962</v>
      </c>
      <c r="C115" s="2928">
        <v>12460</v>
      </c>
      <c r="D115" s="2928">
        <v>12390</v>
      </c>
      <c r="E115" s="2928"/>
      <c r="F115" s="2928"/>
      <c r="G115" s="2941">
        <v>8190</v>
      </c>
    </row>
    <row r="116" spans="1:7" s="2762" customFormat="1" ht="14.25" customHeight="1">
      <c r="A116" s="2928" t="s">
        <v>303</v>
      </c>
      <c r="B116" s="2928" t="s">
        <v>2969</v>
      </c>
      <c r="C116" s="2928">
        <v>13580</v>
      </c>
      <c r="D116" s="2928">
        <v>13520</v>
      </c>
      <c r="E116" s="2928"/>
      <c r="F116" s="2928"/>
      <c r="G116" s="2941">
        <v>8930</v>
      </c>
    </row>
    <row r="117" spans="1:7" s="2762" customFormat="1" ht="14.25" customHeight="1">
      <c r="A117" s="2928" t="s">
        <v>303</v>
      </c>
      <c r="B117" s="2928" t="s">
        <v>2976</v>
      </c>
      <c r="C117" s="2928">
        <v>17120</v>
      </c>
      <c r="D117" s="2928">
        <v>17040</v>
      </c>
      <c r="E117" s="2928"/>
      <c r="F117" s="2928"/>
      <c r="G117" s="2941">
        <v>11260</v>
      </c>
    </row>
    <row r="118" spans="1:7" s="2762" customFormat="1" ht="14.25" customHeight="1">
      <c r="A118" s="2928" t="s">
        <v>303</v>
      </c>
      <c r="B118" s="2928" t="s">
        <v>2981</v>
      </c>
      <c r="C118" s="2928">
        <v>14860</v>
      </c>
      <c r="D118" s="2928">
        <v>14790</v>
      </c>
      <c r="E118" s="2928"/>
      <c r="F118" s="2928"/>
      <c r="G118" s="2941">
        <v>9780</v>
      </c>
    </row>
    <row r="119" spans="1:7" s="2762" customFormat="1" ht="14.25" customHeight="1">
      <c r="A119" s="2928" t="s">
        <v>303</v>
      </c>
      <c r="B119" s="2928" t="s">
        <v>2985</v>
      </c>
      <c r="C119" s="2928">
        <v>16470</v>
      </c>
      <c r="D119" s="2928">
        <v>16400</v>
      </c>
      <c r="E119" s="2928"/>
      <c r="F119" s="2928"/>
      <c r="G119" s="2941">
        <v>10840</v>
      </c>
    </row>
    <row r="120" spans="1:7" s="2762" customFormat="1" ht="14.25" customHeight="1">
      <c r="A120" s="2928" t="s">
        <v>303</v>
      </c>
      <c r="B120" s="2928" t="s">
        <v>3071</v>
      </c>
      <c r="C120" s="2928"/>
      <c r="D120" s="2928"/>
      <c r="E120" s="2928"/>
      <c r="F120" s="2928">
        <v>4160</v>
      </c>
      <c r="G120" s="2941"/>
    </row>
    <row r="121" spans="1:7" s="2762" customFormat="1" ht="14.25" customHeight="1">
      <c r="A121" s="2928" t="s">
        <v>303</v>
      </c>
      <c r="B121" s="2928" t="s">
        <v>3072</v>
      </c>
      <c r="C121" s="2928"/>
      <c r="D121" s="2928"/>
      <c r="E121" s="2928"/>
      <c r="F121" s="2928">
        <v>3880</v>
      </c>
      <c r="G121" s="2941"/>
    </row>
    <row r="122" spans="1:7" s="2762" customFormat="1" ht="14.25" customHeight="1">
      <c r="A122" s="2928" t="s">
        <v>303</v>
      </c>
      <c r="B122" s="2928" t="s">
        <v>3073</v>
      </c>
      <c r="C122" s="2928">
        <v>13750</v>
      </c>
      <c r="D122" s="2928">
        <v>13680</v>
      </c>
      <c r="E122" s="2928">
        <v>16460</v>
      </c>
      <c r="F122" s="2928">
        <v>2880</v>
      </c>
      <c r="G122" s="2941">
        <v>9040</v>
      </c>
    </row>
    <row r="123" spans="1:7" s="2762" customFormat="1" ht="14.25" customHeight="1">
      <c r="A123" s="2928" t="s">
        <v>303</v>
      </c>
      <c r="B123" s="2928" t="s">
        <v>3004</v>
      </c>
      <c r="C123" s="2928">
        <v>13590</v>
      </c>
      <c r="D123" s="2928">
        <v>13520</v>
      </c>
      <c r="E123" s="2928">
        <v>16290</v>
      </c>
      <c r="F123" s="2928">
        <v>2790</v>
      </c>
      <c r="G123" s="2941">
        <v>8930</v>
      </c>
    </row>
    <row r="124" spans="1:7" s="2762" customFormat="1" ht="14.25" customHeight="1">
      <c r="A124" s="2928" t="s">
        <v>303</v>
      </c>
      <c r="B124" s="2928" t="s">
        <v>3009</v>
      </c>
      <c r="C124" s="2928">
        <v>13400</v>
      </c>
      <c r="D124" s="2928">
        <v>13320</v>
      </c>
      <c r="E124" s="2928">
        <v>16100</v>
      </c>
      <c r="F124" s="2928">
        <v>2320</v>
      </c>
      <c r="G124" s="2941">
        <v>8800</v>
      </c>
    </row>
    <row r="125" spans="1:7" s="2762" customFormat="1" ht="14.25" customHeight="1">
      <c r="A125" s="2928" t="s">
        <v>303</v>
      </c>
      <c r="B125" s="2928" t="s">
        <v>3014</v>
      </c>
      <c r="C125" s="2928">
        <v>12860</v>
      </c>
      <c r="D125" s="2928">
        <v>12790</v>
      </c>
      <c r="E125" s="2928">
        <v>15370</v>
      </c>
      <c r="F125" s="2928">
        <v>2280</v>
      </c>
      <c r="G125" s="2941">
        <v>8450</v>
      </c>
    </row>
    <row r="126" spans="1:7" s="2762" customFormat="1" ht="14.25" customHeight="1" thickBot="1">
      <c r="A126" s="2942" t="s">
        <v>303</v>
      </c>
      <c r="B126" s="2935" t="s">
        <v>3019</v>
      </c>
      <c r="C126" s="2935">
        <v>12960</v>
      </c>
      <c r="D126" s="2935">
        <v>12890</v>
      </c>
      <c r="E126" s="2935">
        <v>15530</v>
      </c>
      <c r="F126" s="2935">
        <v>2910</v>
      </c>
      <c r="G126" s="2943">
        <v>8520</v>
      </c>
    </row>
    <row r="127" spans="1:7" s="2762" customFormat="1" ht="14.25" customHeight="1">
      <c r="A127" s="2933" t="s">
        <v>29</v>
      </c>
      <c r="B127" s="2924" t="s">
        <v>3074</v>
      </c>
      <c r="C127" s="2928">
        <v>12280</v>
      </c>
      <c r="D127" s="2928">
        <v>12250</v>
      </c>
      <c r="E127" s="2928">
        <v>15130</v>
      </c>
      <c r="F127" s="2928">
        <v>2710</v>
      </c>
      <c r="G127" s="2928">
        <v>7870</v>
      </c>
    </row>
    <row r="128" spans="1:7" s="2762" customFormat="1" ht="14.25" customHeight="1">
      <c r="A128" s="2928" t="s">
        <v>29</v>
      </c>
      <c r="B128" s="2928" t="s">
        <v>132</v>
      </c>
      <c r="C128" s="2928">
        <v>13180</v>
      </c>
      <c r="D128" s="2928">
        <v>13150</v>
      </c>
      <c r="E128" s="2928">
        <v>16190</v>
      </c>
      <c r="F128" s="2928">
        <v>2820</v>
      </c>
      <c r="G128" s="2928">
        <v>8460</v>
      </c>
    </row>
    <row r="129" spans="1:7" s="2762" customFormat="1" ht="14.25" customHeight="1">
      <c r="A129" s="2928" t="s">
        <v>29</v>
      </c>
      <c r="B129" s="2928" t="s">
        <v>141</v>
      </c>
      <c r="C129" s="2928">
        <v>10950</v>
      </c>
      <c r="D129" s="2928">
        <v>10920</v>
      </c>
      <c r="E129" s="2928">
        <v>13820</v>
      </c>
      <c r="F129" s="2928">
        <v>2500</v>
      </c>
      <c r="G129" s="2928">
        <v>7020</v>
      </c>
    </row>
    <row r="130" spans="1:7" s="2762" customFormat="1" ht="14.25" customHeight="1">
      <c r="A130" s="2928" t="s">
        <v>29</v>
      </c>
      <c r="B130" s="2928" t="s">
        <v>150</v>
      </c>
      <c r="C130" s="2928">
        <v>10910</v>
      </c>
      <c r="D130" s="2928">
        <v>10860</v>
      </c>
      <c r="E130" s="2928">
        <v>13730</v>
      </c>
      <c r="F130" s="2928">
        <v>2760</v>
      </c>
      <c r="G130" s="2928">
        <v>6990</v>
      </c>
    </row>
    <row r="131" spans="1:7" s="2762" customFormat="1" ht="14.25" customHeight="1">
      <c r="A131" s="2928" t="s">
        <v>29</v>
      </c>
      <c r="B131" s="2928" t="s">
        <v>159</v>
      </c>
      <c r="C131" s="2928">
        <v>12910</v>
      </c>
      <c r="D131" s="2928">
        <v>12870</v>
      </c>
      <c r="E131" s="2928">
        <v>15720</v>
      </c>
      <c r="F131" s="2928">
        <v>2750</v>
      </c>
      <c r="G131" s="2928">
        <v>8280</v>
      </c>
    </row>
    <row r="132" spans="1:7" s="2762" customFormat="1" ht="14.25" customHeight="1">
      <c r="A132" s="2928" t="s">
        <v>29</v>
      </c>
      <c r="B132" s="2928" t="s">
        <v>166</v>
      </c>
      <c r="C132" s="2928">
        <v>11910</v>
      </c>
      <c r="D132" s="2928">
        <v>11860</v>
      </c>
      <c r="E132" s="2928">
        <v>14730</v>
      </c>
      <c r="F132" s="2928">
        <v>2360</v>
      </c>
      <c r="G132" s="2928">
        <v>7630</v>
      </c>
    </row>
    <row r="133" spans="1:7" s="2762" customFormat="1" ht="14.25" customHeight="1">
      <c r="A133" s="2928" t="s">
        <v>29</v>
      </c>
      <c r="B133" s="2928" t="s">
        <v>172</v>
      </c>
      <c r="C133" s="2928">
        <v>12270</v>
      </c>
      <c r="D133" s="2928">
        <v>12210</v>
      </c>
      <c r="E133" s="2928">
        <v>15010</v>
      </c>
      <c r="F133" s="2928">
        <v>2580</v>
      </c>
      <c r="G133" s="2928">
        <v>7860</v>
      </c>
    </row>
    <row r="134" spans="1:7" s="2762" customFormat="1" ht="14.25" customHeight="1">
      <c r="A134" s="2928" t="s">
        <v>29</v>
      </c>
      <c r="B134" s="2928" t="s">
        <v>179</v>
      </c>
      <c r="C134" s="2928">
        <v>10800</v>
      </c>
      <c r="D134" s="2928">
        <v>10780</v>
      </c>
      <c r="E134" s="2928">
        <v>13640</v>
      </c>
      <c r="F134" s="2928">
        <v>2110</v>
      </c>
      <c r="G134" s="2928">
        <v>6930</v>
      </c>
    </row>
    <row r="135" spans="1:7" s="2762" customFormat="1" ht="14.25" customHeight="1">
      <c r="A135" s="2928" t="s">
        <v>29</v>
      </c>
      <c r="B135" s="2928" t="s">
        <v>189</v>
      </c>
      <c r="C135" s="2928">
        <v>10430</v>
      </c>
      <c r="D135" s="2928">
        <v>10390</v>
      </c>
      <c r="E135" s="2928">
        <v>13140</v>
      </c>
      <c r="F135" s="2928">
        <v>2240</v>
      </c>
      <c r="G135" s="2928">
        <v>6680</v>
      </c>
    </row>
    <row r="136" spans="1:7" s="2762" customFormat="1" ht="14.25" customHeight="1">
      <c r="A136" s="2928" t="s">
        <v>29</v>
      </c>
      <c r="B136" s="2928" t="s">
        <v>198</v>
      </c>
      <c r="C136" s="2928">
        <v>11930</v>
      </c>
      <c r="D136" s="2928">
        <v>11880</v>
      </c>
      <c r="E136" s="2928">
        <v>14770</v>
      </c>
      <c r="F136" s="2928">
        <v>1970</v>
      </c>
      <c r="G136" s="2928">
        <v>7640</v>
      </c>
    </row>
    <row r="137" spans="1:7" s="2762" customFormat="1" ht="14.25" customHeight="1">
      <c r="A137" s="2928" t="s">
        <v>29</v>
      </c>
      <c r="B137" s="2928" t="s">
        <v>205</v>
      </c>
      <c r="C137" s="2928">
        <v>10470</v>
      </c>
      <c r="D137" s="2928">
        <v>10430</v>
      </c>
      <c r="E137" s="2928">
        <v>13190</v>
      </c>
      <c r="F137" s="2928">
        <v>1990</v>
      </c>
      <c r="G137" s="2928">
        <v>6710</v>
      </c>
    </row>
    <row r="138" spans="1:7" s="2762" customFormat="1" ht="14.25" customHeight="1">
      <c r="A138" s="2928" t="s">
        <v>29</v>
      </c>
      <c r="B138" s="2928" t="s">
        <v>212</v>
      </c>
      <c r="C138" s="2928">
        <v>10410</v>
      </c>
      <c r="D138" s="2928">
        <v>10380</v>
      </c>
      <c r="E138" s="2928">
        <v>13130</v>
      </c>
      <c r="F138" s="2928">
        <v>2030</v>
      </c>
      <c r="G138" s="2928">
        <v>6680</v>
      </c>
    </row>
    <row r="139" spans="1:7" s="2762" customFormat="1" ht="14.25" customHeight="1">
      <c r="A139" s="2928" t="s">
        <v>29</v>
      </c>
      <c r="B139" s="2928" t="s">
        <v>218</v>
      </c>
      <c r="C139" s="2928">
        <v>9460</v>
      </c>
      <c r="D139" s="2928">
        <v>9410</v>
      </c>
      <c r="E139" s="2928">
        <v>12050</v>
      </c>
      <c r="F139" s="2928">
        <v>2140</v>
      </c>
      <c r="G139" s="2928">
        <v>6050</v>
      </c>
    </row>
    <row r="140" spans="1:7" s="2762" customFormat="1" ht="14.25" customHeight="1">
      <c r="A140" s="2928" t="s">
        <v>29</v>
      </c>
      <c r="B140" s="2928" t="s">
        <v>226</v>
      </c>
      <c r="C140" s="2928">
        <v>11030</v>
      </c>
      <c r="D140" s="2928">
        <v>10980</v>
      </c>
      <c r="E140" s="2928">
        <v>13880</v>
      </c>
      <c r="F140" s="2928">
        <v>2210</v>
      </c>
      <c r="G140" s="2928">
        <v>7060</v>
      </c>
    </row>
    <row r="141" spans="1:7" s="2762" customFormat="1" ht="14.25" customHeight="1">
      <c r="A141" s="2928" t="s">
        <v>29</v>
      </c>
      <c r="B141" s="2928" t="s">
        <v>234</v>
      </c>
      <c r="C141" s="2928">
        <v>11200</v>
      </c>
      <c r="D141" s="2928">
        <v>11150</v>
      </c>
      <c r="E141" s="2928">
        <v>14100</v>
      </c>
      <c r="F141" s="2928">
        <v>2470</v>
      </c>
      <c r="G141" s="2928">
        <v>7170</v>
      </c>
    </row>
    <row r="142" spans="1:7" s="2762" customFormat="1" ht="14.25" customHeight="1">
      <c r="A142" s="2928" t="s">
        <v>29</v>
      </c>
      <c r="B142" s="2928" t="s">
        <v>239</v>
      </c>
      <c r="C142" s="2928">
        <v>10780</v>
      </c>
      <c r="D142" s="2928">
        <v>10730</v>
      </c>
      <c r="E142" s="2928">
        <v>13540</v>
      </c>
      <c r="F142" s="2928">
        <v>2280</v>
      </c>
      <c r="G142" s="2928">
        <v>6900</v>
      </c>
    </row>
    <row r="143" spans="1:7" s="2762" customFormat="1" ht="14.25" customHeight="1">
      <c r="A143" s="2928" t="s">
        <v>29</v>
      </c>
      <c r="B143" s="2928" t="s">
        <v>248</v>
      </c>
      <c r="C143" s="2928">
        <v>11550</v>
      </c>
      <c r="D143" s="2928">
        <v>11490</v>
      </c>
      <c r="E143" s="2928">
        <v>14480</v>
      </c>
      <c r="F143" s="2928">
        <v>2070</v>
      </c>
      <c r="G143" s="2928">
        <v>7390</v>
      </c>
    </row>
    <row r="144" spans="1:7" s="2762" customFormat="1" ht="14.25" customHeight="1">
      <c r="A144" s="2928" t="s">
        <v>29</v>
      </c>
      <c r="B144" s="2928" t="s">
        <v>255</v>
      </c>
      <c r="C144" s="2928">
        <v>10720</v>
      </c>
      <c r="D144" s="2928">
        <v>10680</v>
      </c>
      <c r="E144" s="2928">
        <v>13480</v>
      </c>
      <c r="F144" s="2928">
        <v>2440</v>
      </c>
      <c r="G144" s="2928">
        <v>6870</v>
      </c>
    </row>
    <row r="145" spans="1:7" s="2762" customFormat="1" ht="14.25" customHeight="1">
      <c r="A145" s="2928" t="s">
        <v>29</v>
      </c>
      <c r="B145" s="2928" t="s">
        <v>263</v>
      </c>
      <c r="C145" s="2928">
        <v>10340</v>
      </c>
      <c r="D145" s="2928">
        <v>10290</v>
      </c>
      <c r="E145" s="2928">
        <v>12880</v>
      </c>
      <c r="F145" s="2928">
        <v>2650</v>
      </c>
      <c r="G145" s="2928">
        <v>6620</v>
      </c>
    </row>
    <row r="146" spans="1:7" s="2762" customFormat="1" ht="14.25" customHeight="1">
      <c r="A146" s="2928" t="s">
        <v>29</v>
      </c>
      <c r="B146" s="2928" t="s">
        <v>270</v>
      </c>
      <c r="C146" s="2928">
        <v>11890</v>
      </c>
      <c r="D146" s="2928">
        <v>11830</v>
      </c>
      <c r="E146" s="2928">
        <v>14670</v>
      </c>
      <c r="F146" s="2928"/>
      <c r="G146" s="2928">
        <v>7610</v>
      </c>
    </row>
    <row r="147" spans="1:7" s="2762" customFormat="1" ht="14.25" customHeight="1">
      <c r="A147" s="2928" t="s">
        <v>29</v>
      </c>
      <c r="B147" s="2928" t="s">
        <v>274</v>
      </c>
      <c r="C147" s="2928">
        <v>12650</v>
      </c>
      <c r="D147" s="2928">
        <v>12600</v>
      </c>
      <c r="E147" s="2928">
        <v>15440</v>
      </c>
      <c r="F147" s="2928"/>
      <c r="G147" s="2928">
        <v>8110</v>
      </c>
    </row>
    <row r="148" spans="1:7" s="2762" customFormat="1" ht="14.25" customHeight="1">
      <c r="A148" s="2928" t="s">
        <v>29</v>
      </c>
      <c r="B148" s="2928" t="s">
        <v>3075</v>
      </c>
      <c r="C148" s="2928">
        <v>10370</v>
      </c>
      <c r="D148" s="2928">
        <v>10310</v>
      </c>
      <c r="E148" s="2928">
        <v>12970</v>
      </c>
      <c r="F148" s="2928"/>
      <c r="G148" s="2928">
        <v>6630</v>
      </c>
    </row>
    <row r="149" spans="1:7" s="2762" customFormat="1" ht="14.25" customHeight="1">
      <c r="A149" s="2928" t="s">
        <v>29</v>
      </c>
      <c r="B149" s="2928" t="s">
        <v>3076</v>
      </c>
      <c r="C149" s="2928">
        <v>11600</v>
      </c>
      <c r="D149" s="2928">
        <v>11560</v>
      </c>
      <c r="E149" s="2928">
        <v>14540</v>
      </c>
      <c r="F149" s="2928">
        <v>2390</v>
      </c>
      <c r="G149" s="2928">
        <v>7430</v>
      </c>
    </row>
    <row r="150" spans="1:7" s="2762" customFormat="1" ht="14.25" customHeight="1">
      <c r="A150" s="2928" t="s">
        <v>29</v>
      </c>
      <c r="B150" s="2928" t="s">
        <v>292</v>
      </c>
      <c r="C150" s="2928">
        <v>9950</v>
      </c>
      <c r="D150" s="2928">
        <v>9890</v>
      </c>
      <c r="E150" s="2928">
        <v>12590</v>
      </c>
      <c r="F150" s="2928">
        <v>1970</v>
      </c>
      <c r="G150" s="2928">
        <v>6360</v>
      </c>
    </row>
    <row r="151" spans="1:7" s="2762" customFormat="1" ht="14.25" customHeight="1">
      <c r="A151" s="2928" t="s">
        <v>29</v>
      </c>
      <c r="B151" s="2928" t="s">
        <v>294</v>
      </c>
      <c r="C151" s="2928">
        <v>10700</v>
      </c>
      <c r="D151" s="2928">
        <v>10650</v>
      </c>
      <c r="E151" s="2928">
        <v>13420</v>
      </c>
      <c r="F151" s="2928">
        <v>2020</v>
      </c>
      <c r="G151" s="2928">
        <v>6850</v>
      </c>
    </row>
    <row r="152" spans="1:7" s="2762" customFormat="1" ht="14.25" customHeight="1">
      <c r="A152" s="2928" t="s">
        <v>29</v>
      </c>
      <c r="B152" s="2928" t="s">
        <v>297</v>
      </c>
      <c r="C152" s="2928">
        <v>10310</v>
      </c>
      <c r="D152" s="2928">
        <v>10260</v>
      </c>
      <c r="E152" s="2928">
        <v>12820</v>
      </c>
      <c r="F152" s="2928">
        <v>1980</v>
      </c>
      <c r="G152" s="2928">
        <v>6600</v>
      </c>
    </row>
    <row r="153" spans="1:7" s="2762" customFormat="1" ht="14.25" customHeight="1">
      <c r="A153" s="2928" t="s">
        <v>29</v>
      </c>
      <c r="B153" s="2928" t="s">
        <v>2950</v>
      </c>
      <c r="C153" s="2928">
        <v>10880</v>
      </c>
      <c r="D153" s="2928">
        <v>10820</v>
      </c>
      <c r="E153" s="2928">
        <v>13660</v>
      </c>
      <c r="F153" s="2928">
        <v>2260</v>
      </c>
      <c r="G153" s="2928">
        <v>6970</v>
      </c>
    </row>
    <row r="154" spans="1:7" s="2762" customFormat="1" ht="14.25" customHeight="1">
      <c r="A154" s="2928" t="s">
        <v>29</v>
      </c>
      <c r="B154" s="2928" t="s">
        <v>3077</v>
      </c>
      <c r="C154" s="2928">
        <v>11220</v>
      </c>
      <c r="D154" s="2928">
        <v>11160</v>
      </c>
      <c r="E154" s="2928">
        <v>14130</v>
      </c>
      <c r="F154" s="2928">
        <v>2230</v>
      </c>
      <c r="G154" s="2928">
        <v>7180</v>
      </c>
    </row>
    <row r="155" spans="1:7" s="2762" customFormat="1" ht="14.25" customHeight="1">
      <c r="A155" s="2928" t="s">
        <v>29</v>
      </c>
      <c r="B155" s="2928" t="s">
        <v>2963</v>
      </c>
      <c r="C155" s="2928">
        <v>10430</v>
      </c>
      <c r="D155" s="2928">
        <v>10380</v>
      </c>
      <c r="E155" s="2928">
        <v>13140</v>
      </c>
      <c r="F155" s="2928">
        <v>2080</v>
      </c>
      <c r="G155" s="2928">
        <v>6650</v>
      </c>
    </row>
    <row r="156" spans="1:7" s="2762" customFormat="1" ht="14.25" customHeight="1">
      <c r="A156" s="2928" t="s">
        <v>29</v>
      </c>
      <c r="B156" s="2928" t="s">
        <v>3078</v>
      </c>
      <c r="C156" s="2928">
        <v>10440</v>
      </c>
      <c r="D156" s="2928">
        <v>10400</v>
      </c>
      <c r="E156" s="2928">
        <v>13150</v>
      </c>
      <c r="F156" s="2928">
        <v>2490</v>
      </c>
      <c r="G156" s="2928">
        <v>6690</v>
      </c>
    </row>
    <row r="157" spans="1:7" s="2762" customFormat="1" ht="14.25" customHeight="1">
      <c r="A157" s="2928" t="s">
        <v>29</v>
      </c>
      <c r="B157" s="2928" t="s">
        <v>300</v>
      </c>
      <c r="C157" s="2928">
        <v>10970</v>
      </c>
      <c r="D157" s="2928">
        <v>10920</v>
      </c>
      <c r="E157" s="2928">
        <v>13840</v>
      </c>
      <c r="F157" s="2928">
        <v>2420</v>
      </c>
      <c r="G157" s="2928">
        <v>7020</v>
      </c>
    </row>
    <row r="158" spans="1:7" s="2762" customFormat="1" ht="14.25" customHeight="1">
      <c r="A158" s="2928" t="s">
        <v>29</v>
      </c>
      <c r="B158" s="2928" t="s">
        <v>301</v>
      </c>
      <c r="C158" s="2928">
        <v>9590</v>
      </c>
      <c r="D158" s="2928">
        <v>9540</v>
      </c>
      <c r="E158" s="2928">
        <v>12210</v>
      </c>
      <c r="F158" s="2928">
        <v>2100</v>
      </c>
      <c r="G158" s="2928">
        <v>6130</v>
      </c>
    </row>
    <row r="159" spans="1:7" s="2762" customFormat="1" ht="14.25" customHeight="1">
      <c r="A159" s="2928" t="s">
        <v>29</v>
      </c>
      <c r="B159" s="2928" t="s">
        <v>302</v>
      </c>
      <c r="C159" s="2928">
        <v>11190</v>
      </c>
      <c r="D159" s="2928">
        <v>11140</v>
      </c>
      <c r="E159" s="2928">
        <v>14090</v>
      </c>
      <c r="F159" s="2928">
        <v>2470</v>
      </c>
      <c r="G159" s="2928">
        <v>7170</v>
      </c>
    </row>
    <row r="160" spans="1:7" s="2762" customFormat="1" ht="14.25" customHeight="1">
      <c r="A160" s="2928" t="s">
        <v>29</v>
      </c>
      <c r="B160" s="2928" t="s">
        <v>3079</v>
      </c>
      <c r="C160" s="2928">
        <v>11180</v>
      </c>
      <c r="D160" s="2928">
        <v>11140</v>
      </c>
      <c r="E160" s="2928">
        <v>14050</v>
      </c>
      <c r="F160" s="2928">
        <v>2270</v>
      </c>
      <c r="G160" s="2928">
        <v>7170</v>
      </c>
    </row>
    <row r="161" spans="1:7" s="2762" customFormat="1" ht="14.25" customHeight="1">
      <c r="A161" s="2928" t="s">
        <v>29</v>
      </c>
      <c r="B161" s="2928" t="s">
        <v>2995</v>
      </c>
      <c r="C161" s="2928">
        <v>11160</v>
      </c>
      <c r="D161" s="2928">
        <v>11120</v>
      </c>
      <c r="E161" s="2928">
        <v>14020</v>
      </c>
      <c r="F161" s="2928">
        <v>2150</v>
      </c>
      <c r="G161" s="2928">
        <v>7160</v>
      </c>
    </row>
    <row r="162" spans="1:7" s="2762" customFormat="1" ht="14.25" customHeight="1">
      <c r="A162" s="2928" t="s">
        <v>29</v>
      </c>
      <c r="B162" s="2928" t="s">
        <v>3000</v>
      </c>
      <c r="C162" s="2928">
        <v>9620</v>
      </c>
      <c r="D162" s="2928">
        <v>9570</v>
      </c>
      <c r="E162" s="2928">
        <v>12320</v>
      </c>
      <c r="F162" s="2928">
        <v>2010</v>
      </c>
      <c r="G162" s="2928">
        <v>6160</v>
      </c>
    </row>
    <row r="163" spans="1:7" s="2762" customFormat="1" ht="14.25" customHeight="1">
      <c r="A163" s="2928" t="s">
        <v>29</v>
      </c>
      <c r="B163" s="2928" t="s">
        <v>3005</v>
      </c>
      <c r="C163" s="2928">
        <v>9320</v>
      </c>
      <c r="D163" s="2928">
        <v>9270</v>
      </c>
      <c r="E163" s="2928">
        <v>11790</v>
      </c>
      <c r="F163" s="2928">
        <v>1920</v>
      </c>
      <c r="G163" s="2928">
        <v>5960</v>
      </c>
    </row>
    <row r="164" spans="1:7" s="2762" customFormat="1" ht="14.25" customHeight="1">
      <c r="A164" s="2928" t="s">
        <v>29</v>
      </c>
      <c r="B164" s="2928" t="s">
        <v>3010</v>
      </c>
      <c r="C164" s="2928"/>
      <c r="D164" s="2928"/>
      <c r="E164" s="2928"/>
      <c r="F164" s="2928">
        <v>1980</v>
      </c>
      <c r="G164" s="2928"/>
    </row>
    <row r="165" spans="1:7" s="2762" customFormat="1" ht="14.25" customHeight="1">
      <c r="A165" s="2928" t="s">
        <v>29</v>
      </c>
      <c r="B165" s="2928" t="s">
        <v>3080</v>
      </c>
      <c r="C165" s="2928">
        <v>11060</v>
      </c>
      <c r="D165" s="2928">
        <v>11030</v>
      </c>
      <c r="E165" s="2928">
        <v>13850</v>
      </c>
      <c r="F165" s="2928">
        <v>2170</v>
      </c>
      <c r="G165" s="2928">
        <v>7090</v>
      </c>
    </row>
    <row r="166" spans="1:7" s="2762" customFormat="1" ht="14.25" customHeight="1">
      <c r="A166" s="2928" t="s">
        <v>29</v>
      </c>
      <c r="B166" s="2928" t="s">
        <v>3020</v>
      </c>
      <c r="C166" s="2928">
        <v>11050</v>
      </c>
      <c r="D166" s="2928">
        <v>11010</v>
      </c>
      <c r="E166" s="2928">
        <v>13920</v>
      </c>
      <c r="F166" s="2928">
        <v>2140</v>
      </c>
      <c r="G166" s="2928">
        <v>7080</v>
      </c>
    </row>
    <row r="167" spans="1:7" s="2762" customFormat="1" ht="14.25" customHeight="1">
      <c r="A167" s="2928" t="s">
        <v>29</v>
      </c>
      <c r="B167" s="2928" t="s">
        <v>3024</v>
      </c>
      <c r="C167" s="2928">
        <v>10930</v>
      </c>
      <c r="D167" s="2928">
        <v>10890</v>
      </c>
      <c r="E167" s="2928">
        <v>13790</v>
      </c>
      <c r="F167" s="2928">
        <v>2010</v>
      </c>
      <c r="G167" s="2928">
        <v>7000</v>
      </c>
    </row>
    <row r="168" spans="1:7" s="2762" customFormat="1" ht="14.25" customHeight="1">
      <c r="A168" s="2928" t="s">
        <v>29</v>
      </c>
      <c r="B168" s="2928" t="s">
        <v>3029</v>
      </c>
      <c r="C168" s="2928">
        <v>9420</v>
      </c>
      <c r="D168" s="2928">
        <v>9380</v>
      </c>
      <c r="E168" s="2928">
        <v>11970</v>
      </c>
      <c r="F168" s="2928"/>
      <c r="G168" s="2928">
        <v>6040</v>
      </c>
    </row>
    <row r="169" spans="1:7" s="2762" customFormat="1" ht="14.25" customHeight="1">
      <c r="A169" s="2928" t="s">
        <v>29</v>
      </c>
      <c r="B169" s="2928" t="s">
        <v>3081</v>
      </c>
      <c r="C169" s="2928"/>
      <c r="D169" s="2928"/>
      <c r="E169" s="2928"/>
      <c r="F169" s="2928">
        <v>2880</v>
      </c>
      <c r="G169" s="2928"/>
    </row>
    <row r="170" spans="1:7" s="2762" customFormat="1" ht="14.25" customHeight="1">
      <c r="A170" s="2928" t="s">
        <v>29</v>
      </c>
      <c r="B170" s="2928" t="s">
        <v>3037</v>
      </c>
      <c r="C170" s="2928"/>
      <c r="D170" s="2928"/>
      <c r="E170" s="2928"/>
      <c r="F170" s="2928">
        <v>2880</v>
      </c>
      <c r="G170" s="2928"/>
    </row>
    <row r="171" spans="1:7" s="2762" customFormat="1" ht="14.25" customHeight="1">
      <c r="A171" s="2928" t="s">
        <v>29</v>
      </c>
      <c r="B171" s="2928" t="s">
        <v>3040</v>
      </c>
      <c r="C171" s="2928"/>
      <c r="D171" s="2928"/>
      <c r="E171" s="2928"/>
      <c r="F171" s="2928">
        <v>2880</v>
      </c>
      <c r="G171" s="2928"/>
    </row>
    <row r="172" spans="1:7" s="2762" customFormat="1" ht="14.25" customHeight="1">
      <c r="A172" s="2928" t="s">
        <v>29</v>
      </c>
      <c r="B172" s="2928" t="s">
        <v>3042</v>
      </c>
      <c r="C172" s="2928"/>
      <c r="D172" s="2928"/>
      <c r="E172" s="2928"/>
      <c r="F172" s="2928">
        <v>2880</v>
      </c>
      <c r="G172" s="2928"/>
    </row>
    <row r="173" spans="1:7" s="2762" customFormat="1" ht="14.25" customHeight="1">
      <c r="A173" s="2928" t="s">
        <v>29</v>
      </c>
      <c r="B173" s="2928" t="s">
        <v>3044</v>
      </c>
      <c r="C173" s="2928"/>
      <c r="D173" s="2928"/>
      <c r="E173" s="2928"/>
      <c r="F173" s="2928">
        <v>2150</v>
      </c>
      <c r="G173" s="2928"/>
    </row>
    <row r="174" spans="1:7" s="2762" customFormat="1" ht="14.25" customHeight="1">
      <c r="A174" s="2928" t="s">
        <v>29</v>
      </c>
      <c r="B174" s="2928" t="s">
        <v>3046</v>
      </c>
      <c r="C174" s="2928"/>
      <c r="D174" s="2928"/>
      <c r="E174" s="2928"/>
      <c r="F174" s="2928">
        <v>2030</v>
      </c>
      <c r="G174" s="2928"/>
    </row>
    <row r="175" spans="1:7" s="2762" customFormat="1" ht="14.25" customHeight="1">
      <c r="A175" s="2928" t="s">
        <v>29</v>
      </c>
      <c r="B175" s="2928" t="s">
        <v>3048</v>
      </c>
      <c r="C175" s="2928"/>
      <c r="D175" s="2928"/>
      <c r="E175" s="2928"/>
      <c r="F175" s="2928">
        <v>2780</v>
      </c>
      <c r="G175" s="2928"/>
    </row>
    <row r="176" spans="1:7" s="2762" customFormat="1" ht="14.25" customHeight="1">
      <c r="A176" s="2928" t="s">
        <v>29</v>
      </c>
      <c r="B176" s="2928" t="s">
        <v>3050</v>
      </c>
      <c r="C176" s="2928"/>
      <c r="D176" s="2928"/>
      <c r="E176" s="2928"/>
      <c r="F176" s="2928">
        <v>2780</v>
      </c>
      <c r="G176" s="2928"/>
    </row>
    <row r="177" spans="1:7" s="2762" customFormat="1" ht="14.25" customHeight="1">
      <c r="A177" s="2928" t="s">
        <v>29</v>
      </c>
      <c r="B177" s="2928" t="s">
        <v>3082</v>
      </c>
      <c r="C177" s="2928"/>
      <c r="D177" s="2928"/>
      <c r="E177" s="2928"/>
      <c r="F177" s="2928">
        <v>2780</v>
      </c>
      <c r="G177" s="2928"/>
    </row>
    <row r="178" spans="1:7" s="2762" customFormat="1" ht="14.25" customHeight="1">
      <c r="A178" s="2928" t="s">
        <v>29</v>
      </c>
      <c r="B178" s="2928" t="s">
        <v>3083</v>
      </c>
      <c r="C178" s="2928"/>
      <c r="D178" s="2928"/>
      <c r="E178" s="2928"/>
      <c r="F178" s="2928">
        <v>2060</v>
      </c>
      <c r="G178" s="2928"/>
    </row>
    <row r="179" spans="1:7" s="2762" customFormat="1" ht="14.25" customHeight="1">
      <c r="A179" s="2928" t="s">
        <v>29</v>
      </c>
      <c r="B179" s="2928" t="s">
        <v>3084</v>
      </c>
      <c r="C179" s="2928"/>
      <c r="D179" s="2928"/>
      <c r="E179" s="2928"/>
      <c r="F179" s="2928">
        <v>2120</v>
      </c>
      <c r="G179" s="2928"/>
    </row>
    <row r="180" spans="1:7" s="2762" customFormat="1" ht="14.25" customHeight="1">
      <c r="A180" s="2928" t="s">
        <v>29</v>
      </c>
      <c r="B180" s="2928" t="s">
        <v>3056</v>
      </c>
      <c r="C180" s="2928"/>
      <c r="D180" s="2928"/>
      <c r="E180" s="2928"/>
      <c r="F180" s="2928">
        <v>2340</v>
      </c>
      <c r="G180" s="2928"/>
    </row>
    <row r="181" spans="1:7" s="2762" customFormat="1" ht="14.25" customHeight="1">
      <c r="A181" s="2928" t="s">
        <v>29</v>
      </c>
      <c r="B181" s="2928" t="s">
        <v>3057</v>
      </c>
      <c r="C181" s="2928"/>
      <c r="D181" s="2928"/>
      <c r="E181" s="2928"/>
      <c r="F181" s="2928">
        <v>2340</v>
      </c>
      <c r="G181" s="2928"/>
    </row>
    <row r="182" spans="1:7" s="2762" customFormat="1" ht="14.25" customHeight="1">
      <c r="A182" s="2928" t="s">
        <v>29</v>
      </c>
      <c r="B182" s="2928" t="s">
        <v>3058</v>
      </c>
      <c r="C182" s="2928"/>
      <c r="D182" s="2928"/>
      <c r="E182" s="2928"/>
      <c r="F182" s="2928">
        <v>2340</v>
      </c>
      <c r="G182" s="2928"/>
    </row>
    <row r="183" spans="1:7" s="2762" customFormat="1" ht="14.25" customHeight="1">
      <c r="A183" s="2928" t="s">
        <v>29</v>
      </c>
      <c r="B183" s="2928" t="s">
        <v>3059</v>
      </c>
      <c r="C183" s="2928"/>
      <c r="D183" s="2928"/>
      <c r="E183" s="2928"/>
      <c r="F183" s="2928">
        <v>2340</v>
      </c>
      <c r="G183" s="2928"/>
    </row>
    <row r="184" spans="1:7" s="2762" customFormat="1" ht="14.25" customHeight="1">
      <c r="A184" s="2928" t="s">
        <v>29</v>
      </c>
      <c r="B184" s="2928" t="s">
        <v>3060</v>
      </c>
      <c r="C184" s="2928"/>
      <c r="D184" s="2928"/>
      <c r="E184" s="2928"/>
      <c r="F184" s="2928">
        <v>2340</v>
      </c>
      <c r="G184" s="2928"/>
    </row>
    <row r="185" spans="1:7" s="2762" customFormat="1" ht="14.25" customHeight="1">
      <c r="A185" s="2928" t="s">
        <v>29</v>
      </c>
      <c r="B185" s="2928" t="s">
        <v>3061</v>
      </c>
      <c r="C185" s="2928"/>
      <c r="D185" s="2928"/>
      <c r="E185" s="2928"/>
      <c r="F185" s="2928">
        <v>2530</v>
      </c>
      <c r="G185" s="2928"/>
    </row>
    <row r="186" spans="1:7" s="2762" customFormat="1" ht="14.25" customHeight="1">
      <c r="A186" s="2928" t="s">
        <v>29</v>
      </c>
      <c r="B186" s="2928" t="s">
        <v>3062</v>
      </c>
      <c r="C186" s="2928"/>
      <c r="D186" s="2928"/>
      <c r="E186" s="2928"/>
      <c r="F186" s="2928">
        <v>2550</v>
      </c>
      <c r="G186" s="2928"/>
    </row>
    <row r="187" spans="1:7" s="2762" customFormat="1" ht="14.25" customHeight="1">
      <c r="A187" s="2928" t="s">
        <v>29</v>
      </c>
      <c r="B187" s="2928" t="s">
        <v>3063</v>
      </c>
      <c r="C187" s="2928"/>
      <c r="D187" s="2928"/>
      <c r="E187" s="2928"/>
      <c r="F187" s="2928">
        <v>2070</v>
      </c>
      <c r="G187" s="2928"/>
    </row>
    <row r="188" spans="1:7" s="2762" customFormat="1" ht="14.25" customHeight="1">
      <c r="A188" s="2928" t="s">
        <v>29</v>
      </c>
      <c r="B188" s="2928" t="s">
        <v>3064</v>
      </c>
      <c r="C188" s="2928"/>
      <c r="D188" s="2928"/>
      <c r="E188" s="2928"/>
      <c r="F188" s="2928">
        <v>2340</v>
      </c>
      <c r="G188" s="2928"/>
    </row>
    <row r="189" spans="1:7" s="2762" customFormat="1" ht="14.25" customHeight="1" thickBot="1">
      <c r="A189" s="2936" t="s">
        <v>29</v>
      </c>
      <c r="B189" s="2939" t="s">
        <v>3065</v>
      </c>
      <c r="C189" s="2939"/>
      <c r="D189" s="2939"/>
      <c r="E189" s="2939"/>
      <c r="F189" s="2939">
        <v>2050</v>
      </c>
      <c r="G189" s="2939"/>
    </row>
    <row r="190" spans="1:7" s="2762" customFormat="1" ht="14.25" customHeight="1">
      <c r="A190" s="2933" t="s">
        <v>304</v>
      </c>
      <c r="B190" s="2924" t="s">
        <v>3085</v>
      </c>
      <c r="C190" s="2924">
        <v>8830</v>
      </c>
      <c r="D190" s="2924">
        <v>8790</v>
      </c>
      <c r="E190" s="2924">
        <v>11630</v>
      </c>
      <c r="F190" s="2924">
        <v>1790</v>
      </c>
      <c r="G190" s="2940">
        <v>5550</v>
      </c>
    </row>
    <row r="191" spans="1:7" s="2762" customFormat="1" ht="14.25" customHeight="1">
      <c r="A191" s="2928" t="s">
        <v>304</v>
      </c>
      <c r="B191" s="2928" t="s">
        <v>133</v>
      </c>
      <c r="C191" s="2928">
        <v>9780</v>
      </c>
      <c r="D191" s="2928">
        <v>9710</v>
      </c>
      <c r="E191" s="2928">
        <v>12550</v>
      </c>
      <c r="F191" s="2928">
        <v>1980</v>
      </c>
      <c r="G191" s="2941">
        <v>6130</v>
      </c>
    </row>
    <row r="192" spans="1:7" s="2762" customFormat="1" ht="14.25" customHeight="1">
      <c r="A192" s="2928" t="s">
        <v>304</v>
      </c>
      <c r="B192" s="2928" t="s">
        <v>142</v>
      </c>
      <c r="C192" s="2928">
        <v>8180</v>
      </c>
      <c r="D192" s="2928">
        <v>8140</v>
      </c>
      <c r="E192" s="2928">
        <v>10870</v>
      </c>
      <c r="F192" s="2928">
        <v>1690</v>
      </c>
      <c r="G192" s="2941">
        <v>5140</v>
      </c>
    </row>
    <row r="193" spans="1:7" s="2762" customFormat="1" ht="14.25" customHeight="1">
      <c r="A193" s="2928" t="s">
        <v>304</v>
      </c>
      <c r="B193" s="2928" t="s">
        <v>151</v>
      </c>
      <c r="C193" s="2928">
        <v>8440</v>
      </c>
      <c r="D193" s="2928">
        <v>8390</v>
      </c>
      <c r="E193" s="2928">
        <v>11210</v>
      </c>
      <c r="F193" s="2928">
        <v>1600</v>
      </c>
      <c r="G193" s="2941">
        <v>5300</v>
      </c>
    </row>
    <row r="194" spans="1:7" s="2762" customFormat="1" ht="14.25" customHeight="1">
      <c r="A194" s="2928" t="s">
        <v>304</v>
      </c>
      <c r="B194" s="2928" t="s">
        <v>160</v>
      </c>
      <c r="C194" s="2928">
        <v>8780</v>
      </c>
      <c r="D194" s="2928">
        <v>8730</v>
      </c>
      <c r="E194" s="2928">
        <v>11550</v>
      </c>
      <c r="F194" s="2928">
        <v>1660</v>
      </c>
      <c r="G194" s="2941">
        <v>5520</v>
      </c>
    </row>
    <row r="195" spans="1:7" s="2762" customFormat="1" ht="14.25" customHeight="1">
      <c r="A195" s="2928" t="s">
        <v>304</v>
      </c>
      <c r="B195" s="2928" t="s">
        <v>167</v>
      </c>
      <c r="C195" s="2928">
        <v>8720</v>
      </c>
      <c r="D195" s="2928">
        <v>8670</v>
      </c>
      <c r="E195" s="2928">
        <v>11450</v>
      </c>
      <c r="F195" s="2928">
        <v>1720</v>
      </c>
      <c r="G195" s="2941">
        <v>5480</v>
      </c>
    </row>
    <row r="196" spans="1:7" s="2762" customFormat="1" ht="14.25" customHeight="1">
      <c r="A196" s="2928" t="s">
        <v>304</v>
      </c>
      <c r="B196" s="2928" t="s">
        <v>173</v>
      </c>
      <c r="C196" s="2928">
        <v>8460</v>
      </c>
      <c r="D196" s="2928">
        <v>8410</v>
      </c>
      <c r="E196" s="2928">
        <v>11230</v>
      </c>
      <c r="F196" s="2928">
        <v>1730</v>
      </c>
      <c r="G196" s="2941">
        <v>5310</v>
      </c>
    </row>
    <row r="197" spans="1:7" s="2762" customFormat="1" ht="14.25" customHeight="1">
      <c r="A197" s="2928" t="s">
        <v>304</v>
      </c>
      <c r="B197" s="2928" t="s">
        <v>180</v>
      </c>
      <c r="C197" s="2928">
        <v>8790</v>
      </c>
      <c r="D197" s="2928">
        <v>8730</v>
      </c>
      <c r="E197" s="2928">
        <v>11560</v>
      </c>
      <c r="F197" s="2928">
        <v>1750</v>
      </c>
      <c r="G197" s="2941">
        <v>5520</v>
      </c>
    </row>
    <row r="198" spans="1:7" s="2762" customFormat="1" ht="14.25" customHeight="1">
      <c r="A198" s="2928" t="s">
        <v>304</v>
      </c>
      <c r="B198" s="2928" t="s">
        <v>190</v>
      </c>
      <c r="C198" s="2928">
        <v>8720</v>
      </c>
      <c r="D198" s="2928">
        <v>8680</v>
      </c>
      <c r="E198" s="2928">
        <v>11470</v>
      </c>
      <c r="F198" s="2928"/>
      <c r="G198" s="2941">
        <v>5480</v>
      </c>
    </row>
    <row r="199" spans="1:7" s="2762" customFormat="1" ht="14.25" customHeight="1">
      <c r="A199" s="2928" t="s">
        <v>304</v>
      </c>
      <c r="B199" s="2928" t="s">
        <v>3086</v>
      </c>
      <c r="C199" s="2928">
        <v>8690</v>
      </c>
      <c r="D199" s="2928">
        <v>8630</v>
      </c>
      <c r="E199" s="2928">
        <v>11350</v>
      </c>
      <c r="F199" s="2928">
        <v>1600</v>
      </c>
      <c r="G199" s="2941">
        <v>5450</v>
      </c>
    </row>
    <row r="200" spans="1:7" s="2762" customFormat="1" ht="14.25" customHeight="1">
      <c r="A200" s="2928" t="s">
        <v>304</v>
      </c>
      <c r="B200" s="2928" t="s">
        <v>2897</v>
      </c>
      <c r="C200" s="2928"/>
      <c r="D200" s="2928"/>
      <c r="E200" s="2928"/>
      <c r="F200" s="2928">
        <v>1510</v>
      </c>
      <c r="G200" s="2941"/>
    </row>
    <row r="201" spans="1:7" s="2762" customFormat="1" ht="14.25" customHeight="1">
      <c r="A201" s="2928" t="s">
        <v>304</v>
      </c>
      <c r="B201" s="2928" t="s">
        <v>3087</v>
      </c>
      <c r="C201" s="2928">
        <v>8440</v>
      </c>
      <c r="D201" s="2928">
        <v>8390</v>
      </c>
      <c r="E201" s="2928">
        <v>10930</v>
      </c>
      <c r="F201" s="2928">
        <v>1500</v>
      </c>
      <c r="G201" s="2941">
        <v>5300</v>
      </c>
    </row>
    <row r="202" spans="1:7" s="2762" customFormat="1" ht="14.25" customHeight="1">
      <c r="A202" s="2928" t="s">
        <v>304</v>
      </c>
      <c r="B202" s="2928" t="s">
        <v>240</v>
      </c>
      <c r="C202" s="2928">
        <v>8530</v>
      </c>
      <c r="D202" s="2928">
        <v>8490</v>
      </c>
      <c r="E202" s="2928">
        <v>11160</v>
      </c>
      <c r="F202" s="2928">
        <v>1580</v>
      </c>
      <c r="G202" s="2941">
        <v>5360</v>
      </c>
    </row>
    <row r="203" spans="1:7" s="2762" customFormat="1" ht="14.25" customHeight="1">
      <c r="A203" s="2928" t="s">
        <v>304</v>
      </c>
      <c r="B203" s="2928" t="s">
        <v>3088</v>
      </c>
      <c r="C203" s="2928">
        <v>8130</v>
      </c>
      <c r="D203" s="2928">
        <v>8070</v>
      </c>
      <c r="E203" s="2928">
        <v>10820</v>
      </c>
      <c r="F203" s="2928">
        <v>1690</v>
      </c>
      <c r="G203" s="2941">
        <v>5100</v>
      </c>
    </row>
    <row r="204" spans="1:7" s="2762" customFormat="1" ht="14.25" customHeight="1">
      <c r="A204" s="2928" t="s">
        <v>304</v>
      </c>
      <c r="B204" s="2928" t="s">
        <v>2908</v>
      </c>
      <c r="C204" s="2928">
        <v>8350</v>
      </c>
      <c r="D204" s="2928">
        <v>8290</v>
      </c>
      <c r="E204" s="2928">
        <v>11080</v>
      </c>
      <c r="F204" s="2928">
        <v>1450</v>
      </c>
      <c r="G204" s="2941">
        <v>5240</v>
      </c>
    </row>
    <row r="205" spans="1:7" s="2762" customFormat="1" ht="14.25" customHeight="1">
      <c r="A205" s="2928" t="s">
        <v>304</v>
      </c>
      <c r="B205" s="2928" t="s">
        <v>2910</v>
      </c>
      <c r="C205" s="2928">
        <v>7190</v>
      </c>
      <c r="D205" s="2928">
        <v>7130</v>
      </c>
      <c r="E205" s="2928">
        <v>9490</v>
      </c>
      <c r="F205" s="2928">
        <v>1470</v>
      </c>
      <c r="G205" s="2941">
        <v>4510</v>
      </c>
    </row>
    <row r="206" spans="1:7" s="2762" customFormat="1" ht="14.25" customHeight="1">
      <c r="A206" s="2928" t="s">
        <v>304</v>
      </c>
      <c r="B206" s="2928" t="s">
        <v>2913</v>
      </c>
      <c r="C206" s="2928">
        <v>7000</v>
      </c>
      <c r="D206" s="2928">
        <v>6950</v>
      </c>
      <c r="E206" s="2928">
        <v>9170</v>
      </c>
      <c r="F206" s="2928">
        <v>1400</v>
      </c>
      <c r="G206" s="2941">
        <v>4380</v>
      </c>
    </row>
    <row r="207" spans="1:7" s="2762" customFormat="1" ht="14.25" customHeight="1">
      <c r="A207" s="2928" t="s">
        <v>304</v>
      </c>
      <c r="B207" s="2928" t="s">
        <v>2915</v>
      </c>
      <c r="C207" s="2928">
        <v>6950</v>
      </c>
      <c r="D207" s="2928">
        <v>6900</v>
      </c>
      <c r="E207" s="2928">
        <v>9110</v>
      </c>
      <c r="F207" s="2928">
        <v>1790</v>
      </c>
      <c r="G207" s="2941">
        <v>4360</v>
      </c>
    </row>
    <row r="208" spans="1:7" s="2762" customFormat="1" ht="14.25" customHeight="1">
      <c r="A208" s="2928" t="s">
        <v>304</v>
      </c>
      <c r="B208" s="2928" t="s">
        <v>3089</v>
      </c>
      <c r="C208" s="2928">
        <v>9470</v>
      </c>
      <c r="D208" s="2928">
        <v>9410</v>
      </c>
      <c r="E208" s="2928">
        <v>12330</v>
      </c>
      <c r="F208" s="2928">
        <v>1770</v>
      </c>
      <c r="G208" s="2941">
        <v>5940</v>
      </c>
    </row>
    <row r="209" spans="1:7" s="2762" customFormat="1" ht="14.25" customHeight="1">
      <c r="A209" s="2928" t="s">
        <v>304</v>
      </c>
      <c r="B209" s="2928" t="s">
        <v>264</v>
      </c>
      <c r="C209" s="2928">
        <v>8740</v>
      </c>
      <c r="D209" s="2928">
        <v>8700</v>
      </c>
      <c r="E209" s="2928">
        <v>11500</v>
      </c>
      <c r="F209" s="2928">
        <v>1730</v>
      </c>
      <c r="G209" s="2941">
        <v>5490</v>
      </c>
    </row>
    <row r="210" spans="1:7" s="2762" customFormat="1" ht="14.25" customHeight="1">
      <c r="A210" s="2928" t="s">
        <v>304</v>
      </c>
      <c r="B210" s="2928" t="s">
        <v>2925</v>
      </c>
      <c r="C210" s="2928">
        <v>8710</v>
      </c>
      <c r="D210" s="2928">
        <v>8660</v>
      </c>
      <c r="E210" s="2928">
        <v>11440</v>
      </c>
      <c r="F210" s="2928">
        <v>1740</v>
      </c>
      <c r="G210" s="2941">
        <v>5470</v>
      </c>
    </row>
    <row r="211" spans="1:7" s="2762" customFormat="1" ht="14.25" customHeight="1">
      <c r="A211" s="2928" t="s">
        <v>304</v>
      </c>
      <c r="B211" s="2928" t="s">
        <v>3090</v>
      </c>
      <c r="C211" s="2928">
        <v>9480</v>
      </c>
      <c r="D211" s="2928">
        <v>9430</v>
      </c>
      <c r="E211" s="2928">
        <v>12360</v>
      </c>
      <c r="F211" s="2928">
        <v>1820</v>
      </c>
      <c r="G211" s="2941">
        <v>5950</v>
      </c>
    </row>
    <row r="212" spans="1:7" s="2762" customFormat="1" ht="14.25" customHeight="1">
      <c r="A212" s="2928" t="s">
        <v>304</v>
      </c>
      <c r="B212" s="2928" t="s">
        <v>285</v>
      </c>
      <c r="C212" s="2928">
        <v>9070</v>
      </c>
      <c r="D212" s="2928">
        <v>9020</v>
      </c>
      <c r="E212" s="2928">
        <v>11720</v>
      </c>
      <c r="F212" s="2928">
        <v>1850</v>
      </c>
      <c r="G212" s="2941">
        <v>5700</v>
      </c>
    </row>
    <row r="213" spans="1:7" s="2762" customFormat="1" ht="14.25" customHeight="1">
      <c r="A213" s="2928" t="s">
        <v>304</v>
      </c>
      <c r="B213" s="2928" t="s">
        <v>288</v>
      </c>
      <c r="C213" s="2928">
        <v>9030</v>
      </c>
      <c r="D213" s="2928">
        <v>8980</v>
      </c>
      <c r="E213" s="2928">
        <v>11670</v>
      </c>
      <c r="F213" s="2928">
        <v>1690</v>
      </c>
      <c r="G213" s="2941">
        <v>5670</v>
      </c>
    </row>
    <row r="214" spans="1:7" s="2762" customFormat="1" ht="14.25" customHeight="1">
      <c r="A214" s="2928" t="s">
        <v>304</v>
      </c>
      <c r="B214" s="2928" t="s">
        <v>3091</v>
      </c>
      <c r="C214" s="2928">
        <v>8090</v>
      </c>
      <c r="D214" s="2928">
        <v>8030</v>
      </c>
      <c r="E214" s="2928">
        <v>10780</v>
      </c>
      <c r="F214" s="2928">
        <v>1570</v>
      </c>
      <c r="G214" s="2941">
        <v>5070</v>
      </c>
    </row>
    <row r="215" spans="1:7" s="2762" customFormat="1" ht="14.25" customHeight="1">
      <c r="A215" s="2928" t="s">
        <v>304</v>
      </c>
      <c r="B215" s="2928" t="s">
        <v>3092</v>
      </c>
      <c r="C215" s="2928">
        <v>7950</v>
      </c>
      <c r="D215" s="2928">
        <v>7900</v>
      </c>
      <c r="E215" s="2928">
        <v>10560</v>
      </c>
      <c r="F215" s="2928">
        <v>1630</v>
      </c>
      <c r="G215" s="2941">
        <v>4990</v>
      </c>
    </row>
    <row r="216" spans="1:7" s="2762" customFormat="1" ht="14.25" customHeight="1">
      <c r="A216" s="2928" t="s">
        <v>304</v>
      </c>
      <c r="B216" s="2928" t="s">
        <v>3093</v>
      </c>
      <c r="C216" s="2928">
        <v>8490</v>
      </c>
      <c r="D216" s="2928">
        <v>8440</v>
      </c>
      <c r="E216" s="2928">
        <v>11260</v>
      </c>
      <c r="F216" s="2928">
        <v>1690</v>
      </c>
      <c r="G216" s="2941">
        <v>5330</v>
      </c>
    </row>
    <row r="217" spans="1:7" s="2762" customFormat="1" ht="14.25" customHeight="1">
      <c r="A217" s="2928" t="s">
        <v>304</v>
      </c>
      <c r="B217" s="2928" t="s">
        <v>2958</v>
      </c>
      <c r="C217" s="2928">
        <v>8200</v>
      </c>
      <c r="D217" s="2928">
        <v>8150</v>
      </c>
      <c r="E217" s="2928">
        <v>10910</v>
      </c>
      <c r="F217" s="2928">
        <v>1670</v>
      </c>
      <c r="G217" s="2941">
        <v>5150</v>
      </c>
    </row>
    <row r="218" spans="1:7" s="2762" customFormat="1" ht="14.25" customHeight="1">
      <c r="A218" s="2928" t="s">
        <v>304</v>
      </c>
      <c r="B218" s="2928" t="s">
        <v>3094</v>
      </c>
      <c r="C218" s="2928"/>
      <c r="D218" s="2928"/>
      <c r="E218" s="2928"/>
      <c r="F218" s="2928">
        <v>2040</v>
      </c>
      <c r="G218" s="2941"/>
    </row>
    <row r="219" spans="1:7" s="2762" customFormat="1" ht="14.25" customHeight="1">
      <c r="A219" s="2928" t="s">
        <v>304</v>
      </c>
      <c r="B219" s="2928" t="s">
        <v>3095</v>
      </c>
      <c r="C219" s="2928"/>
      <c r="D219" s="2928"/>
      <c r="E219" s="2928"/>
      <c r="F219" s="2928">
        <v>2040</v>
      </c>
      <c r="G219" s="2941"/>
    </row>
    <row r="220" spans="1:7" s="2762" customFormat="1" ht="14.25" customHeight="1">
      <c r="A220" s="2928" t="s">
        <v>304</v>
      </c>
      <c r="B220" s="2928" t="s">
        <v>3096</v>
      </c>
      <c r="C220" s="2928"/>
      <c r="D220" s="2928"/>
      <c r="E220" s="2928"/>
      <c r="F220" s="2928">
        <v>2040</v>
      </c>
      <c r="G220" s="2941"/>
    </row>
    <row r="221" spans="1:7" s="2762" customFormat="1" ht="14.25" customHeight="1">
      <c r="A221" s="2928" t="s">
        <v>304</v>
      </c>
      <c r="B221" s="2928" t="s">
        <v>3097</v>
      </c>
      <c r="C221" s="2928"/>
      <c r="D221" s="2928"/>
      <c r="E221" s="2928"/>
      <c r="F221" s="2928">
        <v>2040</v>
      </c>
      <c r="G221" s="2941"/>
    </row>
    <row r="222" spans="1:7" s="2762" customFormat="1" ht="14.25" customHeight="1">
      <c r="A222" s="2928" t="s">
        <v>304</v>
      </c>
      <c r="B222" s="2928" t="s">
        <v>3098</v>
      </c>
      <c r="C222" s="2928"/>
      <c r="D222" s="2928"/>
      <c r="E222" s="2928"/>
      <c r="F222" s="2928">
        <v>2040</v>
      </c>
      <c r="G222" s="2941"/>
    </row>
    <row r="223" spans="1:7" s="2762" customFormat="1" ht="14.25" customHeight="1">
      <c r="A223" s="2928" t="s">
        <v>304</v>
      </c>
      <c r="B223" s="2928" t="s">
        <v>3099</v>
      </c>
      <c r="C223" s="2928"/>
      <c r="D223" s="2928"/>
      <c r="E223" s="2928"/>
      <c r="F223" s="2928">
        <v>1930</v>
      </c>
      <c r="G223" s="2941"/>
    </row>
    <row r="224" spans="1:7" s="2762" customFormat="1" ht="14.25" customHeight="1">
      <c r="A224" s="2928" t="s">
        <v>304</v>
      </c>
      <c r="B224" s="2928" t="s">
        <v>3100</v>
      </c>
      <c r="C224" s="2928"/>
      <c r="D224" s="2928"/>
      <c r="E224" s="2928"/>
      <c r="F224" s="2928">
        <v>1930</v>
      </c>
      <c r="G224" s="2941"/>
    </row>
    <row r="225" spans="1:7" s="2762" customFormat="1" ht="14.25" customHeight="1">
      <c r="A225" s="2928" t="s">
        <v>304</v>
      </c>
      <c r="B225" s="2928" t="s">
        <v>3101</v>
      </c>
      <c r="C225" s="2928"/>
      <c r="D225" s="2928"/>
      <c r="E225" s="2928"/>
      <c r="F225" s="2928">
        <v>1930</v>
      </c>
      <c r="G225" s="2941"/>
    </row>
    <row r="226" spans="1:7" s="2762" customFormat="1" ht="14.25" customHeight="1">
      <c r="A226" s="2928" t="s">
        <v>304</v>
      </c>
      <c r="B226" s="2928" t="s">
        <v>3102</v>
      </c>
      <c r="C226" s="2928"/>
      <c r="D226" s="2928"/>
      <c r="E226" s="2928"/>
      <c r="F226" s="2928">
        <v>1700</v>
      </c>
      <c r="G226" s="2941"/>
    </row>
    <row r="227" spans="1:7" s="2762" customFormat="1" ht="14.25" customHeight="1">
      <c r="A227" s="2928" t="s">
        <v>304</v>
      </c>
      <c r="B227" s="2928" t="s">
        <v>3103</v>
      </c>
      <c r="C227" s="2928"/>
      <c r="D227" s="2928"/>
      <c r="E227" s="2928"/>
      <c r="F227" s="2928">
        <v>1520</v>
      </c>
      <c r="G227" s="2941"/>
    </row>
    <row r="228" spans="1:7" s="2762" customFormat="1" ht="14.25" customHeight="1">
      <c r="A228" s="2928" t="s">
        <v>304</v>
      </c>
      <c r="B228" s="2928" t="s">
        <v>3104</v>
      </c>
      <c r="C228" s="2928"/>
      <c r="D228" s="2928"/>
      <c r="E228" s="2928"/>
      <c r="F228" s="2928">
        <v>1520</v>
      </c>
      <c r="G228" s="2941"/>
    </row>
    <row r="229" spans="1:7" s="2762" customFormat="1" ht="14.25" customHeight="1">
      <c r="A229" s="2928" t="s">
        <v>304</v>
      </c>
      <c r="B229" s="2928" t="s">
        <v>3021</v>
      </c>
      <c r="C229" s="2928"/>
      <c r="D229" s="2928"/>
      <c r="E229" s="2928"/>
      <c r="F229" s="2928">
        <v>1520</v>
      </c>
      <c r="G229" s="2941"/>
    </row>
    <row r="230" spans="1:7" s="2762" customFormat="1" ht="14.25" customHeight="1">
      <c r="A230" s="2928" t="s">
        <v>304</v>
      </c>
      <c r="B230" s="2928" t="s">
        <v>3105</v>
      </c>
      <c r="C230" s="2928"/>
      <c r="D230" s="2928"/>
      <c r="E230" s="2928"/>
      <c r="F230" s="2928">
        <v>1820</v>
      </c>
      <c r="G230" s="2941"/>
    </row>
    <row r="231" spans="1:7" s="2762" customFormat="1" ht="14.25" customHeight="1">
      <c r="A231" s="2928" t="s">
        <v>304</v>
      </c>
      <c r="B231" s="2928" t="s">
        <v>3106</v>
      </c>
      <c r="C231" s="2928"/>
      <c r="D231" s="2928"/>
      <c r="E231" s="2928"/>
      <c r="F231" s="2928">
        <v>1760</v>
      </c>
      <c r="G231" s="2941"/>
    </row>
    <row r="232" spans="1:7" s="2762" customFormat="1" ht="14.25" customHeight="1">
      <c r="A232" s="2928" t="s">
        <v>304</v>
      </c>
      <c r="B232" s="2928" t="s">
        <v>3107</v>
      </c>
      <c r="C232" s="2928"/>
      <c r="D232" s="2928"/>
      <c r="E232" s="2928"/>
      <c r="F232" s="2928">
        <v>1840</v>
      </c>
      <c r="G232" s="2941"/>
    </row>
    <row r="233" spans="1:7" s="2762" customFormat="1" ht="14.25" customHeight="1" thickBot="1">
      <c r="A233" s="2942" t="s">
        <v>304</v>
      </c>
      <c r="B233" s="2935" t="s">
        <v>3038</v>
      </c>
      <c r="C233" s="2935"/>
      <c r="D233" s="2935"/>
      <c r="E233" s="2935"/>
      <c r="F233" s="2935">
        <v>1770</v>
      </c>
      <c r="G233" s="2943"/>
    </row>
    <row r="234" spans="1:7" s="2762" customFormat="1" ht="14.25" customHeight="1">
      <c r="A234" s="2933" t="s">
        <v>305</v>
      </c>
      <c r="B234" s="2924" t="s">
        <v>3108</v>
      </c>
      <c r="C234" s="2928">
        <v>6980</v>
      </c>
      <c r="D234" s="2928">
        <v>6970</v>
      </c>
      <c r="E234" s="2928">
        <v>8720</v>
      </c>
      <c r="F234" s="2928">
        <v>1350</v>
      </c>
      <c r="G234" s="2928">
        <v>4280</v>
      </c>
    </row>
    <row r="235" spans="1:7" s="2762" customFormat="1" ht="14.25" customHeight="1">
      <c r="A235" s="2928" t="s">
        <v>305</v>
      </c>
      <c r="B235" s="2928" t="s">
        <v>134</v>
      </c>
      <c r="C235" s="2928">
        <v>7620</v>
      </c>
      <c r="D235" s="2928">
        <v>7580</v>
      </c>
      <c r="E235" s="2928">
        <v>9360</v>
      </c>
      <c r="F235" s="2928">
        <v>1490</v>
      </c>
      <c r="G235" s="2928">
        <v>4650</v>
      </c>
    </row>
    <row r="236" spans="1:7" s="2762" customFormat="1" ht="14.25" customHeight="1">
      <c r="A236" s="2928" t="s">
        <v>305</v>
      </c>
      <c r="B236" s="2928" t="s">
        <v>143</v>
      </c>
      <c r="C236" s="2928">
        <v>6650</v>
      </c>
      <c r="D236" s="2928">
        <v>6630</v>
      </c>
      <c r="E236" s="2928">
        <v>8330</v>
      </c>
      <c r="F236" s="2928">
        <v>1250</v>
      </c>
      <c r="G236" s="2928">
        <v>4070</v>
      </c>
    </row>
    <row r="237" spans="1:7" s="2762" customFormat="1" ht="14.25" customHeight="1">
      <c r="A237" s="2928" t="s">
        <v>305</v>
      </c>
      <c r="B237" s="2928" t="s">
        <v>152</v>
      </c>
      <c r="C237" s="2928">
        <v>5850</v>
      </c>
      <c r="D237" s="2928">
        <v>5820</v>
      </c>
      <c r="E237" s="2928">
        <v>7260</v>
      </c>
      <c r="F237" s="2928">
        <v>1140</v>
      </c>
      <c r="G237" s="2928">
        <v>3570</v>
      </c>
    </row>
    <row r="238" spans="1:7" s="2762" customFormat="1" ht="14.25" customHeight="1">
      <c r="A238" s="2928" t="s">
        <v>305</v>
      </c>
      <c r="B238" s="2928" t="s">
        <v>2879</v>
      </c>
      <c r="C238" s="2928">
        <v>6920</v>
      </c>
      <c r="D238" s="2928">
        <v>6890</v>
      </c>
      <c r="E238" s="2928">
        <v>8640</v>
      </c>
      <c r="F238" s="2928">
        <v>1310</v>
      </c>
      <c r="G238" s="2928">
        <v>4230</v>
      </c>
    </row>
    <row r="239" spans="1:7" s="2762" customFormat="1" ht="14.25" customHeight="1">
      <c r="A239" s="2928" t="s">
        <v>305</v>
      </c>
      <c r="B239" s="2928" t="s">
        <v>3109</v>
      </c>
      <c r="C239" s="2928">
        <v>6780</v>
      </c>
      <c r="D239" s="2928">
        <v>6750</v>
      </c>
      <c r="E239" s="2928">
        <v>8440</v>
      </c>
      <c r="F239" s="2928">
        <v>1160</v>
      </c>
      <c r="G239" s="2928">
        <v>4140</v>
      </c>
    </row>
    <row r="240" spans="1:7" s="2762" customFormat="1" ht="14.25" customHeight="1">
      <c r="A240" s="2928" t="s">
        <v>305</v>
      </c>
      <c r="B240" s="2928" t="s">
        <v>3110</v>
      </c>
      <c r="C240" s="2928">
        <v>5420</v>
      </c>
      <c r="D240" s="2928">
        <v>5380</v>
      </c>
      <c r="E240" s="2928">
        <v>6640</v>
      </c>
      <c r="F240" s="2928">
        <v>1020</v>
      </c>
      <c r="G240" s="2928">
        <v>3300</v>
      </c>
    </row>
    <row r="241" spans="1:7" s="2762" customFormat="1" ht="14.25" customHeight="1">
      <c r="A241" s="2928" t="s">
        <v>305</v>
      </c>
      <c r="B241" s="2928" t="s">
        <v>3111</v>
      </c>
      <c r="C241" s="2928">
        <v>6660</v>
      </c>
      <c r="D241" s="2928">
        <v>6640</v>
      </c>
      <c r="E241" s="2928">
        <v>8340</v>
      </c>
      <c r="F241" s="2928">
        <v>1130</v>
      </c>
      <c r="G241" s="2928">
        <v>4080</v>
      </c>
    </row>
    <row r="242" spans="1:7" s="2762" customFormat="1" ht="14.25" customHeight="1">
      <c r="A242" s="2928" t="s">
        <v>305</v>
      </c>
      <c r="B242" s="2928" t="s">
        <v>181</v>
      </c>
      <c r="C242" s="2928">
        <v>6580</v>
      </c>
      <c r="D242" s="2928">
        <v>6550</v>
      </c>
      <c r="E242" s="2928">
        <v>8090</v>
      </c>
      <c r="F242" s="2928">
        <v>1240</v>
      </c>
      <c r="G242" s="2928">
        <v>4020</v>
      </c>
    </row>
    <row r="243" spans="1:7" s="2762" customFormat="1" ht="14.25" customHeight="1">
      <c r="A243" s="2928" t="s">
        <v>305</v>
      </c>
      <c r="B243" s="2928" t="s">
        <v>191</v>
      </c>
      <c r="C243" s="2928">
        <v>6000</v>
      </c>
      <c r="D243" s="2928">
        <v>5970</v>
      </c>
      <c r="E243" s="2928">
        <v>7370</v>
      </c>
      <c r="F243" s="2928">
        <v>1070</v>
      </c>
      <c r="G243" s="2928">
        <v>3670</v>
      </c>
    </row>
    <row r="244" spans="1:7" s="2762" customFormat="1" ht="14.25" customHeight="1">
      <c r="A244" s="2928" t="s">
        <v>305</v>
      </c>
      <c r="B244" s="2928" t="s">
        <v>3112</v>
      </c>
      <c r="C244" s="2928">
        <v>5840</v>
      </c>
      <c r="D244" s="2928">
        <v>5810</v>
      </c>
      <c r="E244" s="2928">
        <v>7240</v>
      </c>
      <c r="F244" s="2928">
        <v>1100</v>
      </c>
      <c r="G244" s="2928">
        <v>3560</v>
      </c>
    </row>
    <row r="245" spans="1:7" s="2762" customFormat="1" ht="14.25" customHeight="1">
      <c r="A245" s="2928" t="s">
        <v>305</v>
      </c>
      <c r="B245" s="2928" t="s">
        <v>206</v>
      </c>
      <c r="C245" s="2928">
        <v>6040</v>
      </c>
      <c r="D245" s="2928">
        <v>6000</v>
      </c>
      <c r="E245" s="2928">
        <v>7420</v>
      </c>
      <c r="F245" s="2928">
        <v>1140</v>
      </c>
      <c r="G245" s="2928">
        <v>3690</v>
      </c>
    </row>
    <row r="246" spans="1:7" s="2762" customFormat="1" ht="14.25" customHeight="1">
      <c r="A246" s="2928" t="s">
        <v>305</v>
      </c>
      <c r="B246" s="2928" t="s">
        <v>213</v>
      </c>
      <c r="C246" s="2928">
        <v>5890</v>
      </c>
      <c r="D246" s="2928">
        <v>5860</v>
      </c>
      <c r="E246" s="2928">
        <v>7300</v>
      </c>
      <c r="F246" s="2928">
        <v>1110</v>
      </c>
      <c r="G246" s="2928">
        <v>3590</v>
      </c>
    </row>
    <row r="247" spans="1:7" s="2762" customFormat="1" ht="14.25" customHeight="1">
      <c r="A247" s="2928" t="s">
        <v>305</v>
      </c>
      <c r="B247" s="2928" t="s">
        <v>3113</v>
      </c>
      <c r="C247" s="2928">
        <v>6480</v>
      </c>
      <c r="D247" s="2928">
        <v>6450</v>
      </c>
      <c r="E247" s="2928">
        <v>8010</v>
      </c>
      <c r="F247" s="2928">
        <v>1170</v>
      </c>
      <c r="G247" s="2928">
        <v>3960</v>
      </c>
    </row>
    <row r="248" spans="1:7" s="2762" customFormat="1" ht="14.25" customHeight="1">
      <c r="A248" s="2928" t="s">
        <v>305</v>
      </c>
      <c r="B248" s="2928" t="s">
        <v>227</v>
      </c>
      <c r="C248" s="2928">
        <v>6860</v>
      </c>
      <c r="D248" s="2928">
        <v>6840</v>
      </c>
      <c r="E248" s="2928">
        <v>8520</v>
      </c>
      <c r="F248" s="2928">
        <v>1240</v>
      </c>
      <c r="G248" s="2928">
        <v>4200</v>
      </c>
    </row>
    <row r="249" spans="1:7" s="2762" customFormat="1" ht="14.25" customHeight="1">
      <c r="A249" s="2928" t="s">
        <v>305</v>
      </c>
      <c r="B249" s="2928" t="s">
        <v>3114</v>
      </c>
      <c r="C249" s="2928">
        <v>7180</v>
      </c>
      <c r="D249" s="2928">
        <v>7140</v>
      </c>
      <c r="E249" s="2928">
        <v>8900</v>
      </c>
      <c r="F249" s="2928">
        <v>1350</v>
      </c>
      <c r="G249" s="2928">
        <v>4380</v>
      </c>
    </row>
    <row r="250" spans="1:7" s="2762" customFormat="1" ht="14.25" customHeight="1">
      <c r="A250" s="2928" t="s">
        <v>305</v>
      </c>
      <c r="B250" s="2928" t="s">
        <v>241</v>
      </c>
      <c r="C250" s="2928">
        <v>6880</v>
      </c>
      <c r="D250" s="2928">
        <v>6860</v>
      </c>
      <c r="E250" s="2928">
        <v>8550</v>
      </c>
      <c r="F250" s="2928">
        <v>1220</v>
      </c>
      <c r="G250" s="2928">
        <v>4210</v>
      </c>
    </row>
    <row r="251" spans="1:7" s="2762" customFormat="1" ht="14.25" customHeight="1">
      <c r="A251" s="2928" t="s">
        <v>305</v>
      </c>
      <c r="B251" s="2928" t="s">
        <v>249</v>
      </c>
      <c r="C251" s="2928"/>
      <c r="D251" s="2928"/>
      <c r="E251" s="2928"/>
      <c r="F251" s="2928">
        <v>1100</v>
      </c>
      <c r="G251" s="2928"/>
    </row>
    <row r="252" spans="1:7" s="2762" customFormat="1" ht="14.25" customHeight="1">
      <c r="A252" s="2928" t="s">
        <v>305</v>
      </c>
      <c r="B252" s="2928" t="s">
        <v>3115</v>
      </c>
      <c r="C252" s="2928">
        <v>7240</v>
      </c>
      <c r="D252" s="2928">
        <v>7200</v>
      </c>
      <c r="E252" s="2928">
        <v>9040</v>
      </c>
      <c r="F252" s="2928">
        <v>1380</v>
      </c>
      <c r="G252" s="2928">
        <v>4420</v>
      </c>
    </row>
    <row r="253" spans="1:7" s="2762" customFormat="1" ht="14.25" customHeight="1">
      <c r="A253" s="2928" t="s">
        <v>305</v>
      </c>
      <c r="B253" s="2928" t="s">
        <v>283</v>
      </c>
      <c r="C253" s="2928">
        <v>6670</v>
      </c>
      <c r="D253" s="2928">
        <v>6650</v>
      </c>
      <c r="E253" s="2928">
        <v>8350</v>
      </c>
      <c r="F253" s="2928">
        <v>1260</v>
      </c>
      <c r="G253" s="2928">
        <v>4080</v>
      </c>
    </row>
    <row r="254" spans="1:7" s="2762" customFormat="1" ht="14.25" customHeight="1">
      <c r="A254" s="2928" t="s">
        <v>305</v>
      </c>
      <c r="B254" s="2928" t="s">
        <v>286</v>
      </c>
      <c r="C254" s="2928">
        <v>7630</v>
      </c>
      <c r="D254" s="2928">
        <v>7590</v>
      </c>
      <c r="E254" s="2928">
        <v>9380</v>
      </c>
      <c r="F254" s="2928">
        <v>1320</v>
      </c>
      <c r="G254" s="2928">
        <v>4660</v>
      </c>
    </row>
    <row r="255" spans="1:7" s="2762" customFormat="1" ht="14.25" customHeight="1">
      <c r="A255" s="2928" t="s">
        <v>305</v>
      </c>
      <c r="B255" s="2928" t="s">
        <v>289</v>
      </c>
      <c r="C255" s="2928">
        <v>6940</v>
      </c>
      <c r="D255" s="2928">
        <v>6890</v>
      </c>
      <c r="E255" s="2928">
        <v>8650</v>
      </c>
      <c r="F255" s="2928">
        <v>1210</v>
      </c>
      <c r="G255" s="2928">
        <v>4230</v>
      </c>
    </row>
    <row r="256" spans="1:7" s="2762" customFormat="1" ht="14.25" customHeight="1">
      <c r="A256" s="2928" t="s">
        <v>305</v>
      </c>
      <c r="B256" s="2928" t="s">
        <v>3116</v>
      </c>
      <c r="C256" s="2928">
        <v>7520</v>
      </c>
      <c r="D256" s="2928">
        <v>7490</v>
      </c>
      <c r="E256" s="2928">
        <v>9240</v>
      </c>
      <c r="F256" s="2928">
        <v>1270</v>
      </c>
      <c r="G256" s="2928">
        <v>4590</v>
      </c>
    </row>
    <row r="257" spans="1:7" s="2762" customFormat="1" ht="14.25" customHeight="1">
      <c r="A257" s="2928" t="s">
        <v>305</v>
      </c>
      <c r="B257" s="2928" t="s">
        <v>275</v>
      </c>
      <c r="C257" s="2928">
        <v>6280</v>
      </c>
      <c r="D257" s="2928">
        <v>6230</v>
      </c>
      <c r="E257" s="2928">
        <v>7740</v>
      </c>
      <c r="F257" s="2928">
        <v>1080</v>
      </c>
      <c r="G257" s="2928">
        <v>3830</v>
      </c>
    </row>
    <row r="258" spans="1:7" s="2762" customFormat="1" ht="14.25" customHeight="1">
      <c r="A258" s="2928" t="s">
        <v>305</v>
      </c>
      <c r="B258" s="2928" t="s">
        <v>2941</v>
      </c>
      <c r="C258" s="2928">
        <v>6190</v>
      </c>
      <c r="D258" s="2928">
        <v>6160</v>
      </c>
      <c r="E258" s="2928">
        <v>7680</v>
      </c>
      <c r="F258" s="2928">
        <v>1170</v>
      </c>
      <c r="G258" s="2928">
        <v>3780</v>
      </c>
    </row>
    <row r="259" spans="1:7" s="2762" customFormat="1" ht="14.25" customHeight="1">
      <c r="A259" s="2928" t="s">
        <v>305</v>
      </c>
      <c r="B259" s="2928" t="s">
        <v>3117</v>
      </c>
      <c r="C259" s="2928">
        <v>7610</v>
      </c>
      <c r="D259" s="2928">
        <v>7570</v>
      </c>
      <c r="E259" s="2928">
        <v>9350</v>
      </c>
      <c r="F259" s="2928">
        <v>1350</v>
      </c>
      <c r="G259" s="2928">
        <v>4650</v>
      </c>
    </row>
    <row r="260" spans="1:7" s="2762" customFormat="1" ht="14.25" customHeight="1">
      <c r="A260" s="2928" t="s">
        <v>305</v>
      </c>
      <c r="B260" s="2928" t="s">
        <v>3118</v>
      </c>
      <c r="C260" s="2928">
        <v>6920</v>
      </c>
      <c r="D260" s="2928">
        <v>6880</v>
      </c>
      <c r="E260" s="2928">
        <v>8380</v>
      </c>
      <c r="F260" s="2928">
        <v>1160</v>
      </c>
      <c r="G260" s="2928">
        <v>4220</v>
      </c>
    </row>
    <row r="261" spans="1:7" s="2762" customFormat="1" ht="14.25" customHeight="1">
      <c r="A261" s="2928" t="s">
        <v>305</v>
      </c>
      <c r="B261" s="2928" t="s">
        <v>3119</v>
      </c>
      <c r="C261" s="2928">
        <v>6850</v>
      </c>
      <c r="D261" s="2928">
        <v>6810</v>
      </c>
      <c r="E261" s="2928">
        <v>8290</v>
      </c>
      <c r="F261" s="2928">
        <v>1130</v>
      </c>
      <c r="G261" s="2928">
        <v>4180</v>
      </c>
    </row>
    <row r="262" spans="1:7" s="2762" customFormat="1" ht="14.25" customHeight="1">
      <c r="A262" s="2928" t="s">
        <v>305</v>
      </c>
      <c r="B262" s="2928" t="s">
        <v>3120</v>
      </c>
      <c r="C262" s="2928">
        <v>5860</v>
      </c>
      <c r="D262" s="2928">
        <v>5820</v>
      </c>
      <c r="E262" s="2928">
        <v>7640</v>
      </c>
      <c r="F262" s="2928">
        <v>1070</v>
      </c>
      <c r="G262" s="2928">
        <v>3570</v>
      </c>
    </row>
    <row r="263" spans="1:7" s="2762" customFormat="1" ht="14.25" customHeight="1">
      <c r="A263" s="2928" t="s">
        <v>305</v>
      </c>
      <c r="B263" s="2928" t="s">
        <v>3121</v>
      </c>
      <c r="C263" s="2928">
        <v>5870</v>
      </c>
      <c r="D263" s="2928">
        <v>5840</v>
      </c>
      <c r="E263" s="2928">
        <v>7270</v>
      </c>
      <c r="F263" s="2928">
        <v>1190</v>
      </c>
      <c r="G263" s="2928">
        <v>3580</v>
      </c>
    </row>
    <row r="264" spans="1:7" s="2762" customFormat="1" ht="14.25" customHeight="1">
      <c r="A264" s="2928" t="s">
        <v>305</v>
      </c>
      <c r="B264" s="2928" t="s">
        <v>299</v>
      </c>
      <c r="C264" s="2928">
        <v>6190</v>
      </c>
      <c r="D264" s="2928">
        <v>6150</v>
      </c>
      <c r="E264" s="2928">
        <v>7660</v>
      </c>
      <c r="F264" s="2928">
        <v>1160</v>
      </c>
      <c r="G264" s="2928">
        <v>3770</v>
      </c>
    </row>
    <row r="265" spans="1:7" s="2762" customFormat="1" ht="14.25" customHeight="1">
      <c r="A265" s="2928" t="s">
        <v>305</v>
      </c>
      <c r="B265" s="2928" t="s">
        <v>3122</v>
      </c>
      <c r="C265" s="2928"/>
      <c r="D265" s="2928"/>
      <c r="E265" s="2928"/>
      <c r="F265" s="2928">
        <v>1500</v>
      </c>
      <c r="G265" s="2928"/>
    </row>
    <row r="266" spans="1:7" s="2762" customFormat="1" ht="14.25" customHeight="1">
      <c r="A266" s="2928" t="s">
        <v>305</v>
      </c>
      <c r="B266" s="2928" t="s">
        <v>3123</v>
      </c>
      <c r="C266" s="2928"/>
      <c r="D266" s="2928"/>
      <c r="E266" s="2928"/>
      <c r="F266" s="2928">
        <v>1500</v>
      </c>
      <c r="G266" s="2928"/>
    </row>
    <row r="267" spans="1:7" s="2762" customFormat="1" ht="14.25" customHeight="1">
      <c r="A267" s="2928" t="s">
        <v>305</v>
      </c>
      <c r="B267" s="2928" t="s">
        <v>3124</v>
      </c>
      <c r="C267" s="2928"/>
      <c r="D267" s="2928"/>
      <c r="E267" s="2928"/>
      <c r="F267" s="2928">
        <v>1500</v>
      </c>
      <c r="G267" s="2928"/>
    </row>
    <row r="268" spans="1:7" s="2762" customFormat="1" ht="14.25" customHeight="1">
      <c r="A268" s="2928" t="s">
        <v>305</v>
      </c>
      <c r="B268" s="2928" t="s">
        <v>3125</v>
      </c>
      <c r="C268" s="2928"/>
      <c r="D268" s="2928"/>
      <c r="E268" s="2928"/>
      <c r="F268" s="2928">
        <v>1290</v>
      </c>
      <c r="G268" s="2928"/>
    </row>
    <row r="269" spans="1:7" s="2762" customFormat="1" ht="14.25" customHeight="1">
      <c r="A269" s="2928" t="s">
        <v>305</v>
      </c>
      <c r="B269" s="2928" t="s">
        <v>3126</v>
      </c>
      <c r="C269" s="2928"/>
      <c r="D269" s="2928"/>
      <c r="E269" s="2928"/>
      <c r="F269" s="2928">
        <v>1150</v>
      </c>
      <c r="G269" s="2928"/>
    </row>
    <row r="270" spans="1:7" s="2762" customFormat="1" ht="14.25" customHeight="1">
      <c r="A270" s="2928" t="s">
        <v>305</v>
      </c>
      <c r="B270" s="2928" t="s">
        <v>3127</v>
      </c>
      <c r="C270" s="2928"/>
      <c r="D270" s="2928"/>
      <c r="E270" s="2928"/>
      <c r="F270" s="2928">
        <v>1380</v>
      </c>
      <c r="G270" s="2928"/>
    </row>
    <row r="271" spans="1:7" s="2762" customFormat="1" ht="14.25" customHeight="1">
      <c r="A271" s="2928" t="s">
        <v>305</v>
      </c>
      <c r="B271" s="2928" t="s">
        <v>3128</v>
      </c>
      <c r="C271" s="2928"/>
      <c r="D271" s="2928"/>
      <c r="E271" s="2928"/>
      <c r="F271" s="2928">
        <v>1460</v>
      </c>
      <c r="G271" s="2928"/>
    </row>
    <row r="272" spans="1:7" s="2762" customFormat="1" ht="14.25" customHeight="1">
      <c r="A272" s="2928" t="s">
        <v>305</v>
      </c>
      <c r="B272" s="2928" t="s">
        <v>3129</v>
      </c>
      <c r="C272" s="2928"/>
      <c r="D272" s="2928"/>
      <c r="E272" s="2928"/>
      <c r="F272" s="2928">
        <v>1460</v>
      </c>
      <c r="G272" s="2928"/>
    </row>
    <row r="273" spans="1:7" s="2762" customFormat="1" ht="14.25" customHeight="1">
      <c r="A273" s="2928" t="s">
        <v>305</v>
      </c>
      <c r="B273" s="2928" t="s">
        <v>3022</v>
      </c>
      <c r="C273" s="2928"/>
      <c r="D273" s="2928"/>
      <c r="E273" s="2928"/>
      <c r="F273" s="2928">
        <v>1490</v>
      </c>
      <c r="G273" s="2928"/>
    </row>
    <row r="274" spans="1:7" s="2762" customFormat="1" ht="14.25" customHeight="1">
      <c r="A274" s="2928" t="s">
        <v>305</v>
      </c>
      <c r="B274" s="2928" t="s">
        <v>3130</v>
      </c>
      <c r="C274" s="2928"/>
      <c r="D274" s="2928"/>
      <c r="E274" s="2928"/>
      <c r="F274" s="2928">
        <v>1490</v>
      </c>
      <c r="G274" s="2928"/>
    </row>
    <row r="275" spans="1:7" s="2762" customFormat="1" ht="14.25" customHeight="1">
      <c r="A275" s="2928" t="s">
        <v>305</v>
      </c>
      <c r="B275" s="2928" t="s">
        <v>3131</v>
      </c>
      <c r="C275" s="2928"/>
      <c r="D275" s="2928"/>
      <c r="E275" s="2928"/>
      <c r="F275" s="2928">
        <v>1220</v>
      </c>
      <c r="G275" s="2928"/>
    </row>
    <row r="276" spans="1:7" s="2762" customFormat="1" ht="14.25" customHeight="1" thickBot="1">
      <c r="A276" s="2936" t="s">
        <v>305</v>
      </c>
      <c r="B276" s="2938" t="s">
        <v>3132</v>
      </c>
      <c r="C276" s="2939"/>
      <c r="D276" s="2939"/>
      <c r="E276" s="2939"/>
      <c r="F276" s="2939">
        <v>1380</v>
      </c>
      <c r="G276" s="2939"/>
    </row>
    <row r="277" spans="1:7" s="2762" customFormat="1" ht="14.25" customHeight="1">
      <c r="A277" s="2933" t="s">
        <v>306</v>
      </c>
      <c r="B277" s="2924" t="s">
        <v>3133</v>
      </c>
      <c r="C277" s="2924">
        <v>5790</v>
      </c>
      <c r="D277" s="2924">
        <v>5740</v>
      </c>
      <c r="E277" s="2924">
        <v>6730</v>
      </c>
      <c r="F277" s="2924">
        <v>1110</v>
      </c>
      <c r="G277" s="2940">
        <v>3460</v>
      </c>
    </row>
    <row r="278" spans="1:7" s="2762" customFormat="1" ht="14.25" customHeight="1">
      <c r="A278" s="2928" t="s">
        <v>306</v>
      </c>
      <c r="B278" s="2928" t="s">
        <v>135</v>
      </c>
      <c r="C278" s="2928">
        <v>5740</v>
      </c>
      <c r="D278" s="2928">
        <v>5670</v>
      </c>
      <c r="E278" s="2928">
        <v>6680</v>
      </c>
      <c r="F278" s="2928">
        <v>1070</v>
      </c>
      <c r="G278" s="2941">
        <v>3420</v>
      </c>
    </row>
    <row r="279" spans="1:7" s="2762" customFormat="1" ht="14.25" customHeight="1">
      <c r="A279" s="2928" t="s">
        <v>306</v>
      </c>
      <c r="B279" s="2928" t="s">
        <v>3134</v>
      </c>
      <c r="C279" s="2928">
        <v>4760</v>
      </c>
      <c r="D279" s="2928">
        <v>4720</v>
      </c>
      <c r="E279" s="2928">
        <v>5540</v>
      </c>
      <c r="F279" s="2928">
        <v>810</v>
      </c>
      <c r="G279" s="2941">
        <v>2850</v>
      </c>
    </row>
    <row r="280" spans="1:7" s="2762" customFormat="1" ht="14.25" customHeight="1">
      <c r="A280" s="2928" t="s">
        <v>306</v>
      </c>
      <c r="B280" s="2928" t="s">
        <v>3135</v>
      </c>
      <c r="C280" s="2928">
        <v>4010</v>
      </c>
      <c r="D280" s="2928">
        <v>3950</v>
      </c>
      <c r="E280" s="2928">
        <v>4710</v>
      </c>
      <c r="F280" s="2928">
        <v>800</v>
      </c>
      <c r="G280" s="2941">
        <v>2390</v>
      </c>
    </row>
    <row r="281" spans="1:7" s="2762" customFormat="1" ht="14.25" customHeight="1">
      <c r="A281" s="2928" t="s">
        <v>306</v>
      </c>
      <c r="B281" s="2928" t="s">
        <v>3136</v>
      </c>
      <c r="C281" s="2928">
        <v>4480</v>
      </c>
      <c r="D281" s="2928">
        <v>4420</v>
      </c>
      <c r="E281" s="2928">
        <v>5230</v>
      </c>
      <c r="F281" s="2928">
        <v>870</v>
      </c>
      <c r="G281" s="2941">
        <v>2660</v>
      </c>
    </row>
    <row r="282" spans="1:7" s="2762" customFormat="1" ht="14.25" customHeight="1">
      <c r="A282" s="2928" t="s">
        <v>306</v>
      </c>
      <c r="B282" s="2928" t="s">
        <v>3137</v>
      </c>
      <c r="C282" s="2928">
        <v>5360</v>
      </c>
      <c r="D282" s="2928">
        <v>5300</v>
      </c>
      <c r="E282" s="2928">
        <v>6190</v>
      </c>
      <c r="F282" s="2928">
        <v>950</v>
      </c>
      <c r="G282" s="2941">
        <v>3190</v>
      </c>
    </row>
    <row r="283" spans="1:7" s="2762" customFormat="1" ht="14.25" customHeight="1">
      <c r="A283" s="2928" t="s">
        <v>306</v>
      </c>
      <c r="B283" s="2928" t="s">
        <v>174</v>
      </c>
      <c r="C283" s="2928">
        <v>4950</v>
      </c>
      <c r="D283" s="2928">
        <v>4900</v>
      </c>
      <c r="E283" s="2928">
        <v>5720</v>
      </c>
      <c r="F283" s="2928">
        <v>920</v>
      </c>
      <c r="G283" s="2941">
        <v>2950</v>
      </c>
    </row>
    <row r="284" spans="1:7" s="2762" customFormat="1" ht="14.25" customHeight="1">
      <c r="A284" s="2928" t="s">
        <v>306</v>
      </c>
      <c r="B284" s="2928" t="s">
        <v>182</v>
      </c>
      <c r="C284" s="2928">
        <v>5610</v>
      </c>
      <c r="D284" s="2928">
        <v>5560</v>
      </c>
      <c r="E284" s="2928">
        <v>6520</v>
      </c>
      <c r="F284" s="2928">
        <v>1030</v>
      </c>
      <c r="G284" s="2941">
        <v>3360</v>
      </c>
    </row>
    <row r="285" spans="1:7" s="2762" customFormat="1" ht="14.25" customHeight="1">
      <c r="A285" s="2928" t="s">
        <v>306</v>
      </c>
      <c r="B285" s="2928" t="s">
        <v>192</v>
      </c>
      <c r="C285" s="2928">
        <v>5340</v>
      </c>
      <c r="D285" s="2928">
        <v>5290</v>
      </c>
      <c r="E285" s="2928">
        <v>6170</v>
      </c>
      <c r="F285" s="2928">
        <v>1080</v>
      </c>
      <c r="G285" s="2941">
        <v>3180</v>
      </c>
    </row>
    <row r="286" spans="1:7" s="2762" customFormat="1" ht="14.25" customHeight="1">
      <c r="A286" s="2928" t="s">
        <v>306</v>
      </c>
      <c r="B286" s="2928" t="s">
        <v>199</v>
      </c>
      <c r="C286" s="2928">
        <v>4890</v>
      </c>
      <c r="D286" s="2928">
        <v>4840</v>
      </c>
      <c r="E286" s="2928">
        <v>5640</v>
      </c>
      <c r="F286" s="2928">
        <v>960</v>
      </c>
      <c r="G286" s="2941">
        <v>2910</v>
      </c>
    </row>
    <row r="287" spans="1:7" s="2762" customFormat="1" ht="14.25" customHeight="1">
      <c r="A287" s="2928" t="s">
        <v>306</v>
      </c>
      <c r="B287" s="2928" t="s">
        <v>3138</v>
      </c>
      <c r="C287" s="2928">
        <v>4960</v>
      </c>
      <c r="D287" s="2928">
        <v>4920</v>
      </c>
      <c r="E287" s="2928">
        <v>5730</v>
      </c>
      <c r="F287" s="2928">
        <v>930</v>
      </c>
      <c r="G287" s="2941">
        <v>2960</v>
      </c>
    </row>
    <row r="288" spans="1:7" s="2762" customFormat="1" ht="14.25" customHeight="1">
      <c r="A288" s="2928" t="s">
        <v>306</v>
      </c>
      <c r="B288" s="2928" t="s">
        <v>219</v>
      </c>
      <c r="C288" s="2928">
        <v>4350</v>
      </c>
      <c r="D288" s="2928">
        <v>4300</v>
      </c>
      <c r="E288" s="2928">
        <v>4900</v>
      </c>
      <c r="F288" s="2928">
        <v>820</v>
      </c>
      <c r="G288" s="2941">
        <v>2590</v>
      </c>
    </row>
    <row r="289" spans="1:7" s="2762" customFormat="1" ht="14.25" customHeight="1">
      <c r="A289" s="2928" t="s">
        <v>306</v>
      </c>
      <c r="B289" s="2928" t="s">
        <v>3139</v>
      </c>
      <c r="C289" s="2928">
        <v>5230</v>
      </c>
      <c r="D289" s="2928">
        <v>5170</v>
      </c>
      <c r="E289" s="2928">
        <v>6060</v>
      </c>
      <c r="F289" s="2928">
        <v>900</v>
      </c>
      <c r="G289" s="2941">
        <v>3120</v>
      </c>
    </row>
    <row r="290" spans="1:7" s="2762" customFormat="1" ht="14.25" customHeight="1">
      <c r="A290" s="2928" t="s">
        <v>306</v>
      </c>
      <c r="B290" s="2928" t="s">
        <v>242</v>
      </c>
      <c r="C290" s="2928">
        <v>5550</v>
      </c>
      <c r="D290" s="2928">
        <v>5500</v>
      </c>
      <c r="E290" s="2928">
        <v>6440</v>
      </c>
      <c r="F290" s="2928">
        <v>960</v>
      </c>
      <c r="G290" s="2941">
        <v>3320</v>
      </c>
    </row>
    <row r="291" spans="1:7" s="2762" customFormat="1" ht="14.25" customHeight="1">
      <c r="A291" s="2928" t="s">
        <v>306</v>
      </c>
      <c r="B291" s="2928" t="s">
        <v>250</v>
      </c>
      <c r="C291" s="2928">
        <v>5440</v>
      </c>
      <c r="D291" s="2928">
        <v>5400</v>
      </c>
      <c r="E291" s="2928">
        <v>6320</v>
      </c>
      <c r="F291" s="2928">
        <v>930</v>
      </c>
      <c r="G291" s="2941">
        <v>3250</v>
      </c>
    </row>
    <row r="292" spans="1:7" s="2762" customFormat="1" ht="14.25" customHeight="1">
      <c r="A292" s="2928" t="s">
        <v>306</v>
      </c>
      <c r="B292" s="2928" t="s">
        <v>256</v>
      </c>
      <c r="C292" s="2928">
        <v>5400</v>
      </c>
      <c r="D292" s="2928">
        <v>5360</v>
      </c>
      <c r="E292" s="2928">
        <v>6270</v>
      </c>
      <c r="F292" s="2928">
        <v>1040</v>
      </c>
      <c r="G292" s="2941">
        <v>3230</v>
      </c>
    </row>
    <row r="293" spans="1:7" s="2762" customFormat="1" ht="14.25" customHeight="1">
      <c r="A293" s="2928" t="s">
        <v>306</v>
      </c>
      <c r="B293" s="2928" t="s">
        <v>2914</v>
      </c>
      <c r="C293" s="2928">
        <v>5320</v>
      </c>
      <c r="D293" s="2928">
        <v>5270</v>
      </c>
      <c r="E293" s="2928">
        <v>6160</v>
      </c>
      <c r="F293" s="2928">
        <v>990</v>
      </c>
      <c r="G293" s="2941">
        <v>3170</v>
      </c>
    </row>
    <row r="294" spans="1:7" s="2762" customFormat="1" ht="14.25" customHeight="1">
      <c r="A294" s="2928" t="s">
        <v>306</v>
      </c>
      <c r="B294" s="2928" t="s">
        <v>3140</v>
      </c>
      <c r="C294" s="2928">
        <v>5260</v>
      </c>
      <c r="D294" s="2928">
        <v>5210</v>
      </c>
      <c r="E294" s="2928">
        <v>6100</v>
      </c>
      <c r="F294" s="2928">
        <v>950</v>
      </c>
      <c r="G294" s="2941">
        <v>3150</v>
      </c>
    </row>
    <row r="295" spans="1:7" s="2762" customFormat="1" ht="14.25" customHeight="1">
      <c r="A295" s="2928" t="s">
        <v>306</v>
      </c>
      <c r="B295" s="2928" t="s">
        <v>290</v>
      </c>
      <c r="C295" s="2928">
        <v>5610</v>
      </c>
      <c r="D295" s="2928">
        <v>5570</v>
      </c>
      <c r="E295" s="2928">
        <v>6530</v>
      </c>
      <c r="F295" s="2928">
        <v>960</v>
      </c>
      <c r="G295" s="2941">
        <v>3360</v>
      </c>
    </row>
    <row r="296" spans="1:7" s="2762" customFormat="1" ht="14.25" customHeight="1">
      <c r="A296" s="2928" t="s">
        <v>306</v>
      </c>
      <c r="B296" s="2928" t="s">
        <v>293</v>
      </c>
      <c r="C296" s="2928">
        <v>5540</v>
      </c>
      <c r="D296" s="2928">
        <v>5490</v>
      </c>
      <c r="E296" s="2928">
        <v>6430</v>
      </c>
      <c r="F296" s="2928">
        <v>980</v>
      </c>
      <c r="G296" s="2941">
        <v>3310</v>
      </c>
    </row>
    <row r="297" spans="1:7" s="2762" customFormat="1" ht="14.25" customHeight="1">
      <c r="A297" s="2928" t="s">
        <v>306</v>
      </c>
      <c r="B297" s="2928" t="s">
        <v>295</v>
      </c>
      <c r="C297" s="2928">
        <v>5480</v>
      </c>
      <c r="D297" s="2928">
        <v>5420</v>
      </c>
      <c r="E297" s="2928">
        <v>6370</v>
      </c>
      <c r="F297" s="2928">
        <v>990</v>
      </c>
      <c r="G297" s="2941">
        <v>3270</v>
      </c>
    </row>
    <row r="298" spans="1:7" s="2762" customFormat="1" ht="14.25" customHeight="1">
      <c r="A298" s="2928" t="s">
        <v>306</v>
      </c>
      <c r="B298" s="2928" t="s">
        <v>298</v>
      </c>
      <c r="C298" s="2928">
        <v>5090</v>
      </c>
      <c r="D298" s="2928">
        <v>5050</v>
      </c>
      <c r="E298" s="2928">
        <v>5910</v>
      </c>
      <c r="F298" s="2928">
        <v>900</v>
      </c>
      <c r="G298" s="2941">
        <v>3040</v>
      </c>
    </row>
    <row r="299" spans="1:7" s="2762" customFormat="1" ht="14.25" customHeight="1">
      <c r="A299" s="2928" t="s">
        <v>306</v>
      </c>
      <c r="B299" s="2937" t="s">
        <v>2933</v>
      </c>
      <c r="C299" s="2928">
        <v>5430</v>
      </c>
      <c r="D299" s="2928">
        <v>5380</v>
      </c>
      <c r="E299" s="2928">
        <v>6280</v>
      </c>
      <c r="F299" s="2928">
        <v>1000</v>
      </c>
      <c r="G299" s="2941">
        <v>3240</v>
      </c>
    </row>
    <row r="300" spans="1:7" s="2762" customFormat="1" ht="14.25" customHeight="1">
      <c r="A300" s="2928" t="s">
        <v>306</v>
      </c>
      <c r="B300" s="2937" t="s">
        <v>271</v>
      </c>
      <c r="C300" s="2928">
        <v>4740</v>
      </c>
      <c r="D300" s="2928">
        <v>4680</v>
      </c>
      <c r="E300" s="2928">
        <v>5450</v>
      </c>
      <c r="F300" s="2928">
        <v>900</v>
      </c>
      <c r="G300" s="2941">
        <v>2830</v>
      </c>
    </row>
    <row r="301" spans="1:7" s="2762" customFormat="1" ht="14.25" customHeight="1">
      <c r="A301" s="2928" t="s">
        <v>306</v>
      </c>
      <c r="B301" s="2937" t="s">
        <v>276</v>
      </c>
      <c r="C301" s="2928">
        <v>4870</v>
      </c>
      <c r="D301" s="2928">
        <v>4810</v>
      </c>
      <c r="E301" s="2928">
        <v>5560</v>
      </c>
      <c r="F301" s="2928">
        <v>990</v>
      </c>
      <c r="G301" s="2941">
        <v>2910</v>
      </c>
    </row>
    <row r="302" spans="1:7" s="2762" customFormat="1" ht="14.25" customHeight="1">
      <c r="A302" s="2928" t="s">
        <v>306</v>
      </c>
      <c r="B302" s="2928" t="s">
        <v>3141</v>
      </c>
      <c r="C302" s="2928">
        <v>5520</v>
      </c>
      <c r="D302" s="2928">
        <v>5470</v>
      </c>
      <c r="E302" s="2928">
        <v>6410</v>
      </c>
      <c r="F302" s="2928">
        <v>950</v>
      </c>
      <c r="G302" s="2941">
        <v>3300</v>
      </c>
    </row>
    <row r="303" spans="1:7" s="2762" customFormat="1" ht="14.25" customHeight="1">
      <c r="A303" s="2928" t="s">
        <v>306</v>
      </c>
      <c r="B303" s="2928" t="s">
        <v>2953</v>
      </c>
      <c r="C303" s="2928">
        <v>5630</v>
      </c>
      <c r="D303" s="2928">
        <v>5590</v>
      </c>
      <c r="E303" s="2928">
        <v>6550</v>
      </c>
      <c r="F303" s="2928">
        <v>1010</v>
      </c>
      <c r="G303" s="2941">
        <v>3370</v>
      </c>
    </row>
    <row r="304" spans="1:7" s="2762" customFormat="1" ht="14.25" customHeight="1">
      <c r="A304" s="2928" t="s">
        <v>306</v>
      </c>
      <c r="B304" s="2928" t="s">
        <v>2960</v>
      </c>
      <c r="C304" s="2928">
        <v>5680</v>
      </c>
      <c r="D304" s="2928">
        <v>5620</v>
      </c>
      <c r="E304" s="2928">
        <v>6620</v>
      </c>
      <c r="F304" s="2928">
        <v>1050</v>
      </c>
      <c r="G304" s="2941">
        <v>3390</v>
      </c>
    </row>
    <row r="305" spans="1:7" s="2762" customFormat="1" ht="14.25" customHeight="1">
      <c r="A305" s="2928" t="s">
        <v>306</v>
      </c>
      <c r="B305" s="2928" t="s">
        <v>2966</v>
      </c>
      <c r="C305" s="2928">
        <v>5590</v>
      </c>
      <c r="D305" s="2928">
        <v>5530</v>
      </c>
      <c r="E305" s="2928">
        <v>6460</v>
      </c>
      <c r="F305" s="2928">
        <v>900</v>
      </c>
      <c r="G305" s="2941">
        <v>3340</v>
      </c>
    </row>
    <row r="306" spans="1:7" s="2762" customFormat="1" ht="14.25" customHeight="1">
      <c r="A306" s="2928" t="s">
        <v>306</v>
      </c>
      <c r="B306" s="2928" t="s">
        <v>3142</v>
      </c>
      <c r="C306" s="2928">
        <v>5560</v>
      </c>
      <c r="D306" s="2928">
        <v>5510</v>
      </c>
      <c r="E306" s="2928">
        <v>6440</v>
      </c>
      <c r="F306" s="2928">
        <v>900</v>
      </c>
      <c r="G306" s="2941">
        <v>3320</v>
      </c>
    </row>
    <row r="307" spans="1:7" s="2762" customFormat="1" ht="14.25" customHeight="1">
      <c r="A307" s="2928" t="s">
        <v>306</v>
      </c>
      <c r="B307" s="2928" t="s">
        <v>2978</v>
      </c>
      <c r="C307" s="2928">
        <v>5650</v>
      </c>
      <c r="D307" s="2928">
        <v>5600</v>
      </c>
      <c r="E307" s="2928">
        <v>6590</v>
      </c>
      <c r="F307" s="2928">
        <v>930</v>
      </c>
      <c r="G307" s="2941">
        <v>3380</v>
      </c>
    </row>
    <row r="308" spans="1:7" s="2762" customFormat="1" ht="14.25" customHeight="1">
      <c r="A308" s="2928" t="s">
        <v>306</v>
      </c>
      <c r="B308" s="2928" t="s">
        <v>3143</v>
      </c>
      <c r="C308" s="2928">
        <v>5620</v>
      </c>
      <c r="D308" s="2928">
        <v>5580</v>
      </c>
      <c r="E308" s="2928">
        <v>6540</v>
      </c>
      <c r="F308" s="2928">
        <v>910</v>
      </c>
      <c r="G308" s="2941">
        <v>3370</v>
      </c>
    </row>
    <row r="309" spans="1:7" s="2762" customFormat="1" ht="14.25" customHeight="1">
      <c r="A309" s="2928" t="s">
        <v>306</v>
      </c>
      <c r="B309" s="2928" t="s">
        <v>3144</v>
      </c>
      <c r="C309" s="2928">
        <v>5060</v>
      </c>
      <c r="D309" s="2928">
        <v>5020</v>
      </c>
      <c r="E309" s="2928">
        <v>6370</v>
      </c>
      <c r="F309" s="2928">
        <v>800</v>
      </c>
      <c r="G309" s="2941">
        <v>3020</v>
      </c>
    </row>
    <row r="310" spans="1:7" s="2762" customFormat="1" ht="14.25" customHeight="1">
      <c r="A310" s="2928" t="s">
        <v>306</v>
      </c>
      <c r="B310" s="2928" t="s">
        <v>2993</v>
      </c>
      <c r="C310" s="2928">
        <v>5150</v>
      </c>
      <c r="D310" s="2928">
        <v>5110</v>
      </c>
      <c r="E310" s="2928">
        <v>6500</v>
      </c>
      <c r="F310" s="2928">
        <v>880</v>
      </c>
      <c r="G310" s="2941">
        <v>3080</v>
      </c>
    </row>
    <row r="311" spans="1:7" s="2762" customFormat="1" ht="14.25" customHeight="1">
      <c r="A311" s="2928" t="s">
        <v>306</v>
      </c>
      <c r="B311" s="2928" t="s">
        <v>3145</v>
      </c>
      <c r="C311" s="2928">
        <v>4750</v>
      </c>
      <c r="D311" s="2928">
        <v>4710</v>
      </c>
      <c r="E311" s="2928">
        <v>5510</v>
      </c>
      <c r="F311" s="2928">
        <v>880</v>
      </c>
      <c r="G311" s="2941">
        <v>2840</v>
      </c>
    </row>
    <row r="312" spans="1:7" s="2762" customFormat="1" ht="14.25" customHeight="1">
      <c r="A312" s="2928" t="s">
        <v>306</v>
      </c>
      <c r="B312" s="2928" t="s">
        <v>3003</v>
      </c>
      <c r="C312" s="2928">
        <v>4690</v>
      </c>
      <c r="D312" s="2928">
        <v>4640</v>
      </c>
      <c r="E312" s="2928">
        <v>5420</v>
      </c>
      <c r="F312" s="2928">
        <v>800</v>
      </c>
      <c r="G312" s="2941">
        <v>2800</v>
      </c>
    </row>
    <row r="313" spans="1:7" s="2762" customFormat="1" ht="14.25" customHeight="1">
      <c r="A313" s="2928" t="s">
        <v>306</v>
      </c>
      <c r="B313" s="2928" t="s">
        <v>3008</v>
      </c>
      <c r="C313" s="2928">
        <v>4810</v>
      </c>
      <c r="D313" s="2928">
        <v>4760</v>
      </c>
      <c r="E313" s="2928">
        <v>5550</v>
      </c>
      <c r="F313" s="2928">
        <v>920</v>
      </c>
      <c r="G313" s="2941">
        <v>2870</v>
      </c>
    </row>
    <row r="314" spans="1:7" s="2762" customFormat="1" ht="14.25" customHeight="1">
      <c r="A314" s="2928" t="s">
        <v>306</v>
      </c>
      <c r="B314" s="2928" t="s">
        <v>3146</v>
      </c>
      <c r="C314" s="2928"/>
      <c r="D314" s="2928"/>
      <c r="E314" s="2928"/>
      <c r="F314" s="2928">
        <v>1020</v>
      </c>
      <c r="G314" s="2941"/>
    </row>
    <row r="315" spans="1:7" s="2762" customFormat="1" ht="14.25" customHeight="1">
      <c r="A315" s="2928" t="s">
        <v>306</v>
      </c>
      <c r="B315" s="2928" t="s">
        <v>3147</v>
      </c>
      <c r="C315" s="2928"/>
      <c r="D315" s="2928"/>
      <c r="E315" s="2928"/>
      <c r="F315" s="2928">
        <v>1050</v>
      </c>
      <c r="G315" s="2941"/>
    </row>
    <row r="316" spans="1:7" s="2762" customFormat="1" ht="14.25" customHeight="1">
      <c r="A316" s="2928" t="s">
        <v>306</v>
      </c>
      <c r="B316" s="2928" t="s">
        <v>3023</v>
      </c>
      <c r="C316" s="2928"/>
      <c r="D316" s="2928"/>
      <c r="E316" s="2928"/>
      <c r="F316" s="2928">
        <v>900</v>
      </c>
      <c r="G316" s="2941"/>
    </row>
    <row r="317" spans="1:7" s="2762" customFormat="1" ht="14.25" customHeight="1">
      <c r="A317" s="2928" t="s">
        <v>306</v>
      </c>
      <c r="B317" s="2928" t="s">
        <v>3148</v>
      </c>
      <c r="C317" s="2928"/>
      <c r="D317" s="2928"/>
      <c r="E317" s="2928"/>
      <c r="F317" s="2928">
        <v>920</v>
      </c>
      <c r="G317" s="2941"/>
    </row>
    <row r="318" spans="1:7" s="2762" customFormat="1" ht="14.25" customHeight="1">
      <c r="A318" s="2928" t="s">
        <v>306</v>
      </c>
      <c r="B318" s="2928" t="s">
        <v>3149</v>
      </c>
      <c r="C318" s="2928"/>
      <c r="D318" s="2928"/>
      <c r="E318" s="2928"/>
      <c r="F318" s="2928">
        <v>1080</v>
      </c>
      <c r="G318" s="2941"/>
    </row>
    <row r="319" spans="1:7" s="2762" customFormat="1" ht="14.25" customHeight="1">
      <c r="A319" s="2928" t="s">
        <v>306</v>
      </c>
      <c r="B319" s="2928" t="s">
        <v>3036</v>
      </c>
      <c r="C319" s="2928"/>
      <c r="D319" s="2928"/>
      <c r="E319" s="2928"/>
      <c r="F319" s="2928">
        <v>1020</v>
      </c>
      <c r="G319" s="2941"/>
    </row>
    <row r="320" spans="1:7" s="2762" customFormat="1" ht="14.25" customHeight="1">
      <c r="A320" s="2928" t="s">
        <v>306</v>
      </c>
      <c r="B320" s="2928" t="s">
        <v>3039</v>
      </c>
      <c r="C320" s="2928"/>
      <c r="D320" s="2928"/>
      <c r="E320" s="2928"/>
      <c r="F320" s="2928">
        <v>1050</v>
      </c>
      <c r="G320" s="2941"/>
    </row>
    <row r="321" spans="1:7" s="2762" customFormat="1" ht="14.25" customHeight="1">
      <c r="A321" s="2928" t="s">
        <v>306</v>
      </c>
      <c r="B321" s="2928" t="s">
        <v>3041</v>
      </c>
      <c r="C321" s="2928"/>
      <c r="D321" s="2928"/>
      <c r="E321" s="2928"/>
      <c r="F321" s="2928">
        <v>960</v>
      </c>
      <c r="G321" s="2941"/>
    </row>
    <row r="322" spans="1:7" s="2762" customFormat="1" ht="14.25" customHeight="1">
      <c r="A322" s="2928" t="s">
        <v>306</v>
      </c>
      <c r="B322" s="2928" t="s">
        <v>3043</v>
      </c>
      <c r="C322" s="2928"/>
      <c r="D322" s="2928"/>
      <c r="E322" s="2928"/>
      <c r="F322" s="2928">
        <v>960</v>
      </c>
      <c r="G322" s="2941"/>
    </row>
    <row r="323" spans="1:7" s="2762" customFormat="1" ht="14.25" customHeight="1">
      <c r="A323" s="2928" t="s">
        <v>306</v>
      </c>
      <c r="B323" s="2928" t="s">
        <v>3045</v>
      </c>
      <c r="C323" s="2928"/>
      <c r="D323" s="2928"/>
      <c r="E323" s="2928"/>
      <c r="F323" s="2928">
        <v>880</v>
      </c>
      <c r="G323" s="2941"/>
    </row>
    <row r="324" spans="1:7" s="2762" customFormat="1" ht="14.25" customHeight="1">
      <c r="A324" s="2928" t="s">
        <v>306</v>
      </c>
      <c r="B324" s="2928" t="s">
        <v>3047</v>
      </c>
      <c r="C324" s="2928"/>
      <c r="D324" s="2928"/>
      <c r="E324" s="2928"/>
      <c r="F324" s="2928">
        <v>930</v>
      </c>
      <c r="G324" s="2941"/>
    </row>
    <row r="325" spans="1:7" s="2762" customFormat="1" ht="14.25" customHeight="1">
      <c r="A325" s="2928" t="s">
        <v>306</v>
      </c>
      <c r="B325" s="2929" t="s">
        <v>3049</v>
      </c>
      <c r="C325" s="2928"/>
      <c r="D325" s="2928"/>
      <c r="E325" s="2928"/>
      <c r="F325" s="2928">
        <v>900</v>
      </c>
      <c r="G325" s="2941"/>
    </row>
    <row r="326" spans="1:7" s="2762" customFormat="1" ht="14.25" customHeight="1" thickBot="1">
      <c r="A326" s="2942" t="s">
        <v>306</v>
      </c>
      <c r="B326" s="2935" t="s">
        <v>3051</v>
      </c>
      <c r="C326" s="2935"/>
      <c r="D326" s="2935"/>
      <c r="E326" s="2935"/>
      <c r="F326" s="2935">
        <v>790</v>
      </c>
      <c r="G326" s="2943"/>
    </row>
    <row r="327" spans="1:7" s="2762" customFormat="1" ht="14.25" customHeight="1">
      <c r="A327" s="2933" t="s">
        <v>307</v>
      </c>
      <c r="B327" s="2924" t="s">
        <v>3150</v>
      </c>
      <c r="C327" s="2928">
        <v>3750</v>
      </c>
      <c r="D327" s="2928">
        <v>3710</v>
      </c>
      <c r="E327" s="2928">
        <v>4080</v>
      </c>
      <c r="F327" s="2928">
        <v>860</v>
      </c>
      <c r="G327" s="2928">
        <v>2210</v>
      </c>
    </row>
    <row r="328" spans="1:7" s="2762" customFormat="1" ht="14.25" customHeight="1">
      <c r="A328" s="2928" t="s">
        <v>307</v>
      </c>
      <c r="B328" s="2928" t="s">
        <v>136</v>
      </c>
      <c r="C328" s="2928">
        <v>3330</v>
      </c>
      <c r="D328" s="2928">
        <v>3290</v>
      </c>
      <c r="E328" s="2928">
        <v>3610</v>
      </c>
      <c r="F328" s="2928">
        <v>850</v>
      </c>
      <c r="G328" s="2928">
        <v>1960</v>
      </c>
    </row>
    <row r="329" spans="1:7" s="2762" customFormat="1" ht="14.25" customHeight="1">
      <c r="A329" s="2928" t="s">
        <v>307</v>
      </c>
      <c r="B329" s="2928" t="s">
        <v>3151</v>
      </c>
      <c r="C329" s="2928">
        <v>2730</v>
      </c>
      <c r="D329" s="2928">
        <v>2690</v>
      </c>
      <c r="E329" s="2928">
        <v>3100</v>
      </c>
      <c r="F329" s="2928">
        <v>660</v>
      </c>
      <c r="G329" s="2928">
        <v>1610</v>
      </c>
    </row>
    <row r="330" spans="1:7" s="2762" customFormat="1" ht="14.25" customHeight="1">
      <c r="A330" s="2928" t="s">
        <v>307</v>
      </c>
      <c r="B330" s="2928" t="s">
        <v>3152</v>
      </c>
      <c r="C330" s="2928">
        <v>3270</v>
      </c>
      <c r="D330" s="2928">
        <v>3240</v>
      </c>
      <c r="E330" s="2928">
        <v>3560</v>
      </c>
      <c r="F330" s="2928">
        <v>680</v>
      </c>
      <c r="G330" s="2928">
        <v>1940</v>
      </c>
    </row>
    <row r="331" spans="1:7" s="2762" customFormat="1" ht="14.25" customHeight="1">
      <c r="A331" s="2928" t="s">
        <v>307</v>
      </c>
      <c r="B331" s="2928" t="s">
        <v>161</v>
      </c>
      <c r="C331" s="2928">
        <v>3770</v>
      </c>
      <c r="D331" s="2928">
        <v>3740</v>
      </c>
      <c r="E331" s="2928">
        <v>4110</v>
      </c>
      <c r="F331" s="2928">
        <v>730</v>
      </c>
      <c r="G331" s="2928">
        <v>2230</v>
      </c>
    </row>
    <row r="332" spans="1:7" s="2762" customFormat="1" ht="14.25" customHeight="1">
      <c r="A332" s="2928" t="s">
        <v>307</v>
      </c>
      <c r="B332" s="2928" t="s">
        <v>2885</v>
      </c>
      <c r="C332" s="2928">
        <v>3520</v>
      </c>
      <c r="D332" s="2928">
        <v>3480</v>
      </c>
      <c r="E332" s="2928">
        <v>3830</v>
      </c>
      <c r="F332" s="2928">
        <v>720</v>
      </c>
      <c r="G332" s="2928">
        <v>2090</v>
      </c>
    </row>
    <row r="333" spans="1:7" s="2762" customFormat="1" ht="14.25" customHeight="1">
      <c r="A333" s="2928" t="s">
        <v>307</v>
      </c>
      <c r="B333" s="2928" t="s">
        <v>3153</v>
      </c>
      <c r="C333" s="2928">
        <v>3840</v>
      </c>
      <c r="D333" s="2928">
        <v>3800</v>
      </c>
      <c r="E333" s="2928">
        <v>4200</v>
      </c>
      <c r="F333" s="2928">
        <v>760</v>
      </c>
      <c r="G333" s="2928">
        <v>2270</v>
      </c>
    </row>
    <row r="334" spans="1:7" s="2762" customFormat="1" ht="14.25" customHeight="1">
      <c r="A334" s="2928" t="s">
        <v>307</v>
      </c>
      <c r="B334" s="2928" t="s">
        <v>183</v>
      </c>
      <c r="C334" s="2928">
        <v>3960</v>
      </c>
      <c r="D334" s="2928">
        <v>3910</v>
      </c>
      <c r="E334" s="2928">
        <v>4340</v>
      </c>
      <c r="F334" s="2928">
        <v>780</v>
      </c>
      <c r="G334" s="2928">
        <v>2340</v>
      </c>
    </row>
    <row r="335" spans="1:7" s="2762" customFormat="1" ht="14.25" customHeight="1">
      <c r="A335" s="2928" t="s">
        <v>307</v>
      </c>
      <c r="B335" s="2928" t="s">
        <v>193</v>
      </c>
      <c r="C335" s="2928">
        <v>3710</v>
      </c>
      <c r="D335" s="2928">
        <v>3670</v>
      </c>
      <c r="E335" s="2928">
        <v>4030</v>
      </c>
      <c r="F335" s="2928">
        <v>750</v>
      </c>
      <c r="G335" s="2928">
        <v>2200</v>
      </c>
    </row>
    <row r="336" spans="1:7" s="2762" customFormat="1" ht="14.25" customHeight="1">
      <c r="A336" s="2928" t="s">
        <v>307</v>
      </c>
      <c r="B336" s="2928" t="s">
        <v>2895</v>
      </c>
      <c r="C336" s="2928">
        <v>3570</v>
      </c>
      <c r="D336" s="2928">
        <v>3530</v>
      </c>
      <c r="E336" s="2928">
        <v>3880</v>
      </c>
      <c r="F336" s="2928">
        <v>770</v>
      </c>
      <c r="G336" s="2928">
        <v>2110</v>
      </c>
    </row>
    <row r="337" spans="1:10" s="2762" customFormat="1" ht="14.25" customHeight="1">
      <c r="A337" s="2928" t="s">
        <v>307</v>
      </c>
      <c r="B337" s="2928" t="s">
        <v>3154</v>
      </c>
      <c r="C337" s="2928">
        <v>3780</v>
      </c>
      <c r="D337" s="2928">
        <v>3750</v>
      </c>
      <c r="E337" s="2928">
        <v>4130</v>
      </c>
      <c r="F337" s="2928">
        <v>750</v>
      </c>
      <c r="G337" s="2928">
        <v>2240</v>
      </c>
    </row>
    <row r="338" spans="1:10" s="2762" customFormat="1" ht="14.25" customHeight="1">
      <c r="A338" s="2928" t="s">
        <v>307</v>
      </c>
      <c r="B338" s="2928" t="s">
        <v>220</v>
      </c>
      <c r="C338" s="2928">
        <v>3600</v>
      </c>
      <c r="D338" s="2928">
        <v>3570</v>
      </c>
      <c r="E338" s="2928">
        <v>3920</v>
      </c>
      <c r="F338" s="2928">
        <v>790</v>
      </c>
      <c r="G338" s="2928">
        <v>2140</v>
      </c>
    </row>
    <row r="339" spans="1:10" s="2762" customFormat="1" ht="14.25" customHeight="1">
      <c r="A339" s="2928" t="s">
        <v>307</v>
      </c>
      <c r="B339" s="2928" t="s">
        <v>228</v>
      </c>
      <c r="C339" s="2928">
        <v>3540</v>
      </c>
      <c r="D339" s="2928">
        <v>3500</v>
      </c>
      <c r="E339" s="2928">
        <v>3850</v>
      </c>
      <c r="F339" s="2928">
        <v>780</v>
      </c>
      <c r="G339" s="2928">
        <v>2100</v>
      </c>
    </row>
    <row r="340" spans="1:10" s="2762" customFormat="1" ht="14.25" customHeight="1">
      <c r="A340" s="2928" t="s">
        <v>307</v>
      </c>
      <c r="B340" s="2928" t="s">
        <v>3155</v>
      </c>
      <c r="C340" s="2928">
        <v>3850</v>
      </c>
      <c r="D340" s="2928">
        <v>3810</v>
      </c>
      <c r="E340" s="2928">
        <v>4210</v>
      </c>
      <c r="F340" s="2928">
        <v>750</v>
      </c>
      <c r="G340" s="2928">
        <v>2280</v>
      </c>
    </row>
    <row r="341" spans="1:10" s="2762" customFormat="1" ht="14.25" customHeight="1">
      <c r="A341" s="2928" t="s">
        <v>307</v>
      </c>
      <c r="B341" s="2928" t="s">
        <v>207</v>
      </c>
      <c r="C341" s="2928">
        <v>3780</v>
      </c>
      <c r="D341" s="2928">
        <v>3750</v>
      </c>
      <c r="E341" s="2928">
        <v>4140</v>
      </c>
      <c r="F341" s="2928">
        <v>720</v>
      </c>
      <c r="G341" s="2928">
        <v>2240</v>
      </c>
    </row>
    <row r="342" spans="1:10" s="2762" customFormat="1" ht="14.25" customHeight="1">
      <c r="A342" s="2928" t="s">
        <v>307</v>
      </c>
      <c r="B342" s="2928" t="s">
        <v>3156</v>
      </c>
      <c r="C342" s="2928">
        <v>3670</v>
      </c>
      <c r="D342" s="2928">
        <v>3620</v>
      </c>
      <c r="E342" s="2928">
        <v>3990</v>
      </c>
      <c r="F342" s="2928">
        <v>760</v>
      </c>
      <c r="G342" s="2928">
        <v>2170</v>
      </c>
    </row>
    <row r="343" spans="1:10" s="2762" customFormat="1" ht="14.25" customHeight="1">
      <c r="A343" s="2928" t="s">
        <v>307</v>
      </c>
      <c r="B343" s="2928" t="s">
        <v>257</v>
      </c>
      <c r="C343" s="2928">
        <v>3760</v>
      </c>
      <c r="D343" s="2928">
        <v>3720</v>
      </c>
      <c r="E343" s="2928">
        <v>4090</v>
      </c>
      <c r="F343" s="2928">
        <v>780</v>
      </c>
      <c r="G343" s="2928">
        <v>2220</v>
      </c>
    </row>
    <row r="344" spans="1:10" s="2762" customFormat="1" ht="14.25" customHeight="1">
      <c r="A344" s="2928" t="s">
        <v>307</v>
      </c>
      <c r="B344" s="2928" t="s">
        <v>265</v>
      </c>
      <c r="C344" s="2928">
        <v>3680</v>
      </c>
      <c r="D344" s="2928">
        <v>3640</v>
      </c>
      <c r="E344" s="2928">
        <v>4010</v>
      </c>
      <c r="F344" s="2928">
        <v>750</v>
      </c>
      <c r="G344" s="2928">
        <v>2180</v>
      </c>
    </row>
    <row r="345" spans="1:10">
      <c r="A345" s="2928" t="s">
        <v>307</v>
      </c>
      <c r="B345" s="2928" t="s">
        <v>2920</v>
      </c>
      <c r="C345" s="2928">
        <v>3190</v>
      </c>
      <c r="D345" s="2928">
        <v>3140</v>
      </c>
      <c r="E345" s="2928">
        <v>3450</v>
      </c>
      <c r="F345" s="2928">
        <v>720</v>
      </c>
      <c r="G345" s="2928">
        <v>1880</v>
      </c>
      <c r="J345" s="2762"/>
    </row>
    <row r="346" spans="1:10">
      <c r="A346" s="2928" t="s">
        <v>307</v>
      </c>
      <c r="B346" s="2928" t="s">
        <v>3157</v>
      </c>
      <c r="C346" s="2928">
        <v>3630</v>
      </c>
      <c r="D346" s="2928">
        <v>3590</v>
      </c>
      <c r="E346" s="2928">
        <v>3940</v>
      </c>
      <c r="F346" s="2928">
        <v>730</v>
      </c>
      <c r="G346" s="2928">
        <v>2150</v>
      </c>
      <c r="J346" s="2762"/>
    </row>
    <row r="347" spans="1:10">
      <c r="A347" s="2928" t="s">
        <v>307</v>
      </c>
      <c r="B347" s="2928" t="s">
        <v>243</v>
      </c>
      <c r="C347" s="2928">
        <v>3860</v>
      </c>
      <c r="D347" s="2928">
        <v>3820</v>
      </c>
      <c r="E347" s="2928">
        <v>4220</v>
      </c>
      <c r="F347" s="2928">
        <v>750</v>
      </c>
      <c r="G347" s="2928">
        <v>2280</v>
      </c>
      <c r="J347" s="2762"/>
    </row>
    <row r="348" spans="1:10">
      <c r="A348" s="2928" t="s">
        <v>307</v>
      </c>
      <c r="B348" s="2928" t="s">
        <v>2929</v>
      </c>
      <c r="C348" s="2928">
        <v>4000</v>
      </c>
      <c r="D348" s="2928">
        <v>3950</v>
      </c>
      <c r="E348" s="2928">
        <v>4430</v>
      </c>
      <c r="F348" s="2928">
        <v>760</v>
      </c>
      <c r="G348" s="2928">
        <v>2360</v>
      </c>
      <c r="J348" s="2762"/>
    </row>
    <row r="349" spans="1:10">
      <c r="A349" s="2928" t="s">
        <v>307</v>
      </c>
      <c r="B349" s="2928" t="s">
        <v>2934</v>
      </c>
      <c r="C349" s="2928">
        <v>3820</v>
      </c>
      <c r="D349" s="2928">
        <v>3780</v>
      </c>
      <c r="E349" s="2928">
        <v>4170</v>
      </c>
      <c r="F349" s="2928">
        <v>710</v>
      </c>
      <c r="G349" s="2928">
        <v>2260</v>
      </c>
      <c r="J349" s="2762"/>
    </row>
    <row r="350" spans="1:10">
      <c r="A350" s="2928" t="s">
        <v>307</v>
      </c>
      <c r="B350" s="2928" t="s">
        <v>3158</v>
      </c>
      <c r="C350" s="2928">
        <v>3760</v>
      </c>
      <c r="D350" s="2928">
        <v>3730</v>
      </c>
      <c r="E350" s="2928">
        <v>4100</v>
      </c>
      <c r="F350" s="2928">
        <v>800</v>
      </c>
      <c r="G350" s="2928">
        <v>2230</v>
      </c>
      <c r="J350" s="2762"/>
    </row>
    <row r="351" spans="1:10">
      <c r="A351" s="2928" t="s">
        <v>307</v>
      </c>
      <c r="B351" s="2928" t="s">
        <v>2942</v>
      </c>
      <c r="C351" s="2928">
        <v>3610</v>
      </c>
      <c r="D351" s="2928">
        <v>3580</v>
      </c>
      <c r="E351" s="2928">
        <v>3930</v>
      </c>
      <c r="F351" s="2928">
        <v>700</v>
      </c>
      <c r="G351" s="2928">
        <v>2140</v>
      </c>
      <c r="J351" s="2762"/>
    </row>
    <row r="352" spans="1:10">
      <c r="A352" s="2928" t="s">
        <v>307</v>
      </c>
      <c r="B352" s="2928" t="s">
        <v>2947</v>
      </c>
      <c r="C352" s="2928">
        <v>3670</v>
      </c>
      <c r="D352" s="2928">
        <v>3630</v>
      </c>
      <c r="E352" s="2928">
        <v>4000</v>
      </c>
      <c r="F352" s="2928">
        <v>750</v>
      </c>
      <c r="G352" s="2928">
        <v>2180</v>
      </c>
    </row>
    <row r="353" spans="1:7" s="2763" customFormat="1">
      <c r="A353" s="2928" t="s">
        <v>307</v>
      </c>
      <c r="B353" s="2928" t="s">
        <v>3159</v>
      </c>
      <c r="C353" s="2928">
        <v>3190</v>
      </c>
      <c r="D353" s="2928">
        <v>3150</v>
      </c>
      <c r="E353" s="2928">
        <v>3640</v>
      </c>
      <c r="F353" s="2928">
        <v>630</v>
      </c>
      <c r="G353" s="2928">
        <v>1890</v>
      </c>
    </row>
    <row r="354" spans="1:7" s="2763" customFormat="1">
      <c r="A354" s="2928" t="s">
        <v>307</v>
      </c>
      <c r="B354" s="2928" t="s">
        <v>280</v>
      </c>
      <c r="C354" s="2928">
        <v>3450</v>
      </c>
      <c r="D354" s="2928">
        <v>3420</v>
      </c>
      <c r="E354" s="2928">
        <v>3960</v>
      </c>
      <c r="F354" s="2928">
        <v>660</v>
      </c>
      <c r="G354" s="2928">
        <v>2050</v>
      </c>
    </row>
    <row r="355" spans="1:7" s="2763" customFormat="1">
      <c r="A355" s="2928" t="s">
        <v>307</v>
      </c>
      <c r="B355" s="2928" t="s">
        <v>2967</v>
      </c>
      <c r="C355" s="2928">
        <v>3650</v>
      </c>
      <c r="D355" s="2928">
        <v>3610</v>
      </c>
      <c r="E355" s="2928">
        <v>4200</v>
      </c>
      <c r="F355" s="2928">
        <v>640</v>
      </c>
      <c r="G355" s="2928">
        <v>2160</v>
      </c>
    </row>
    <row r="356" spans="1:7" s="2763" customFormat="1">
      <c r="A356" s="2928" t="s">
        <v>307</v>
      </c>
      <c r="B356" s="2928" t="s">
        <v>2974</v>
      </c>
      <c r="C356" s="2928">
        <v>3260</v>
      </c>
      <c r="D356" s="2928">
        <v>3230</v>
      </c>
      <c r="E356" s="2928">
        <v>3740</v>
      </c>
      <c r="F356" s="2928">
        <v>600</v>
      </c>
      <c r="G356" s="2928">
        <v>1930</v>
      </c>
    </row>
    <row r="357" spans="1:7" s="2763" customFormat="1" ht="12" thickBot="1">
      <c r="A357" s="2936" t="s">
        <v>307</v>
      </c>
      <c r="B357" s="2939" t="s">
        <v>3160</v>
      </c>
      <c r="C357" s="2939">
        <v>3690</v>
      </c>
      <c r="D357" s="2939">
        <v>3650</v>
      </c>
      <c r="E357" s="2939">
        <v>4020</v>
      </c>
      <c r="F357" s="2939">
        <v>700</v>
      </c>
      <c r="G357" s="2939">
        <v>2190</v>
      </c>
    </row>
    <row r="358" spans="1:7" s="2763" customFormat="1">
      <c r="A358" s="2933" t="s">
        <v>3161</v>
      </c>
      <c r="B358" s="2924" t="s">
        <v>3162</v>
      </c>
      <c r="C358" s="2924">
        <v>2080</v>
      </c>
      <c r="D358" s="2924">
        <v>2040</v>
      </c>
      <c r="E358" s="2924">
        <v>2010</v>
      </c>
      <c r="F358" s="2924">
        <v>530</v>
      </c>
      <c r="G358" s="2940">
        <v>1230</v>
      </c>
    </row>
    <row r="359" spans="1:7" s="2763" customFormat="1">
      <c r="A359" s="2928" t="s">
        <v>3161</v>
      </c>
      <c r="B359" s="2928" t="s">
        <v>3163</v>
      </c>
      <c r="C359" s="2928">
        <v>1850</v>
      </c>
      <c r="D359" s="2928">
        <v>1820</v>
      </c>
      <c r="E359" s="2928">
        <v>1780</v>
      </c>
      <c r="F359" s="2928">
        <v>520</v>
      </c>
      <c r="G359" s="2941">
        <v>1100</v>
      </c>
    </row>
    <row r="360" spans="1:7" s="2763" customFormat="1">
      <c r="A360" s="2928" t="s">
        <v>3161</v>
      </c>
      <c r="B360" s="2928" t="s">
        <v>3164</v>
      </c>
      <c r="C360" s="2928">
        <v>2020</v>
      </c>
      <c r="D360" s="2928">
        <v>1990</v>
      </c>
      <c r="E360" s="2928">
        <v>1950</v>
      </c>
      <c r="F360" s="2928">
        <v>500</v>
      </c>
      <c r="G360" s="2941">
        <v>1200</v>
      </c>
    </row>
    <row r="361" spans="1:7" s="2763" customFormat="1">
      <c r="A361" s="2928" t="s">
        <v>3161</v>
      </c>
      <c r="B361" s="2928" t="s">
        <v>153</v>
      </c>
      <c r="C361" s="2928">
        <v>2260</v>
      </c>
      <c r="D361" s="2928">
        <v>2220</v>
      </c>
      <c r="E361" s="2928">
        <v>2180</v>
      </c>
      <c r="F361" s="2928">
        <v>580</v>
      </c>
      <c r="G361" s="2941">
        <v>1340</v>
      </c>
    </row>
    <row r="362" spans="1:7" s="2763" customFormat="1">
      <c r="A362" s="2928" t="s">
        <v>3161</v>
      </c>
      <c r="B362" s="2928" t="s">
        <v>3165</v>
      </c>
      <c r="C362" s="2928">
        <v>2650</v>
      </c>
      <c r="D362" s="2928">
        <v>2610</v>
      </c>
      <c r="E362" s="2928">
        <v>2570</v>
      </c>
      <c r="F362" s="2928">
        <v>630</v>
      </c>
      <c r="G362" s="2941">
        <v>1570</v>
      </c>
    </row>
    <row r="363" spans="1:7" s="2763" customFormat="1">
      <c r="A363" s="2928" t="s">
        <v>3161</v>
      </c>
      <c r="B363" s="2928" t="s">
        <v>2886</v>
      </c>
      <c r="C363" s="2928">
        <v>2390</v>
      </c>
      <c r="D363" s="2928">
        <v>2360</v>
      </c>
      <c r="E363" s="2928">
        <v>2320</v>
      </c>
      <c r="F363" s="2928">
        <v>600</v>
      </c>
      <c r="G363" s="2941">
        <v>1420</v>
      </c>
    </row>
    <row r="364" spans="1:7" s="2763" customFormat="1">
      <c r="A364" s="2928" t="s">
        <v>3161</v>
      </c>
      <c r="B364" s="2928" t="s">
        <v>3166</v>
      </c>
      <c r="C364" s="2928">
        <v>2050</v>
      </c>
      <c r="D364" s="2928">
        <v>2030</v>
      </c>
      <c r="E364" s="2928">
        <v>1990</v>
      </c>
      <c r="F364" s="2928">
        <v>550</v>
      </c>
      <c r="G364" s="2941">
        <v>1220</v>
      </c>
    </row>
    <row r="365" spans="1:7" s="2763" customFormat="1">
      <c r="A365" s="2928" t="s">
        <v>3161</v>
      </c>
      <c r="B365" s="2928" t="s">
        <v>200</v>
      </c>
      <c r="C365" s="2928">
        <v>2140</v>
      </c>
      <c r="D365" s="2928">
        <v>2100</v>
      </c>
      <c r="E365" s="2928">
        <v>2060</v>
      </c>
      <c r="F365" s="2928">
        <v>540</v>
      </c>
      <c r="G365" s="2941">
        <v>1270</v>
      </c>
    </row>
    <row r="366" spans="1:7" s="2763" customFormat="1">
      <c r="A366" s="2928" t="s">
        <v>3161</v>
      </c>
      <c r="B366" s="2928" t="s">
        <v>2893</v>
      </c>
      <c r="C366" s="2928">
        <v>2410</v>
      </c>
      <c r="D366" s="2928">
        <v>2370</v>
      </c>
      <c r="E366" s="2928">
        <v>2330</v>
      </c>
      <c r="F366" s="2928">
        <v>570</v>
      </c>
      <c r="G366" s="2941">
        <v>1440</v>
      </c>
    </row>
    <row r="367" spans="1:7" s="2763" customFormat="1">
      <c r="A367" s="2928" t="s">
        <v>3161</v>
      </c>
      <c r="B367" s="2928" t="s">
        <v>3167</v>
      </c>
      <c r="C367" s="2928">
        <v>2300</v>
      </c>
      <c r="D367" s="2928">
        <v>2260</v>
      </c>
      <c r="E367" s="2928">
        <v>2220</v>
      </c>
      <c r="F367" s="2928">
        <v>560</v>
      </c>
      <c r="G367" s="2941">
        <v>1370</v>
      </c>
    </row>
    <row r="368" spans="1:7" s="2763" customFormat="1">
      <c r="A368" s="2928" t="s">
        <v>3161</v>
      </c>
      <c r="B368" s="2928" t="s">
        <v>3168</v>
      </c>
      <c r="C368" s="2928">
        <v>2430</v>
      </c>
      <c r="D368" s="2928">
        <v>2390</v>
      </c>
      <c r="E368" s="2928">
        <v>2350</v>
      </c>
      <c r="F368" s="2928">
        <v>570</v>
      </c>
      <c r="G368" s="2941">
        <v>1450</v>
      </c>
    </row>
    <row r="369" spans="1:7" s="2763" customFormat="1">
      <c r="A369" s="2928" t="s">
        <v>3161</v>
      </c>
      <c r="B369" s="2928" t="s">
        <v>214</v>
      </c>
      <c r="C369" s="2928">
        <v>2320</v>
      </c>
      <c r="D369" s="2928">
        <v>2290</v>
      </c>
      <c r="E369" s="2928">
        <v>2250</v>
      </c>
      <c r="F369" s="2928">
        <v>550</v>
      </c>
      <c r="G369" s="2941">
        <v>1380</v>
      </c>
    </row>
    <row r="370" spans="1:7" s="2763" customFormat="1">
      <c r="A370" s="2928" t="s">
        <v>3161</v>
      </c>
      <c r="B370" s="2928" t="s">
        <v>221</v>
      </c>
      <c r="C370" s="2928">
        <v>2190</v>
      </c>
      <c r="D370" s="2928">
        <v>2170</v>
      </c>
      <c r="E370" s="2928">
        <v>2130</v>
      </c>
      <c r="F370" s="2928">
        <v>530</v>
      </c>
      <c r="G370" s="2941">
        <v>1310</v>
      </c>
    </row>
    <row r="371" spans="1:7" s="2763" customFormat="1">
      <c r="A371" s="2928" t="s">
        <v>3161</v>
      </c>
      <c r="B371" s="2928" t="s">
        <v>229</v>
      </c>
      <c r="C371" s="2928">
        <v>2460</v>
      </c>
      <c r="D371" s="2928">
        <v>2420</v>
      </c>
      <c r="E371" s="2928">
        <v>2370</v>
      </c>
      <c r="F371" s="2928">
        <v>560</v>
      </c>
      <c r="G371" s="2941">
        <v>1470</v>
      </c>
    </row>
    <row r="372" spans="1:7" s="2763" customFormat="1">
      <c r="A372" s="2928" t="s">
        <v>3161</v>
      </c>
      <c r="B372" s="2928" t="s">
        <v>3169</v>
      </c>
      <c r="C372" s="2928">
        <v>2250</v>
      </c>
      <c r="D372" s="2928">
        <v>2210</v>
      </c>
      <c r="E372" s="2928">
        <v>2180</v>
      </c>
      <c r="F372" s="2928">
        <v>550</v>
      </c>
      <c r="G372" s="2941">
        <v>1340</v>
      </c>
    </row>
    <row r="373" spans="1:7" s="2763" customFormat="1">
      <c r="A373" s="2928" t="s">
        <v>3161</v>
      </c>
      <c r="B373" s="2928" t="s">
        <v>258</v>
      </c>
      <c r="C373" s="2928">
        <v>2210</v>
      </c>
      <c r="D373" s="2928">
        <v>2190</v>
      </c>
      <c r="E373" s="2928">
        <v>2150</v>
      </c>
      <c r="F373" s="2928">
        <v>530</v>
      </c>
      <c r="G373" s="2941">
        <v>1320</v>
      </c>
    </row>
    <row r="374" spans="1:7" s="2763" customFormat="1">
      <c r="A374" s="2928" t="s">
        <v>3161</v>
      </c>
      <c r="B374" s="2928" t="s">
        <v>266</v>
      </c>
      <c r="C374" s="2928">
        <v>2320</v>
      </c>
      <c r="D374" s="2928">
        <v>2280</v>
      </c>
      <c r="E374" s="2928">
        <v>2230</v>
      </c>
      <c r="F374" s="2928">
        <v>580</v>
      </c>
      <c r="G374" s="2941">
        <v>1380</v>
      </c>
    </row>
    <row r="375" spans="1:7" s="2763" customFormat="1">
      <c r="A375" s="2928" t="s">
        <v>3161</v>
      </c>
      <c r="B375" s="2928" t="s">
        <v>3170</v>
      </c>
      <c r="C375" s="2928">
        <v>2090</v>
      </c>
      <c r="D375" s="2928">
        <v>2050</v>
      </c>
      <c r="E375" s="2928">
        <v>2020</v>
      </c>
      <c r="F375" s="2928">
        <v>520</v>
      </c>
      <c r="G375" s="2941">
        <v>1240</v>
      </c>
    </row>
    <row r="376" spans="1:7" s="2763" customFormat="1">
      <c r="A376" s="2928" t="s">
        <v>3161</v>
      </c>
      <c r="B376" s="2928" t="s">
        <v>277</v>
      </c>
      <c r="C376" s="2928">
        <v>2010</v>
      </c>
      <c r="D376" s="2928">
        <v>1980</v>
      </c>
      <c r="E376" s="2928">
        <v>1940</v>
      </c>
      <c r="F376" s="2928">
        <v>540</v>
      </c>
      <c r="G376" s="2941">
        <v>1190</v>
      </c>
    </row>
    <row r="377" spans="1:7" s="2763" customFormat="1" ht="12" thickBot="1">
      <c r="A377" s="2936" t="s">
        <v>3161</v>
      </c>
      <c r="B377" s="2939" t="s">
        <v>2923</v>
      </c>
      <c r="C377" s="2939">
        <v>1930</v>
      </c>
      <c r="D377" s="2939">
        <v>1890</v>
      </c>
      <c r="E377" s="2939">
        <v>1860</v>
      </c>
      <c r="F377" s="2939">
        <v>530</v>
      </c>
      <c r="G377" s="2944">
        <v>1150</v>
      </c>
    </row>
    <row r="378" spans="1:7" s="2763" customFormat="1">
      <c r="A378" s="2945" t="s">
        <v>3171</v>
      </c>
      <c r="B378" s="2924" t="s">
        <v>3172</v>
      </c>
      <c r="C378" s="2924">
        <v>1520</v>
      </c>
      <c r="D378" s="2924">
        <v>1490</v>
      </c>
      <c r="E378" s="2924">
        <v>1460</v>
      </c>
      <c r="F378" s="2924">
        <v>460</v>
      </c>
      <c r="G378" s="2940">
        <v>940</v>
      </c>
    </row>
    <row r="379" spans="1:7" s="2763" customFormat="1">
      <c r="A379" s="2946" t="s">
        <v>3171</v>
      </c>
      <c r="B379" s="2928" t="s">
        <v>3173</v>
      </c>
      <c r="C379" s="2928">
        <v>1500</v>
      </c>
      <c r="D379" s="2928">
        <v>1470</v>
      </c>
      <c r="E379" s="2928">
        <v>1430</v>
      </c>
      <c r="F379" s="2928">
        <v>460</v>
      </c>
      <c r="G379" s="2941">
        <v>920</v>
      </c>
    </row>
    <row r="380" spans="1:7" s="2763" customFormat="1">
      <c r="A380" s="2946" t="s">
        <v>3171</v>
      </c>
      <c r="B380" s="2928" t="s">
        <v>3174</v>
      </c>
      <c r="C380" s="2928">
        <v>1620</v>
      </c>
      <c r="D380" s="2928">
        <v>1590</v>
      </c>
      <c r="E380" s="2928">
        <v>1560</v>
      </c>
      <c r="F380" s="2928">
        <v>480</v>
      </c>
      <c r="G380" s="2941">
        <v>1000</v>
      </c>
    </row>
    <row r="381" spans="1:7" s="2763" customFormat="1">
      <c r="A381" s="2946" t="s">
        <v>3171</v>
      </c>
      <c r="B381" s="2928" t="s">
        <v>3175</v>
      </c>
      <c r="C381" s="2928">
        <v>1460</v>
      </c>
      <c r="D381" s="2928">
        <v>1430</v>
      </c>
      <c r="E381" s="2928">
        <v>1390</v>
      </c>
      <c r="F381" s="2928">
        <v>450</v>
      </c>
      <c r="G381" s="2941">
        <v>900</v>
      </c>
    </row>
    <row r="382" spans="1:7" s="2763" customFormat="1">
      <c r="A382" s="2946" t="s">
        <v>3171</v>
      </c>
      <c r="B382" s="2928" t="s">
        <v>3176</v>
      </c>
      <c r="C382" s="2928">
        <v>1310</v>
      </c>
      <c r="D382" s="2928">
        <v>1280</v>
      </c>
      <c r="E382" s="2928">
        <v>1250</v>
      </c>
      <c r="F382" s="2928">
        <v>440</v>
      </c>
      <c r="G382" s="2941">
        <v>800</v>
      </c>
    </row>
    <row r="383" spans="1:7" s="2763" customFormat="1">
      <c r="A383" s="2946" t="s">
        <v>3171</v>
      </c>
      <c r="B383" s="2928" t="s">
        <v>3177</v>
      </c>
      <c r="C383" s="2928">
        <v>1260</v>
      </c>
      <c r="D383" s="2928">
        <v>1230</v>
      </c>
      <c r="E383" s="2928">
        <v>1200</v>
      </c>
      <c r="F383" s="2928">
        <v>420</v>
      </c>
      <c r="G383" s="2941">
        <v>770</v>
      </c>
    </row>
    <row r="384" spans="1:7" s="2763" customFormat="1" ht="12" thickBot="1">
      <c r="A384" s="2947" t="s">
        <v>3171</v>
      </c>
      <c r="B384" s="2935" t="s">
        <v>3178</v>
      </c>
      <c r="C384" s="2935">
        <v>1170</v>
      </c>
      <c r="D384" s="2935">
        <v>1140</v>
      </c>
      <c r="E384" s="2935">
        <v>1120</v>
      </c>
      <c r="F384" s="2935">
        <v>400</v>
      </c>
      <c r="G384" s="29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8" customWidth="1"/>
    <col min="2" max="2" width="20" style="2948" customWidth="1"/>
    <col min="3" max="7" width="8.875" style="2948"/>
    <col min="8" max="16384" width="8.875" style="2794"/>
  </cols>
  <sheetData>
    <row r="1" spans="1:7">
      <c r="A1" s="3603" t="s">
        <v>3179</v>
      </c>
      <c r="B1" s="3603"/>
    </row>
    <row r="2" spans="1:7" ht="14.25" thickBot="1">
      <c r="A2" s="2949"/>
      <c r="B2" s="2949"/>
    </row>
    <row r="3" spans="1:7" ht="14.25" thickBot="1">
      <c r="A3" s="2949"/>
      <c r="B3" s="2949"/>
      <c r="C3" s="2950" t="s">
        <v>2809</v>
      </c>
      <c r="D3" s="2950" t="s">
        <v>2865</v>
      </c>
      <c r="E3" s="2950" t="s">
        <v>2811</v>
      </c>
      <c r="F3" s="2950" t="s">
        <v>2866</v>
      </c>
      <c r="G3" s="2950" t="s">
        <v>2629</v>
      </c>
    </row>
    <row r="4" spans="1:7" ht="14.25" thickBot="1">
      <c r="A4" s="2951" t="s">
        <v>2864</v>
      </c>
      <c r="B4" s="2952" t="s">
        <v>2870</v>
      </c>
      <c r="C4" s="2950"/>
      <c r="D4" s="2950"/>
      <c r="E4" s="2950"/>
      <c r="F4" s="2950"/>
      <c r="G4" s="2950"/>
    </row>
    <row r="5" spans="1:7">
      <c r="A5" s="2953" t="s">
        <v>2838</v>
      </c>
      <c r="B5" s="2954" t="s">
        <v>2852</v>
      </c>
      <c r="C5" s="2955">
        <v>9.8000000000000004E-2</v>
      </c>
      <c r="D5" s="2955">
        <v>8.6999999999999994E-2</v>
      </c>
      <c r="E5" s="2955">
        <v>8.6999999999999994E-2</v>
      </c>
      <c r="F5" s="2955">
        <v>9.8000000000000004E-2</v>
      </c>
      <c r="G5" s="2956">
        <v>9.5000000000000001E-2</v>
      </c>
    </row>
    <row r="6" spans="1:7">
      <c r="A6" s="2957" t="s">
        <v>144</v>
      </c>
      <c r="B6" s="2958" t="s">
        <v>2867</v>
      </c>
      <c r="C6" s="2959">
        <v>9.8000000000000004E-2</v>
      </c>
      <c r="D6" s="2959">
        <v>9.8000000000000004E-2</v>
      </c>
      <c r="E6" s="2959">
        <v>9.8000000000000004E-2</v>
      </c>
      <c r="F6" s="2959">
        <v>0.1</v>
      </c>
      <c r="G6" s="2960">
        <v>9.9000000000000005E-2</v>
      </c>
    </row>
    <row r="7" spans="1:7">
      <c r="A7" s="2957" t="s">
        <v>144</v>
      </c>
      <c r="B7" s="2958" t="s">
        <v>137</v>
      </c>
      <c r="C7" s="2959">
        <v>9.7000000000000003E-2</v>
      </c>
      <c r="D7" s="2959">
        <v>9.7000000000000003E-2</v>
      </c>
      <c r="E7" s="2959">
        <v>9.6000000000000002E-2</v>
      </c>
      <c r="F7" s="2959">
        <v>0.1</v>
      </c>
      <c r="G7" s="2960">
        <v>9.8000000000000004E-2</v>
      </c>
    </row>
    <row r="8" spans="1:7">
      <c r="A8" s="2957" t="s">
        <v>144</v>
      </c>
      <c r="B8" s="2958" t="s">
        <v>145</v>
      </c>
      <c r="C8" s="2959">
        <v>8.1000000000000003E-2</v>
      </c>
      <c r="D8" s="2959">
        <v>8.2000000000000003E-2</v>
      </c>
      <c r="E8" s="2959">
        <v>7.0000000000000007E-2</v>
      </c>
      <c r="F8" s="2959">
        <v>9.6000000000000002E-2</v>
      </c>
      <c r="G8" s="2960">
        <v>8.8999999999999996E-2</v>
      </c>
    </row>
    <row r="9" spans="1:7" ht="14.25" thickBot="1">
      <c r="A9" s="2961" t="s">
        <v>144</v>
      </c>
      <c r="B9" s="2962" t="s">
        <v>154</v>
      </c>
      <c r="C9" s="2963">
        <v>0.1</v>
      </c>
      <c r="D9" s="2963">
        <v>0.1</v>
      </c>
      <c r="E9" s="2963">
        <v>0.1</v>
      </c>
      <c r="F9" s="2964"/>
      <c r="G9" s="2965">
        <v>0.1</v>
      </c>
    </row>
    <row r="10" spans="1:7">
      <c r="A10" s="2953" t="s">
        <v>184</v>
      </c>
      <c r="B10" s="2954" t="s">
        <v>2853</v>
      </c>
      <c r="C10" s="2955">
        <v>6.7000000000000004E-2</v>
      </c>
      <c r="D10" s="2955">
        <v>7.9000000000000001E-2</v>
      </c>
      <c r="E10" s="2955">
        <v>7.9000000000000001E-2</v>
      </c>
      <c r="F10" s="2955">
        <v>0.1</v>
      </c>
      <c r="G10" s="2956">
        <v>9.0999999999999998E-2</v>
      </c>
    </row>
    <row r="11" spans="1:7">
      <c r="A11" s="2957" t="s">
        <v>184</v>
      </c>
      <c r="B11" s="2958" t="s">
        <v>128</v>
      </c>
      <c r="C11" s="2959">
        <v>0.05</v>
      </c>
      <c r="D11" s="2959">
        <v>5.2999999999999999E-2</v>
      </c>
      <c r="E11" s="2959">
        <v>6.3E-2</v>
      </c>
      <c r="F11" s="2959">
        <v>0.1</v>
      </c>
      <c r="G11" s="2960">
        <v>7.1999999999999995E-2</v>
      </c>
    </row>
    <row r="12" spans="1:7">
      <c r="A12" s="2957" t="s">
        <v>184</v>
      </c>
      <c r="B12" s="2958" t="s">
        <v>111</v>
      </c>
      <c r="C12" s="2959">
        <v>5.2999999999999999E-2</v>
      </c>
      <c r="D12" s="2959">
        <v>0.09</v>
      </c>
      <c r="E12" s="2959">
        <v>7.1999999999999995E-2</v>
      </c>
      <c r="F12" s="2959">
        <v>0.1</v>
      </c>
      <c r="G12" s="2960">
        <v>9.7000000000000003E-2</v>
      </c>
    </row>
    <row r="13" spans="1:7">
      <c r="A13" s="2957" t="s">
        <v>184</v>
      </c>
      <c r="B13" s="2958" t="s">
        <v>146</v>
      </c>
      <c r="C13" s="2959">
        <v>9.7000000000000003E-2</v>
      </c>
      <c r="D13" s="2959">
        <v>9.1999999999999998E-2</v>
      </c>
      <c r="E13" s="2959">
        <v>9.5000000000000001E-2</v>
      </c>
      <c r="F13" s="2959">
        <v>0.1</v>
      </c>
      <c r="G13" s="2960">
        <v>9.7000000000000003E-2</v>
      </c>
    </row>
    <row r="14" spans="1:7">
      <c r="A14" s="2957" t="s">
        <v>184</v>
      </c>
      <c r="B14" s="2958" t="s">
        <v>155</v>
      </c>
      <c r="C14" s="2959">
        <v>9.7000000000000003E-2</v>
      </c>
      <c r="D14" s="2959">
        <v>9.7000000000000003E-2</v>
      </c>
      <c r="E14" s="2959">
        <v>9.7000000000000003E-2</v>
      </c>
      <c r="F14" s="2959">
        <v>0.1</v>
      </c>
      <c r="G14" s="2960">
        <v>9.8000000000000004E-2</v>
      </c>
    </row>
    <row r="15" spans="1:7">
      <c r="A15" s="2957" t="s">
        <v>184</v>
      </c>
      <c r="B15" s="2958" t="s">
        <v>162</v>
      </c>
      <c r="C15" s="2959">
        <v>9.8000000000000004E-2</v>
      </c>
      <c r="D15" s="2959">
        <v>9.0999999999999998E-2</v>
      </c>
      <c r="E15" s="2959">
        <v>0.06</v>
      </c>
      <c r="F15" s="2959">
        <v>0.1</v>
      </c>
      <c r="G15" s="2960">
        <v>9.7000000000000003E-2</v>
      </c>
    </row>
    <row r="16" spans="1:7">
      <c r="A16" s="2957" t="s">
        <v>184</v>
      </c>
      <c r="B16" s="2958" t="s">
        <v>168</v>
      </c>
      <c r="C16" s="2959">
        <v>9.8000000000000004E-2</v>
      </c>
      <c r="D16" s="2959">
        <v>9.7000000000000003E-2</v>
      </c>
      <c r="E16" s="2959">
        <v>9.5000000000000001E-2</v>
      </c>
      <c r="F16" s="2959">
        <v>0.1</v>
      </c>
      <c r="G16" s="2960">
        <v>9.9000000000000005E-2</v>
      </c>
    </row>
    <row r="17" spans="1:7">
      <c r="A17" s="2957" t="s">
        <v>184</v>
      </c>
      <c r="B17" s="2958" t="s">
        <v>175</v>
      </c>
      <c r="C17" s="2959">
        <v>8.8999999999999996E-2</v>
      </c>
      <c r="D17" s="2959">
        <v>9.1999999999999998E-2</v>
      </c>
      <c r="E17" s="2959">
        <v>6.0999999999999999E-2</v>
      </c>
      <c r="F17" s="2959">
        <v>0.1</v>
      </c>
      <c r="G17" s="2960">
        <v>9.7000000000000003E-2</v>
      </c>
    </row>
    <row r="18" spans="1:7">
      <c r="A18" s="2957" t="s">
        <v>184</v>
      </c>
      <c r="B18" s="2958" t="s">
        <v>185</v>
      </c>
      <c r="C18" s="2959">
        <v>9.8000000000000004E-2</v>
      </c>
      <c r="D18" s="2959">
        <v>9.8000000000000004E-2</v>
      </c>
      <c r="E18" s="2959">
        <v>9.8000000000000004E-2</v>
      </c>
      <c r="F18" s="2966"/>
      <c r="G18" s="2960">
        <v>9.9000000000000005E-2</v>
      </c>
    </row>
    <row r="19" spans="1:7">
      <c r="A19" s="2957" t="s">
        <v>184</v>
      </c>
      <c r="B19" s="2958" t="s">
        <v>194</v>
      </c>
      <c r="C19" s="2959">
        <v>9.9000000000000005E-2</v>
      </c>
      <c r="D19" s="2959">
        <v>7.3999999999999996E-2</v>
      </c>
      <c r="E19" s="2959">
        <v>8.1000000000000003E-2</v>
      </c>
      <c r="F19" s="2966"/>
      <c r="G19" s="2960">
        <v>9.2999999999999999E-2</v>
      </c>
    </row>
    <row r="20" spans="1:7">
      <c r="A20" s="2957" t="s">
        <v>184</v>
      </c>
      <c r="B20" s="2958" t="s">
        <v>201</v>
      </c>
      <c r="C20" s="2959">
        <v>0.1</v>
      </c>
      <c r="D20" s="2959">
        <v>8.8999999999999996E-2</v>
      </c>
      <c r="E20" s="2959">
        <v>8.8999999999999996E-2</v>
      </c>
      <c r="F20" s="2966"/>
      <c r="G20" s="2960">
        <v>9.5000000000000001E-2</v>
      </c>
    </row>
    <row r="21" spans="1:7">
      <c r="A21" s="2957" t="s">
        <v>184</v>
      </c>
      <c r="B21" s="2958" t="s">
        <v>208</v>
      </c>
      <c r="C21" s="2959">
        <v>0.1</v>
      </c>
      <c r="D21" s="2959">
        <v>9.0999999999999998E-2</v>
      </c>
      <c r="E21" s="2959">
        <v>8.2000000000000003E-2</v>
      </c>
      <c r="F21" s="2966"/>
      <c r="G21" s="2960">
        <v>9.7000000000000003E-2</v>
      </c>
    </row>
    <row r="22" spans="1:7">
      <c r="A22" s="2957" t="s">
        <v>184</v>
      </c>
      <c r="B22" s="2958" t="s">
        <v>2903</v>
      </c>
      <c r="C22" s="2959">
        <v>9.5000000000000001E-2</v>
      </c>
      <c r="D22" s="2959">
        <v>9.9000000000000005E-2</v>
      </c>
      <c r="E22" s="2959">
        <v>9.8000000000000004E-2</v>
      </c>
      <c r="F22" s="2966"/>
      <c r="G22" s="2960">
        <v>0.1</v>
      </c>
    </row>
    <row r="23" spans="1:7">
      <c r="A23" s="2957" t="s">
        <v>184</v>
      </c>
      <c r="B23" s="2958" t="s">
        <v>222</v>
      </c>
      <c r="C23" s="2959">
        <v>9.9000000000000005E-2</v>
      </c>
      <c r="D23" s="2959">
        <v>0.1</v>
      </c>
      <c r="E23" s="2959">
        <v>0.1</v>
      </c>
      <c r="F23" s="2966"/>
      <c r="G23" s="2960">
        <v>0.1</v>
      </c>
    </row>
    <row r="24" spans="1:7">
      <c r="A24" s="2957" t="s">
        <v>184</v>
      </c>
      <c r="B24" s="2958" t="s">
        <v>230</v>
      </c>
      <c r="C24" s="2959">
        <v>9.5000000000000001E-2</v>
      </c>
      <c r="D24" s="2959">
        <v>0.1</v>
      </c>
      <c r="E24" s="2959">
        <v>9.8000000000000004E-2</v>
      </c>
      <c r="F24" s="2966"/>
      <c r="G24" s="2960">
        <v>0.1</v>
      </c>
    </row>
    <row r="25" spans="1:7">
      <c r="A25" s="2957" t="s">
        <v>184</v>
      </c>
      <c r="B25" s="2958" t="s">
        <v>235</v>
      </c>
      <c r="C25" s="2959">
        <v>0.05</v>
      </c>
      <c r="D25" s="2959">
        <v>9.6000000000000002E-2</v>
      </c>
      <c r="E25" s="2959">
        <v>9.6000000000000002E-2</v>
      </c>
      <c r="F25" s="2966"/>
      <c r="G25" s="2960">
        <v>9.6000000000000002E-2</v>
      </c>
    </row>
    <row r="26" spans="1:7">
      <c r="A26" s="2957" t="s">
        <v>184</v>
      </c>
      <c r="B26" s="2958" t="s">
        <v>244</v>
      </c>
      <c r="C26" s="2959">
        <v>6.3E-2</v>
      </c>
      <c r="D26" s="2959">
        <v>9.9000000000000005E-2</v>
      </c>
      <c r="E26" s="2959">
        <v>9.8000000000000004E-2</v>
      </c>
      <c r="F26" s="2966"/>
      <c r="G26" s="2960">
        <v>0.1</v>
      </c>
    </row>
    <row r="27" spans="1:7">
      <c r="A27" s="2957" t="s">
        <v>184</v>
      </c>
      <c r="B27" s="2958" t="s">
        <v>251</v>
      </c>
      <c r="C27" s="2959">
        <v>5.1999999999999998E-2</v>
      </c>
      <c r="D27" s="2959">
        <v>9.5000000000000001E-2</v>
      </c>
      <c r="E27" s="2959">
        <v>6.4000000000000001E-2</v>
      </c>
      <c r="F27" s="2966"/>
      <c r="G27" s="2960">
        <v>9.7000000000000003E-2</v>
      </c>
    </row>
    <row r="28" spans="1:7">
      <c r="A28" s="2957" t="s">
        <v>184</v>
      </c>
      <c r="B28" s="2958" t="s">
        <v>259</v>
      </c>
      <c r="C28" s="2966"/>
      <c r="D28" s="2959">
        <v>6.3E-2</v>
      </c>
      <c r="E28" s="2959">
        <v>5.1999999999999998E-2</v>
      </c>
      <c r="F28" s="2966"/>
      <c r="G28" s="2960">
        <v>6.3E-2</v>
      </c>
    </row>
    <row r="29" spans="1:7" ht="14.25" thickBot="1">
      <c r="A29" s="2961" t="s">
        <v>184</v>
      </c>
      <c r="B29" s="2962" t="s">
        <v>2921</v>
      </c>
      <c r="C29" s="2967"/>
      <c r="D29" s="2963">
        <v>5.1999999999999998E-2</v>
      </c>
      <c r="E29" s="2963">
        <v>7.0000000000000007E-2</v>
      </c>
      <c r="F29" s="2967"/>
      <c r="G29" s="2965">
        <v>7.0999999999999994E-2</v>
      </c>
    </row>
    <row r="30" spans="1:7">
      <c r="A30" s="2968" t="s">
        <v>296</v>
      </c>
      <c r="B30" s="2954" t="s">
        <v>2854</v>
      </c>
      <c r="C30" s="2955">
        <v>6.6000000000000003E-2</v>
      </c>
      <c r="D30" s="2955">
        <v>6.6000000000000003E-2</v>
      </c>
      <c r="E30" s="2955">
        <v>5.7000000000000002E-2</v>
      </c>
      <c r="F30" s="2955">
        <v>0.1</v>
      </c>
      <c r="G30" s="2956">
        <v>6.8000000000000005E-2</v>
      </c>
    </row>
    <row r="31" spans="1:7">
      <c r="A31" s="2969" t="s">
        <v>296</v>
      </c>
      <c r="B31" s="2958" t="s">
        <v>129</v>
      </c>
      <c r="C31" s="2959">
        <v>5.5E-2</v>
      </c>
      <c r="D31" s="2959">
        <v>8.2000000000000003E-2</v>
      </c>
      <c r="E31" s="2959">
        <v>6.4000000000000001E-2</v>
      </c>
      <c r="F31" s="2959">
        <v>0.1</v>
      </c>
      <c r="G31" s="2960">
        <v>9.5000000000000001E-2</v>
      </c>
    </row>
    <row r="32" spans="1:7">
      <c r="A32" s="2969" t="s">
        <v>296</v>
      </c>
      <c r="B32" s="2958" t="s">
        <v>138</v>
      </c>
      <c r="C32" s="2959">
        <v>8.2000000000000003E-2</v>
      </c>
      <c r="D32" s="2959">
        <v>8.6999999999999994E-2</v>
      </c>
      <c r="E32" s="2959">
        <v>9.5000000000000001E-2</v>
      </c>
      <c r="F32" s="2959">
        <v>0.1</v>
      </c>
      <c r="G32" s="2960">
        <v>9.6000000000000002E-2</v>
      </c>
    </row>
    <row r="33" spans="1:7">
      <c r="A33" s="2969" t="s">
        <v>296</v>
      </c>
      <c r="B33" s="2958" t="s">
        <v>147</v>
      </c>
      <c r="C33" s="2959">
        <v>9.9000000000000005E-2</v>
      </c>
      <c r="D33" s="2959">
        <v>9.1999999999999998E-2</v>
      </c>
      <c r="E33" s="2959">
        <v>8.6999999999999994E-2</v>
      </c>
      <c r="F33" s="2959">
        <v>0.1</v>
      </c>
      <c r="G33" s="2960">
        <v>9.7000000000000003E-2</v>
      </c>
    </row>
    <row r="34" spans="1:7">
      <c r="A34" s="2969" t="s">
        <v>296</v>
      </c>
      <c r="B34" s="2958" t="s">
        <v>156</v>
      </c>
      <c r="C34" s="2959">
        <v>8.4000000000000005E-2</v>
      </c>
      <c r="D34" s="2959">
        <v>9.7000000000000003E-2</v>
      </c>
      <c r="E34" s="2959">
        <v>7.0999999999999994E-2</v>
      </c>
      <c r="F34" s="2959">
        <v>0.1</v>
      </c>
      <c r="G34" s="2960">
        <v>9.8000000000000004E-2</v>
      </c>
    </row>
    <row r="35" spans="1:7">
      <c r="A35" s="2969" t="s">
        <v>296</v>
      </c>
      <c r="B35" s="2958" t="s">
        <v>163</v>
      </c>
      <c r="C35" s="2959">
        <v>8.3000000000000004E-2</v>
      </c>
      <c r="D35" s="2959">
        <v>9.7000000000000003E-2</v>
      </c>
      <c r="E35" s="2959">
        <v>6.0999999999999999E-2</v>
      </c>
      <c r="F35" s="2959">
        <v>0.1</v>
      </c>
      <c r="G35" s="2960">
        <v>9.9000000000000005E-2</v>
      </c>
    </row>
    <row r="36" spans="1:7">
      <c r="A36" s="2969" t="s">
        <v>296</v>
      </c>
      <c r="B36" s="2958" t="s">
        <v>169</v>
      </c>
      <c r="C36" s="2959">
        <v>9.7000000000000003E-2</v>
      </c>
      <c r="D36" s="2959">
        <v>9.7000000000000003E-2</v>
      </c>
      <c r="E36" s="2959">
        <v>7.8E-2</v>
      </c>
      <c r="F36" s="2959">
        <v>0.1</v>
      </c>
      <c r="G36" s="2960">
        <v>9.9000000000000005E-2</v>
      </c>
    </row>
    <row r="37" spans="1:7">
      <c r="A37" s="2969" t="s">
        <v>296</v>
      </c>
      <c r="B37" s="2958" t="s">
        <v>176</v>
      </c>
      <c r="C37" s="2959">
        <v>9.7000000000000003E-2</v>
      </c>
      <c r="D37" s="2959">
        <v>9.5000000000000001E-2</v>
      </c>
      <c r="E37" s="2959">
        <v>7.8E-2</v>
      </c>
      <c r="F37" s="2959">
        <v>0.1</v>
      </c>
      <c r="G37" s="2960">
        <v>9.7000000000000003E-2</v>
      </c>
    </row>
    <row r="38" spans="1:7">
      <c r="A38" s="2969" t="s">
        <v>296</v>
      </c>
      <c r="B38" s="2958" t="s">
        <v>186</v>
      </c>
      <c r="C38" s="2959">
        <v>9.7000000000000003E-2</v>
      </c>
      <c r="D38" s="2959">
        <v>7.6999999999999999E-2</v>
      </c>
      <c r="E38" s="2959">
        <v>7.0000000000000007E-2</v>
      </c>
      <c r="F38" s="2959">
        <v>0.1</v>
      </c>
      <c r="G38" s="2960">
        <v>7.6999999999999999E-2</v>
      </c>
    </row>
    <row r="39" spans="1:7">
      <c r="A39" s="2969" t="s">
        <v>296</v>
      </c>
      <c r="B39" s="2958" t="s">
        <v>195</v>
      </c>
      <c r="C39" s="2959">
        <v>9.5000000000000001E-2</v>
      </c>
      <c r="D39" s="2959">
        <v>7.6999999999999999E-2</v>
      </c>
      <c r="E39" s="2959">
        <v>6.6000000000000003E-2</v>
      </c>
      <c r="F39" s="2959">
        <v>0.1</v>
      </c>
      <c r="G39" s="2960">
        <v>8.5999999999999993E-2</v>
      </c>
    </row>
    <row r="40" spans="1:7">
      <c r="A40" s="2969" t="s">
        <v>296</v>
      </c>
      <c r="B40" s="2958" t="s">
        <v>202</v>
      </c>
      <c r="C40" s="2959">
        <v>7.6999999999999999E-2</v>
      </c>
      <c r="D40" s="2959">
        <v>7.8E-2</v>
      </c>
      <c r="E40" s="2959">
        <v>8.2000000000000003E-2</v>
      </c>
      <c r="F40" s="2970"/>
      <c r="G40" s="2960">
        <v>7.8E-2</v>
      </c>
    </row>
    <row r="41" spans="1:7">
      <c r="A41" s="2969" t="s">
        <v>296</v>
      </c>
      <c r="B41" s="2958" t="s">
        <v>209</v>
      </c>
      <c r="C41" s="2959">
        <v>7.8E-2</v>
      </c>
      <c r="D41" s="2959">
        <v>7.8E-2</v>
      </c>
      <c r="E41" s="2959">
        <v>8.2000000000000003E-2</v>
      </c>
      <c r="F41" s="2970"/>
      <c r="G41" s="2960">
        <v>8.5999999999999993E-2</v>
      </c>
    </row>
    <row r="42" spans="1:7">
      <c r="A42" s="2969" t="s">
        <v>296</v>
      </c>
      <c r="B42" s="2958" t="s">
        <v>215</v>
      </c>
      <c r="C42" s="2959">
        <v>7.8E-2</v>
      </c>
      <c r="D42" s="2959">
        <v>9.6000000000000002E-2</v>
      </c>
      <c r="E42" s="2959">
        <v>7.1999999999999995E-2</v>
      </c>
      <c r="F42" s="2970"/>
      <c r="G42" s="2960">
        <v>9.8000000000000004E-2</v>
      </c>
    </row>
    <row r="43" spans="1:7">
      <c r="A43" s="2969" t="s">
        <v>2840</v>
      </c>
      <c r="B43" s="2958" t="s">
        <v>223</v>
      </c>
      <c r="C43" s="2959">
        <v>7.8E-2</v>
      </c>
      <c r="D43" s="2959">
        <v>9.9000000000000005E-2</v>
      </c>
      <c r="E43" s="2959">
        <v>9.6000000000000002E-2</v>
      </c>
      <c r="F43" s="2970"/>
      <c r="G43" s="2960">
        <v>0.1</v>
      </c>
    </row>
    <row r="44" spans="1:7">
      <c r="A44" s="2969" t="s">
        <v>296</v>
      </c>
      <c r="B44" s="2958" t="s">
        <v>231</v>
      </c>
      <c r="C44" s="2959">
        <v>9.6000000000000002E-2</v>
      </c>
      <c r="D44" s="2959">
        <v>0.1</v>
      </c>
      <c r="E44" s="2959">
        <v>9.8000000000000004E-2</v>
      </c>
      <c r="F44" s="2970"/>
      <c r="G44" s="2960">
        <v>0.1</v>
      </c>
    </row>
    <row r="45" spans="1:7">
      <c r="A45" s="2969" t="s">
        <v>296</v>
      </c>
      <c r="B45" s="2958" t="s">
        <v>236</v>
      </c>
      <c r="C45" s="2959">
        <v>9.9000000000000005E-2</v>
      </c>
      <c r="D45" s="2959">
        <v>9.8000000000000004E-2</v>
      </c>
      <c r="E45" s="2959">
        <v>9.5000000000000001E-2</v>
      </c>
      <c r="F45" s="2970"/>
      <c r="G45" s="2960">
        <v>9.8000000000000004E-2</v>
      </c>
    </row>
    <row r="46" spans="1:7">
      <c r="A46" s="2969" t="s">
        <v>296</v>
      </c>
      <c r="B46" s="2958" t="s">
        <v>245</v>
      </c>
      <c r="C46" s="2959">
        <v>0.1</v>
      </c>
      <c r="D46" s="2959">
        <v>9.9000000000000005E-2</v>
      </c>
      <c r="E46" s="2959">
        <v>9.6000000000000002E-2</v>
      </c>
      <c r="F46" s="2970"/>
      <c r="G46" s="2960">
        <v>0.1</v>
      </c>
    </row>
    <row r="47" spans="1:7">
      <c r="A47" s="2969" t="s">
        <v>296</v>
      </c>
      <c r="B47" s="2958" t="s">
        <v>252</v>
      </c>
      <c r="C47" s="2959">
        <v>9.8000000000000004E-2</v>
      </c>
      <c r="D47" s="2959">
        <v>8.6999999999999994E-2</v>
      </c>
      <c r="E47" s="2959">
        <v>5.8999999999999997E-2</v>
      </c>
      <c r="F47" s="2970"/>
      <c r="G47" s="2960">
        <v>9.6000000000000002E-2</v>
      </c>
    </row>
    <row r="48" spans="1:7">
      <c r="A48" s="2969" t="s">
        <v>296</v>
      </c>
      <c r="B48" s="2958" t="s">
        <v>260</v>
      </c>
      <c r="C48" s="2959">
        <v>9.9000000000000005E-2</v>
      </c>
      <c r="D48" s="2959">
        <v>9.8000000000000004E-2</v>
      </c>
      <c r="E48" s="2959">
        <v>9.5000000000000001E-2</v>
      </c>
      <c r="F48" s="2970"/>
      <c r="G48" s="2960">
        <v>9.8000000000000004E-2</v>
      </c>
    </row>
    <row r="49" spans="1:7">
      <c r="A49" s="2969" t="s">
        <v>296</v>
      </c>
      <c r="B49" s="2958" t="s">
        <v>267</v>
      </c>
      <c r="C49" s="2959">
        <v>8.7999999999999995E-2</v>
      </c>
      <c r="D49" s="2959">
        <v>9.9000000000000005E-2</v>
      </c>
      <c r="E49" s="2959">
        <v>7.0000000000000007E-2</v>
      </c>
      <c r="F49" s="2970"/>
      <c r="G49" s="2960">
        <v>0.1</v>
      </c>
    </row>
    <row r="50" spans="1:7">
      <c r="A50" s="2969" t="s">
        <v>296</v>
      </c>
      <c r="B50" s="2958" t="s">
        <v>2924</v>
      </c>
      <c r="C50" s="2959">
        <v>9.8000000000000004E-2</v>
      </c>
      <c r="D50" s="2959">
        <v>7.2999999999999995E-2</v>
      </c>
      <c r="E50" s="2959">
        <v>7.0999999999999994E-2</v>
      </c>
      <c r="F50" s="2970"/>
      <c r="G50" s="2960">
        <v>7.2999999999999995E-2</v>
      </c>
    </row>
    <row r="51" spans="1:7">
      <c r="A51" s="2969" t="s">
        <v>296</v>
      </c>
      <c r="B51" s="2958" t="s">
        <v>2926</v>
      </c>
      <c r="C51" s="2959">
        <v>9.9000000000000005E-2</v>
      </c>
      <c r="D51" s="2959">
        <v>8.5000000000000006E-2</v>
      </c>
      <c r="E51" s="2959">
        <v>6.3E-2</v>
      </c>
      <c r="F51" s="2970"/>
      <c r="G51" s="2960">
        <v>9.6000000000000002E-2</v>
      </c>
    </row>
    <row r="52" spans="1:7">
      <c r="A52" s="2969" t="s">
        <v>296</v>
      </c>
      <c r="B52" s="2958" t="s">
        <v>2930</v>
      </c>
      <c r="C52" s="2959">
        <v>7.3999999999999996E-2</v>
      </c>
      <c r="D52" s="2959">
        <v>9.6000000000000002E-2</v>
      </c>
      <c r="E52" s="2959">
        <v>0.05</v>
      </c>
      <c r="F52" s="2970"/>
      <c r="G52" s="2960">
        <v>9.8000000000000004E-2</v>
      </c>
    </row>
    <row r="53" spans="1:7">
      <c r="A53" s="2969" t="s">
        <v>296</v>
      </c>
      <c r="B53" s="2958" t="s">
        <v>2935</v>
      </c>
      <c r="C53" s="2959">
        <v>8.5999999999999993E-2</v>
      </c>
      <c r="D53" s="2970"/>
      <c r="E53" s="2959">
        <v>9.1999999999999998E-2</v>
      </c>
      <c r="F53" s="2970"/>
      <c r="G53" s="2971"/>
    </row>
    <row r="54" spans="1:7" ht="14.25" thickBot="1">
      <c r="A54" s="2972" t="s">
        <v>296</v>
      </c>
      <c r="B54" s="2962" t="s">
        <v>2938</v>
      </c>
      <c r="C54" s="2963">
        <v>9.6000000000000002E-2</v>
      </c>
      <c r="D54" s="2964"/>
      <c r="E54" s="2973"/>
      <c r="F54" s="2964"/>
      <c r="G54" s="2974"/>
    </row>
    <row r="55" spans="1:7">
      <c r="A55" s="2968" t="s">
        <v>110</v>
      </c>
      <c r="B55" s="2954" t="s">
        <v>2855</v>
      </c>
      <c r="C55" s="2955">
        <v>9.6000000000000002E-2</v>
      </c>
      <c r="D55" s="2955">
        <v>8.4000000000000005E-2</v>
      </c>
      <c r="E55" s="2955">
        <v>9.1999999999999998E-2</v>
      </c>
      <c r="F55" s="2955">
        <v>0.1</v>
      </c>
      <c r="G55" s="2956">
        <v>9.5000000000000001E-2</v>
      </c>
    </row>
    <row r="56" spans="1:7">
      <c r="A56" s="2969" t="s">
        <v>110</v>
      </c>
      <c r="B56" s="2958" t="s">
        <v>130</v>
      </c>
      <c r="C56" s="2959">
        <v>8.4000000000000005E-2</v>
      </c>
      <c r="D56" s="2959">
        <v>9.1999999999999998E-2</v>
      </c>
      <c r="E56" s="2959">
        <v>9.5000000000000001E-2</v>
      </c>
      <c r="F56" s="2959">
        <v>9.1999999999999998E-2</v>
      </c>
      <c r="G56" s="2960">
        <v>9.6000000000000002E-2</v>
      </c>
    </row>
    <row r="57" spans="1:7">
      <c r="A57" s="2969" t="s">
        <v>110</v>
      </c>
      <c r="B57" s="2958" t="s">
        <v>139</v>
      </c>
      <c r="C57" s="2959">
        <v>9.9000000000000005E-2</v>
      </c>
      <c r="D57" s="2959">
        <v>9.6000000000000002E-2</v>
      </c>
      <c r="E57" s="2959">
        <v>9.1999999999999998E-2</v>
      </c>
      <c r="F57" s="2959">
        <v>0.1</v>
      </c>
      <c r="G57" s="2960">
        <v>9.8000000000000004E-2</v>
      </c>
    </row>
    <row r="58" spans="1:7">
      <c r="A58" s="2969" t="s">
        <v>110</v>
      </c>
      <c r="B58" s="2958" t="s">
        <v>148</v>
      </c>
      <c r="C58" s="2959">
        <v>9.8000000000000004E-2</v>
      </c>
      <c r="D58" s="2959">
        <v>9.5000000000000001E-2</v>
      </c>
      <c r="E58" s="2959">
        <v>5.7000000000000002E-2</v>
      </c>
      <c r="F58" s="2959">
        <v>0.1</v>
      </c>
      <c r="G58" s="2960">
        <v>9.6000000000000002E-2</v>
      </c>
    </row>
    <row r="59" spans="1:7">
      <c r="A59" s="2969" t="s">
        <v>110</v>
      </c>
      <c r="B59" s="2958" t="s">
        <v>157</v>
      </c>
      <c r="C59" s="2959">
        <v>9.5000000000000001E-2</v>
      </c>
      <c r="D59" s="2959">
        <v>0.1</v>
      </c>
      <c r="E59" s="2959">
        <v>7.4999999999999997E-2</v>
      </c>
      <c r="F59" s="2959">
        <v>0.1</v>
      </c>
      <c r="G59" s="2960">
        <v>0.1</v>
      </c>
    </row>
    <row r="60" spans="1:7">
      <c r="A60" s="2969" t="s">
        <v>110</v>
      </c>
      <c r="B60" s="2958" t="s">
        <v>164</v>
      </c>
      <c r="C60" s="2959">
        <v>0.1</v>
      </c>
      <c r="D60" s="2959">
        <v>9.7000000000000003E-2</v>
      </c>
      <c r="E60" s="2959">
        <v>0.1</v>
      </c>
      <c r="F60" s="2959">
        <v>0.1</v>
      </c>
      <c r="G60" s="2960">
        <v>9.7000000000000003E-2</v>
      </c>
    </row>
    <row r="61" spans="1:7">
      <c r="A61" s="2969" t="s">
        <v>110</v>
      </c>
      <c r="B61" s="2958" t="s">
        <v>170</v>
      </c>
      <c r="C61" s="2959">
        <v>9.7000000000000003E-2</v>
      </c>
      <c r="D61" s="2959">
        <v>0.1</v>
      </c>
      <c r="E61" s="2959">
        <v>9.2999999999999999E-2</v>
      </c>
      <c r="F61" s="2959">
        <v>0.1</v>
      </c>
      <c r="G61" s="2960">
        <v>0.1</v>
      </c>
    </row>
    <row r="62" spans="1:7">
      <c r="A62" s="2969" t="s">
        <v>110</v>
      </c>
      <c r="B62" s="2958" t="s">
        <v>177</v>
      </c>
      <c r="C62" s="2959">
        <v>0.1</v>
      </c>
      <c r="D62" s="2959">
        <v>9.7000000000000003E-2</v>
      </c>
      <c r="E62" s="2959">
        <v>8.8999999999999996E-2</v>
      </c>
      <c r="F62" s="2959">
        <v>0.1</v>
      </c>
      <c r="G62" s="2960">
        <v>9.8000000000000004E-2</v>
      </c>
    </row>
    <row r="63" spans="1:7">
      <c r="A63" s="2969" t="s">
        <v>110</v>
      </c>
      <c r="B63" s="2958" t="s">
        <v>187</v>
      </c>
      <c r="C63" s="2959">
        <v>9.7000000000000003E-2</v>
      </c>
      <c r="D63" s="2959">
        <v>9.7000000000000003E-2</v>
      </c>
      <c r="E63" s="2959">
        <v>9.9000000000000005E-2</v>
      </c>
      <c r="F63" s="2959">
        <v>0.1</v>
      </c>
      <c r="G63" s="2960">
        <v>9.7000000000000003E-2</v>
      </c>
    </row>
    <row r="64" spans="1:7">
      <c r="A64" s="2969" t="s">
        <v>110</v>
      </c>
      <c r="B64" s="2958" t="s">
        <v>196</v>
      </c>
      <c r="C64" s="2959">
        <v>9.7000000000000003E-2</v>
      </c>
      <c r="D64" s="2959">
        <v>7.3999999999999996E-2</v>
      </c>
      <c r="E64" s="2959">
        <v>7.8E-2</v>
      </c>
      <c r="F64" s="2959">
        <v>0.1</v>
      </c>
      <c r="G64" s="2960">
        <v>8.8999999999999996E-2</v>
      </c>
    </row>
    <row r="65" spans="1:7">
      <c r="A65" s="2969" t="s">
        <v>110</v>
      </c>
      <c r="B65" s="2958" t="s">
        <v>203</v>
      </c>
      <c r="C65" s="2959">
        <v>7.2999999999999995E-2</v>
      </c>
      <c r="D65" s="2959">
        <v>9.8000000000000004E-2</v>
      </c>
      <c r="E65" s="2959">
        <v>9.5000000000000001E-2</v>
      </c>
      <c r="F65" s="2959">
        <v>0.1</v>
      </c>
      <c r="G65" s="2960">
        <v>9.9000000000000005E-2</v>
      </c>
    </row>
    <row r="66" spans="1:7">
      <c r="A66" s="2969" t="s">
        <v>110</v>
      </c>
      <c r="B66" s="2958" t="s">
        <v>210</v>
      </c>
      <c r="C66" s="2959">
        <v>9.8000000000000004E-2</v>
      </c>
      <c r="D66" s="2959">
        <v>9.5000000000000001E-2</v>
      </c>
      <c r="E66" s="2959">
        <v>0.05</v>
      </c>
      <c r="F66" s="2959">
        <v>0.1</v>
      </c>
      <c r="G66" s="2960">
        <v>9.7000000000000003E-2</v>
      </c>
    </row>
    <row r="67" spans="1:7">
      <c r="A67" s="2969" t="s">
        <v>110</v>
      </c>
      <c r="B67" s="2958" t="s">
        <v>216</v>
      </c>
      <c r="C67" s="2959">
        <v>9.5000000000000001E-2</v>
      </c>
      <c r="D67" s="2959">
        <v>9.7000000000000003E-2</v>
      </c>
      <c r="E67" s="2959">
        <v>9.7000000000000003E-2</v>
      </c>
      <c r="F67" s="2959">
        <v>0.1</v>
      </c>
      <c r="G67" s="2960">
        <v>9.9000000000000005E-2</v>
      </c>
    </row>
    <row r="68" spans="1:7">
      <c r="A68" s="2969" t="s">
        <v>110</v>
      </c>
      <c r="B68" s="2958" t="s">
        <v>224</v>
      </c>
      <c r="C68" s="2959">
        <v>9.7000000000000003E-2</v>
      </c>
      <c r="D68" s="2959">
        <v>6.8000000000000005E-2</v>
      </c>
      <c r="E68" s="2959">
        <v>6.6000000000000003E-2</v>
      </c>
      <c r="F68" s="2959">
        <v>0.1</v>
      </c>
      <c r="G68" s="2960">
        <v>8.4000000000000005E-2</v>
      </c>
    </row>
    <row r="69" spans="1:7">
      <c r="A69" s="2969" t="s">
        <v>110</v>
      </c>
      <c r="B69" s="2958" t="s">
        <v>232</v>
      </c>
      <c r="C69" s="2959">
        <v>6.8000000000000005E-2</v>
      </c>
      <c r="D69" s="2959">
        <v>9.8000000000000004E-2</v>
      </c>
      <c r="E69" s="2959">
        <v>9.5000000000000001E-2</v>
      </c>
      <c r="F69" s="2959">
        <v>0.1</v>
      </c>
      <c r="G69" s="2960">
        <v>0.1</v>
      </c>
    </row>
    <row r="70" spans="1:7">
      <c r="A70" s="2969" t="s">
        <v>110</v>
      </c>
      <c r="B70" s="2958" t="s">
        <v>237</v>
      </c>
      <c r="C70" s="2959">
        <v>9.8000000000000004E-2</v>
      </c>
      <c r="D70" s="2959">
        <v>8.8999999999999996E-2</v>
      </c>
      <c r="E70" s="2959">
        <v>5.8999999999999997E-2</v>
      </c>
      <c r="F70" s="2959">
        <v>0.1</v>
      </c>
      <c r="G70" s="2960">
        <v>9.6000000000000002E-2</v>
      </c>
    </row>
    <row r="71" spans="1:7">
      <c r="A71" s="2969" t="s">
        <v>110</v>
      </c>
      <c r="B71" s="2958" t="s">
        <v>246</v>
      </c>
      <c r="C71" s="2959">
        <v>8.8999999999999996E-2</v>
      </c>
      <c r="D71" s="2959">
        <v>9.9000000000000005E-2</v>
      </c>
      <c r="E71" s="2959">
        <v>9.6000000000000002E-2</v>
      </c>
      <c r="F71" s="2959">
        <v>0.1</v>
      </c>
      <c r="G71" s="2960">
        <v>0.1</v>
      </c>
    </row>
    <row r="72" spans="1:7">
      <c r="A72" s="2969" t="s">
        <v>110</v>
      </c>
      <c r="B72" s="2958" t="s">
        <v>253</v>
      </c>
      <c r="C72" s="2959">
        <v>9.9000000000000005E-2</v>
      </c>
      <c r="D72" s="2959">
        <v>0.1</v>
      </c>
      <c r="E72" s="2959">
        <v>7.0000000000000007E-2</v>
      </c>
      <c r="F72" s="2970"/>
      <c r="G72" s="2960">
        <v>0.1</v>
      </c>
    </row>
    <row r="73" spans="1:7">
      <c r="A73" s="2969" t="s">
        <v>110</v>
      </c>
      <c r="B73" s="2958" t="s">
        <v>261</v>
      </c>
      <c r="C73" s="2959">
        <v>0.1</v>
      </c>
      <c r="D73" s="2959">
        <v>0.1</v>
      </c>
      <c r="E73" s="2959">
        <v>9.6000000000000002E-2</v>
      </c>
      <c r="F73" s="2970"/>
      <c r="G73" s="2960">
        <v>0.1</v>
      </c>
    </row>
    <row r="74" spans="1:7">
      <c r="A74" s="2969" t="s">
        <v>110</v>
      </c>
      <c r="B74" s="2958" t="s">
        <v>268</v>
      </c>
      <c r="C74" s="2959">
        <v>0.1</v>
      </c>
      <c r="D74" s="2959">
        <v>0.1</v>
      </c>
      <c r="E74" s="2959">
        <v>9.8000000000000004E-2</v>
      </c>
      <c r="F74" s="2970"/>
      <c r="G74" s="2960">
        <v>0.1</v>
      </c>
    </row>
    <row r="75" spans="1:7">
      <c r="A75" s="2969" t="s">
        <v>110</v>
      </c>
      <c r="B75" s="2958" t="s">
        <v>272</v>
      </c>
      <c r="C75" s="2959">
        <v>0.1</v>
      </c>
      <c r="D75" s="2959">
        <v>9.9000000000000005E-2</v>
      </c>
      <c r="E75" s="2959">
        <v>9.8000000000000004E-2</v>
      </c>
      <c r="F75" s="2970"/>
      <c r="G75" s="2960">
        <v>0.1</v>
      </c>
    </row>
    <row r="76" spans="1:7">
      <c r="A76" s="2969" t="s">
        <v>110</v>
      </c>
      <c r="B76" s="2958" t="s">
        <v>278</v>
      </c>
      <c r="C76" s="2959">
        <v>9.9000000000000005E-2</v>
      </c>
      <c r="D76" s="2959">
        <v>0.1</v>
      </c>
      <c r="E76" s="2959">
        <v>9.7000000000000003E-2</v>
      </c>
      <c r="F76" s="2970"/>
      <c r="G76" s="2960">
        <v>0.1</v>
      </c>
    </row>
    <row r="77" spans="1:7">
      <c r="A77" s="2969" t="s">
        <v>110</v>
      </c>
      <c r="B77" s="2958" t="s">
        <v>281</v>
      </c>
      <c r="C77" s="2959">
        <v>0.1</v>
      </c>
      <c r="D77" s="2959">
        <v>0.1</v>
      </c>
      <c r="E77" s="2959">
        <v>9.6000000000000002E-2</v>
      </c>
      <c r="F77" s="2970"/>
      <c r="G77" s="2960">
        <v>0.1</v>
      </c>
    </row>
    <row r="78" spans="1:7">
      <c r="A78" s="2969" t="s">
        <v>110</v>
      </c>
      <c r="B78" s="2958" t="s">
        <v>2936</v>
      </c>
      <c r="C78" s="2959">
        <v>0.1</v>
      </c>
      <c r="D78" s="2959">
        <v>8.5000000000000006E-2</v>
      </c>
      <c r="E78" s="2959">
        <v>9.6000000000000002E-2</v>
      </c>
      <c r="F78" s="2970"/>
      <c r="G78" s="2960">
        <v>9.6000000000000002E-2</v>
      </c>
    </row>
    <row r="79" spans="1:7">
      <c r="A79" s="2969" t="s">
        <v>110</v>
      </c>
      <c r="B79" s="2958" t="s">
        <v>2939</v>
      </c>
      <c r="C79" s="2959">
        <v>0.05</v>
      </c>
      <c r="D79" s="2959">
        <v>9.6000000000000002E-2</v>
      </c>
      <c r="E79" s="2959">
        <v>9.5000000000000001E-2</v>
      </c>
      <c r="F79" s="2970"/>
      <c r="G79" s="2960">
        <v>9.8000000000000004E-2</v>
      </c>
    </row>
    <row r="80" spans="1:7">
      <c r="A80" s="2969" t="s">
        <v>110</v>
      </c>
      <c r="B80" s="2958" t="s">
        <v>2943</v>
      </c>
      <c r="C80" s="2959">
        <v>8.5999999999999993E-2</v>
      </c>
      <c r="D80" s="2975"/>
      <c r="E80" s="2959">
        <v>0.1</v>
      </c>
      <c r="F80" s="2970"/>
      <c r="G80" s="2971"/>
    </row>
    <row r="81" spans="1:7">
      <c r="A81" s="2969" t="s">
        <v>110</v>
      </c>
      <c r="B81" s="2958" t="s">
        <v>2948</v>
      </c>
      <c r="C81" s="2959">
        <v>9.6000000000000002E-2</v>
      </c>
      <c r="D81" s="2970"/>
      <c r="E81" s="2959">
        <v>9.8000000000000004E-2</v>
      </c>
      <c r="F81" s="2970"/>
      <c r="G81" s="2971"/>
    </row>
    <row r="82" spans="1:7">
      <c r="A82" s="2969" t="s">
        <v>110</v>
      </c>
      <c r="B82" s="2958" t="s">
        <v>2955</v>
      </c>
      <c r="C82" s="2975"/>
      <c r="D82" s="2970"/>
      <c r="E82" s="2959">
        <v>7.6999999999999999E-2</v>
      </c>
      <c r="F82" s="2970"/>
      <c r="G82" s="2971"/>
    </row>
    <row r="83" spans="1:7">
      <c r="A83" s="2969" t="s">
        <v>110</v>
      </c>
      <c r="B83" s="2958" t="s">
        <v>2961</v>
      </c>
      <c r="C83" s="2970"/>
      <c r="D83" s="2970"/>
      <c r="E83" s="2970"/>
      <c r="F83" s="2959">
        <v>0.1</v>
      </c>
      <c r="G83" s="2976"/>
    </row>
    <row r="84" spans="1:7">
      <c r="A84" s="2969" t="s">
        <v>110</v>
      </c>
      <c r="B84" s="2958" t="s">
        <v>2968</v>
      </c>
      <c r="C84" s="2970"/>
      <c r="D84" s="2970"/>
      <c r="E84" s="2970"/>
      <c r="F84" s="2959">
        <v>0.1</v>
      </c>
      <c r="G84" s="2976"/>
    </row>
    <row r="85" spans="1:7">
      <c r="A85" s="2969" t="s">
        <v>110</v>
      </c>
      <c r="B85" s="2958" t="s">
        <v>2975</v>
      </c>
      <c r="C85" s="2970"/>
      <c r="D85" s="2970"/>
      <c r="E85" s="2970"/>
      <c r="F85" s="2959">
        <v>0.1</v>
      </c>
      <c r="G85" s="2976"/>
    </row>
    <row r="86" spans="1:7" ht="14.25" thickBot="1">
      <c r="A86" s="2972" t="s">
        <v>110</v>
      </c>
      <c r="B86" s="2962" t="s">
        <v>2980</v>
      </c>
      <c r="C86" s="2963">
        <v>9.8000000000000004E-2</v>
      </c>
      <c r="D86" s="2963">
        <v>9.8000000000000004E-2</v>
      </c>
      <c r="E86" s="2963">
        <v>9.6000000000000002E-2</v>
      </c>
      <c r="F86" s="2973"/>
      <c r="G86" s="2965">
        <v>0.1</v>
      </c>
    </row>
    <row r="87" spans="1:7">
      <c r="A87" s="2968" t="s">
        <v>303</v>
      </c>
      <c r="B87" s="2954" t="s">
        <v>2856</v>
      </c>
      <c r="C87" s="2955">
        <v>0.1</v>
      </c>
      <c r="D87" s="2955">
        <v>0.1</v>
      </c>
      <c r="E87" s="2955">
        <v>9.8000000000000004E-2</v>
      </c>
      <c r="F87" s="2955">
        <v>0.1</v>
      </c>
      <c r="G87" s="2956">
        <v>0.1</v>
      </c>
    </row>
    <row r="88" spans="1:7">
      <c r="A88" s="2969" t="s">
        <v>303</v>
      </c>
      <c r="B88" s="2958" t="s">
        <v>131</v>
      </c>
      <c r="C88" s="2959">
        <v>9.0999999999999998E-2</v>
      </c>
      <c r="D88" s="2959">
        <v>9.1999999999999998E-2</v>
      </c>
      <c r="E88" s="2959">
        <v>0.1</v>
      </c>
      <c r="F88" s="2959">
        <v>0.1</v>
      </c>
      <c r="G88" s="2960">
        <v>9.6000000000000002E-2</v>
      </c>
    </row>
    <row r="89" spans="1:7">
      <c r="A89" s="2969" t="s">
        <v>303</v>
      </c>
      <c r="B89" s="2958" t="s">
        <v>140</v>
      </c>
      <c r="C89" s="2959">
        <v>0.1</v>
      </c>
      <c r="D89" s="2959">
        <v>0.1</v>
      </c>
      <c r="E89" s="2959">
        <v>6.7000000000000004E-2</v>
      </c>
      <c r="F89" s="2959">
        <v>9.2999999999999999E-2</v>
      </c>
      <c r="G89" s="2960">
        <v>0.1</v>
      </c>
    </row>
    <row r="90" spans="1:7">
      <c r="A90" s="2969" t="s">
        <v>303</v>
      </c>
      <c r="B90" s="2958" t="s">
        <v>149</v>
      </c>
      <c r="C90" s="2959">
        <v>9.6000000000000002E-2</v>
      </c>
      <c r="D90" s="2959">
        <v>9.6000000000000002E-2</v>
      </c>
      <c r="E90" s="2959">
        <v>0.1</v>
      </c>
      <c r="F90" s="2959">
        <v>0.1</v>
      </c>
      <c r="G90" s="2960">
        <v>9.8000000000000004E-2</v>
      </c>
    </row>
    <row r="91" spans="1:7">
      <c r="A91" s="2969" t="s">
        <v>303</v>
      </c>
      <c r="B91" s="2958" t="s">
        <v>158</v>
      </c>
      <c r="C91" s="2959">
        <v>7.6999999999999999E-2</v>
      </c>
      <c r="D91" s="2959">
        <v>7.6999999999999999E-2</v>
      </c>
      <c r="E91" s="2959">
        <v>9.6000000000000002E-2</v>
      </c>
      <c r="F91" s="2959">
        <v>0.1</v>
      </c>
      <c r="G91" s="2960">
        <v>7.6999999999999999E-2</v>
      </c>
    </row>
    <row r="92" spans="1:7">
      <c r="A92" s="2969" t="s">
        <v>303</v>
      </c>
      <c r="B92" s="2958" t="s">
        <v>165</v>
      </c>
      <c r="C92" s="2959">
        <v>0.1</v>
      </c>
      <c r="D92" s="2959">
        <v>0.1</v>
      </c>
      <c r="E92" s="2959">
        <v>9.1999999999999998E-2</v>
      </c>
      <c r="F92" s="2959">
        <v>0.1</v>
      </c>
      <c r="G92" s="2960">
        <v>0.1</v>
      </c>
    </row>
    <row r="93" spans="1:7">
      <c r="A93" s="2969" t="s">
        <v>303</v>
      </c>
      <c r="B93" s="2958" t="s">
        <v>171</v>
      </c>
      <c r="C93" s="2959">
        <v>9.8000000000000004E-2</v>
      </c>
      <c r="D93" s="2959">
        <v>9.8000000000000004E-2</v>
      </c>
      <c r="E93" s="2959">
        <v>9.6000000000000002E-2</v>
      </c>
      <c r="F93" s="2959">
        <v>0.1</v>
      </c>
      <c r="G93" s="2960">
        <v>9.9000000000000005E-2</v>
      </c>
    </row>
    <row r="94" spans="1:7">
      <c r="A94" s="2969" t="s">
        <v>303</v>
      </c>
      <c r="B94" s="2958" t="s">
        <v>178</v>
      </c>
      <c r="C94" s="2959">
        <v>8.7999999999999995E-2</v>
      </c>
      <c r="D94" s="2959">
        <v>8.7999999999999995E-2</v>
      </c>
      <c r="E94" s="2959">
        <v>9.6000000000000002E-2</v>
      </c>
      <c r="F94" s="2959">
        <v>0.1</v>
      </c>
      <c r="G94" s="2960">
        <v>8.7999999999999995E-2</v>
      </c>
    </row>
    <row r="95" spans="1:7">
      <c r="A95" s="2969" t="s">
        <v>303</v>
      </c>
      <c r="B95" s="2958" t="s">
        <v>188</v>
      </c>
      <c r="C95" s="2959">
        <v>9.6000000000000002E-2</v>
      </c>
      <c r="D95" s="2959">
        <v>9.6000000000000002E-2</v>
      </c>
      <c r="E95" s="2959">
        <v>0.1</v>
      </c>
      <c r="F95" s="2959">
        <v>0.1</v>
      </c>
      <c r="G95" s="2960">
        <v>9.8000000000000004E-2</v>
      </c>
    </row>
    <row r="96" spans="1:7">
      <c r="A96" s="2969" t="s">
        <v>303</v>
      </c>
      <c r="B96" s="2958" t="s">
        <v>197</v>
      </c>
      <c r="C96" s="2959">
        <v>9.7000000000000003E-2</v>
      </c>
      <c r="D96" s="2959">
        <v>9.7000000000000003E-2</v>
      </c>
      <c r="E96" s="2959">
        <v>0.1</v>
      </c>
      <c r="F96" s="2959">
        <v>0.1</v>
      </c>
      <c r="G96" s="2960">
        <v>9.8000000000000004E-2</v>
      </c>
    </row>
    <row r="97" spans="1:7">
      <c r="A97" s="2969" t="s">
        <v>303</v>
      </c>
      <c r="B97" s="2958" t="s">
        <v>204</v>
      </c>
      <c r="C97" s="2959">
        <v>9.6000000000000002E-2</v>
      </c>
      <c r="D97" s="2959">
        <v>9.6000000000000002E-2</v>
      </c>
      <c r="E97" s="2959">
        <v>9.9000000000000005E-2</v>
      </c>
      <c r="F97" s="2959">
        <v>0.1</v>
      </c>
      <c r="G97" s="2960">
        <v>9.8000000000000004E-2</v>
      </c>
    </row>
    <row r="98" spans="1:7">
      <c r="A98" s="2969" t="s">
        <v>303</v>
      </c>
      <c r="B98" s="2958" t="s">
        <v>211</v>
      </c>
      <c r="C98" s="2959">
        <v>9.8000000000000004E-2</v>
      </c>
      <c r="D98" s="2959">
        <v>9.8000000000000004E-2</v>
      </c>
      <c r="E98" s="2959">
        <v>0.1</v>
      </c>
      <c r="F98" s="2959">
        <v>0.1</v>
      </c>
      <c r="G98" s="2960">
        <v>9.9000000000000005E-2</v>
      </c>
    </row>
    <row r="99" spans="1:7">
      <c r="A99" s="2969" t="s">
        <v>303</v>
      </c>
      <c r="B99" s="2958" t="s">
        <v>217</v>
      </c>
      <c r="C99" s="2959">
        <v>9.6000000000000002E-2</v>
      </c>
      <c r="D99" s="2959">
        <v>9.6000000000000002E-2</v>
      </c>
      <c r="E99" s="2959">
        <v>0.1</v>
      </c>
      <c r="F99" s="2959">
        <v>0.1</v>
      </c>
      <c r="G99" s="2960">
        <v>9.7000000000000003E-2</v>
      </c>
    </row>
    <row r="100" spans="1:7">
      <c r="A100" s="2969" t="s">
        <v>303</v>
      </c>
      <c r="B100" s="2958" t="s">
        <v>225</v>
      </c>
      <c r="C100" s="2959">
        <v>0.1</v>
      </c>
      <c r="D100" s="2959">
        <v>0.1</v>
      </c>
      <c r="E100" s="2959">
        <v>9.7000000000000003E-2</v>
      </c>
      <c r="F100" s="2959">
        <v>9.8000000000000004E-2</v>
      </c>
      <c r="G100" s="2960">
        <v>0.1</v>
      </c>
    </row>
    <row r="101" spans="1:7">
      <c r="A101" s="2969" t="s">
        <v>303</v>
      </c>
      <c r="B101" s="2958" t="s">
        <v>233</v>
      </c>
      <c r="C101" s="2959">
        <v>0.1</v>
      </c>
      <c r="D101" s="2959">
        <v>0.1</v>
      </c>
      <c r="E101" s="2959">
        <v>9.5000000000000001E-2</v>
      </c>
      <c r="F101" s="2959">
        <v>0.1</v>
      </c>
      <c r="G101" s="2960">
        <v>0.1</v>
      </c>
    </row>
    <row r="102" spans="1:7">
      <c r="A102" s="2969" t="s">
        <v>303</v>
      </c>
      <c r="B102" s="2958" t="s">
        <v>238</v>
      </c>
      <c r="C102" s="2959">
        <v>0.1</v>
      </c>
      <c r="D102" s="2959">
        <v>0.1</v>
      </c>
      <c r="E102" s="2959">
        <v>9.9000000000000005E-2</v>
      </c>
      <c r="F102" s="2959">
        <v>9.7000000000000003E-2</v>
      </c>
      <c r="G102" s="2960">
        <v>0.1</v>
      </c>
    </row>
    <row r="103" spans="1:7">
      <c r="A103" s="2969" t="s">
        <v>303</v>
      </c>
      <c r="B103" s="2958" t="s">
        <v>247</v>
      </c>
      <c r="C103" s="2959">
        <v>0.1</v>
      </c>
      <c r="D103" s="2959">
        <v>0.1</v>
      </c>
      <c r="E103" s="2959">
        <v>9.8000000000000004E-2</v>
      </c>
      <c r="F103" s="2959">
        <v>0.1</v>
      </c>
      <c r="G103" s="2960">
        <v>0.1</v>
      </c>
    </row>
    <row r="104" spans="1:7">
      <c r="A104" s="2969" t="s">
        <v>303</v>
      </c>
      <c r="B104" s="2958" t="s">
        <v>254</v>
      </c>
      <c r="C104" s="2959">
        <v>0.1</v>
      </c>
      <c r="D104" s="2959">
        <v>0.1</v>
      </c>
      <c r="E104" s="2959">
        <v>9.8000000000000004E-2</v>
      </c>
      <c r="F104" s="2959">
        <v>0.1</v>
      </c>
      <c r="G104" s="2960">
        <v>0.1</v>
      </c>
    </row>
    <row r="105" spans="1:7">
      <c r="A105" s="2969" t="s">
        <v>303</v>
      </c>
      <c r="B105" s="2958" t="s">
        <v>262</v>
      </c>
      <c r="C105" s="2959">
        <v>9.8000000000000004E-2</v>
      </c>
      <c r="D105" s="2959">
        <v>9.8000000000000004E-2</v>
      </c>
      <c r="E105" s="2959">
        <v>9.8000000000000004E-2</v>
      </c>
      <c r="F105" s="2959">
        <v>0.1</v>
      </c>
      <c r="G105" s="2960">
        <v>9.9000000000000005E-2</v>
      </c>
    </row>
    <row r="106" spans="1:7">
      <c r="A106" s="2969" t="s">
        <v>303</v>
      </c>
      <c r="B106" s="2958" t="s">
        <v>269</v>
      </c>
      <c r="C106" s="2959">
        <v>9.7000000000000003E-2</v>
      </c>
      <c r="D106" s="2959">
        <v>9.7000000000000003E-2</v>
      </c>
      <c r="E106" s="2959">
        <v>9.7000000000000003E-2</v>
      </c>
      <c r="F106" s="2959">
        <v>0.1</v>
      </c>
      <c r="G106" s="2960">
        <v>9.9000000000000005E-2</v>
      </c>
    </row>
    <row r="107" spans="1:7">
      <c r="A107" s="2969" t="s">
        <v>303</v>
      </c>
      <c r="B107" s="2958" t="s">
        <v>273</v>
      </c>
      <c r="C107" s="2959">
        <v>0.1</v>
      </c>
      <c r="D107" s="2959">
        <v>0.1</v>
      </c>
      <c r="E107" s="2959">
        <v>8.5999999999999993E-2</v>
      </c>
      <c r="F107" s="2959">
        <v>0.09</v>
      </c>
      <c r="G107" s="2960">
        <v>0.1</v>
      </c>
    </row>
    <row r="108" spans="1:7">
      <c r="A108" s="2969" t="s">
        <v>303</v>
      </c>
      <c r="B108" s="2958" t="s">
        <v>279</v>
      </c>
      <c r="C108" s="2959">
        <v>0.1</v>
      </c>
      <c r="D108" s="2959">
        <v>0.1</v>
      </c>
      <c r="E108" s="2959">
        <v>9.6000000000000002E-2</v>
      </c>
      <c r="F108" s="2970"/>
      <c r="G108" s="2960">
        <v>0.1</v>
      </c>
    </row>
    <row r="109" spans="1:7">
      <c r="A109" s="2969" t="s">
        <v>303</v>
      </c>
      <c r="B109" s="2958" t="s">
        <v>282</v>
      </c>
      <c r="C109" s="2959">
        <v>0.1</v>
      </c>
      <c r="D109" s="2959">
        <v>0.1</v>
      </c>
      <c r="E109" s="2959">
        <v>0.1</v>
      </c>
      <c r="F109" s="2970"/>
      <c r="G109" s="2960">
        <v>0.1</v>
      </c>
    </row>
    <row r="110" spans="1:7">
      <c r="A110" s="2969" t="s">
        <v>303</v>
      </c>
      <c r="B110" s="2958" t="s">
        <v>284</v>
      </c>
      <c r="C110" s="2959">
        <v>0.1</v>
      </c>
      <c r="D110" s="2959">
        <v>0.1</v>
      </c>
      <c r="E110" s="2959">
        <v>0.1</v>
      </c>
      <c r="F110" s="2970"/>
      <c r="G110" s="2960">
        <v>0.1</v>
      </c>
    </row>
    <row r="111" spans="1:7">
      <c r="A111" s="2969" t="s">
        <v>303</v>
      </c>
      <c r="B111" s="2958" t="s">
        <v>287</v>
      </c>
      <c r="C111" s="2959">
        <v>0.1</v>
      </c>
      <c r="D111" s="2959">
        <v>0.1</v>
      </c>
      <c r="E111" s="2959">
        <v>9.5000000000000001E-2</v>
      </c>
      <c r="F111" s="2970"/>
      <c r="G111" s="2960">
        <v>0.1</v>
      </c>
    </row>
    <row r="112" spans="1:7">
      <c r="A112" s="2969" t="s">
        <v>303</v>
      </c>
      <c r="B112" s="2958" t="s">
        <v>291</v>
      </c>
      <c r="C112" s="2959">
        <v>9.7000000000000003E-2</v>
      </c>
      <c r="D112" s="2959">
        <v>9.7000000000000003E-2</v>
      </c>
      <c r="E112" s="2959">
        <v>0.05</v>
      </c>
      <c r="F112" s="2970"/>
      <c r="G112" s="2960">
        <v>9.8000000000000004E-2</v>
      </c>
    </row>
    <row r="113" spans="1:7">
      <c r="A113" s="2969" t="s">
        <v>303</v>
      </c>
      <c r="B113" s="2958" t="s">
        <v>2949</v>
      </c>
      <c r="C113" s="2959">
        <v>0.1</v>
      </c>
      <c r="D113" s="2959">
        <v>0.1</v>
      </c>
      <c r="E113" s="2970"/>
      <c r="F113" s="2970"/>
      <c r="G113" s="2960">
        <v>0.1</v>
      </c>
    </row>
    <row r="114" spans="1:7">
      <c r="A114" s="2969" t="s">
        <v>303</v>
      </c>
      <c r="B114" s="2958" t="s">
        <v>2956</v>
      </c>
      <c r="C114" s="2959">
        <v>9.7000000000000003E-2</v>
      </c>
      <c r="D114" s="2959">
        <v>9.7000000000000003E-2</v>
      </c>
      <c r="E114" s="2970"/>
      <c r="F114" s="2970"/>
      <c r="G114" s="2960">
        <v>9.9000000000000005E-2</v>
      </c>
    </row>
    <row r="115" spans="1:7">
      <c r="A115" s="2969" t="s">
        <v>303</v>
      </c>
      <c r="B115" s="2958" t="s">
        <v>2962</v>
      </c>
      <c r="C115" s="2959">
        <v>0.1</v>
      </c>
      <c r="D115" s="2959">
        <v>0.1</v>
      </c>
      <c r="E115" s="2970"/>
      <c r="F115" s="2970"/>
      <c r="G115" s="2960">
        <v>0.1</v>
      </c>
    </row>
    <row r="116" spans="1:7">
      <c r="A116" s="2969" t="s">
        <v>303</v>
      </c>
      <c r="B116" s="2958" t="s">
        <v>2969</v>
      </c>
      <c r="C116" s="2959">
        <v>0.1</v>
      </c>
      <c r="D116" s="2959">
        <v>0.1</v>
      </c>
      <c r="E116" s="2970"/>
      <c r="F116" s="2970"/>
      <c r="G116" s="2960">
        <v>0.1</v>
      </c>
    </row>
    <row r="117" spans="1:7">
      <c r="A117" s="2969" t="s">
        <v>303</v>
      </c>
      <c r="B117" s="2958" t="s">
        <v>2976</v>
      </c>
      <c r="C117" s="2959">
        <v>9.7000000000000003E-2</v>
      </c>
      <c r="D117" s="2959">
        <v>9.7000000000000003E-2</v>
      </c>
      <c r="E117" s="2970"/>
      <c r="F117" s="2970"/>
      <c r="G117" s="2960">
        <v>9.7000000000000003E-2</v>
      </c>
    </row>
    <row r="118" spans="1:7">
      <c r="A118" s="2969" t="s">
        <v>303</v>
      </c>
      <c r="B118" s="2958" t="s">
        <v>2981</v>
      </c>
      <c r="C118" s="2959">
        <v>0.1</v>
      </c>
      <c r="D118" s="2959">
        <v>0.1</v>
      </c>
      <c r="E118" s="2970"/>
      <c r="F118" s="2970"/>
      <c r="G118" s="2960">
        <v>0.1</v>
      </c>
    </row>
    <row r="119" spans="1:7">
      <c r="A119" s="2969" t="s">
        <v>303</v>
      </c>
      <c r="B119" s="2958" t="s">
        <v>2985</v>
      </c>
      <c r="C119" s="2959">
        <v>5.0999999999999997E-2</v>
      </c>
      <c r="D119" s="2959">
        <v>5.1999999999999998E-2</v>
      </c>
      <c r="E119" s="2970"/>
      <c r="F119" s="2975"/>
      <c r="G119" s="2960">
        <v>0.06</v>
      </c>
    </row>
    <row r="120" spans="1:7">
      <c r="A120" s="2969" t="s">
        <v>303</v>
      </c>
      <c r="B120" s="2958" t="s">
        <v>2989</v>
      </c>
      <c r="C120" s="2970"/>
      <c r="D120" s="2970"/>
      <c r="E120" s="2970"/>
      <c r="F120" s="2959">
        <v>0.1</v>
      </c>
      <c r="G120" s="2976"/>
    </row>
    <row r="121" spans="1:7">
      <c r="A121" s="2969" t="s">
        <v>303</v>
      </c>
      <c r="B121" s="2958" t="s">
        <v>2994</v>
      </c>
      <c r="C121" s="2970"/>
      <c r="D121" s="2970"/>
      <c r="E121" s="2970"/>
      <c r="F121" s="2959">
        <v>0.1</v>
      </c>
      <c r="G121" s="2976"/>
    </row>
    <row r="122" spans="1:7">
      <c r="A122" s="2969" t="s">
        <v>303</v>
      </c>
      <c r="B122" s="2958" t="s">
        <v>2999</v>
      </c>
      <c r="C122" s="2959">
        <v>0.1</v>
      </c>
      <c r="D122" s="2959">
        <v>0.1</v>
      </c>
      <c r="E122" s="2959">
        <v>9.8000000000000004E-2</v>
      </c>
      <c r="F122" s="2959">
        <v>0.1</v>
      </c>
      <c r="G122" s="2960">
        <v>0.1</v>
      </c>
    </row>
    <row r="123" spans="1:7">
      <c r="A123" s="2969" t="s">
        <v>303</v>
      </c>
      <c r="B123" s="2958" t="s">
        <v>3004</v>
      </c>
      <c r="C123" s="2959">
        <v>0.1</v>
      </c>
      <c r="D123" s="2959">
        <v>0.1</v>
      </c>
      <c r="E123" s="2959">
        <v>9.8000000000000004E-2</v>
      </c>
      <c r="F123" s="2959">
        <v>0.1</v>
      </c>
      <c r="G123" s="2960">
        <v>0.1</v>
      </c>
    </row>
    <row r="124" spans="1:7">
      <c r="A124" s="2969" t="s">
        <v>303</v>
      </c>
      <c r="B124" s="2958" t="s">
        <v>3009</v>
      </c>
      <c r="C124" s="2959">
        <v>0.1</v>
      </c>
      <c r="D124" s="2959">
        <v>0.1</v>
      </c>
      <c r="E124" s="2959">
        <v>9.8000000000000004E-2</v>
      </c>
      <c r="F124" s="2975"/>
      <c r="G124" s="2960">
        <v>0.1</v>
      </c>
    </row>
    <row r="125" spans="1:7">
      <c r="A125" s="2969" t="s">
        <v>303</v>
      </c>
      <c r="B125" s="2958" t="s">
        <v>3014</v>
      </c>
      <c r="C125" s="2959">
        <v>9.8000000000000004E-2</v>
      </c>
      <c r="D125" s="2959">
        <v>9.8000000000000004E-2</v>
      </c>
      <c r="E125" s="2959">
        <v>9.6000000000000002E-2</v>
      </c>
      <c r="F125" s="2975"/>
      <c r="G125" s="2960">
        <v>0.1</v>
      </c>
    </row>
    <row r="126" spans="1:7" ht="14.25" thickBot="1">
      <c r="A126" s="2972" t="s">
        <v>303</v>
      </c>
      <c r="B126" s="2962" t="s">
        <v>3180</v>
      </c>
      <c r="C126" s="2963">
        <v>0.1</v>
      </c>
      <c r="D126" s="2963">
        <v>0.1</v>
      </c>
      <c r="E126" s="2963">
        <v>9.8000000000000004E-2</v>
      </c>
      <c r="F126" s="2963">
        <v>0.1</v>
      </c>
      <c r="G126" s="2965">
        <v>0.1</v>
      </c>
    </row>
    <row r="127" spans="1:7">
      <c r="A127" s="2968" t="s">
        <v>29</v>
      </c>
      <c r="B127" s="2954" t="s">
        <v>2857</v>
      </c>
      <c r="C127" s="2955">
        <v>0.121</v>
      </c>
      <c r="D127" s="2955">
        <v>0.121</v>
      </c>
      <c r="E127" s="2955">
        <v>0.107</v>
      </c>
      <c r="F127" s="2955">
        <v>0.13</v>
      </c>
      <c r="G127" s="2956">
        <v>0.122</v>
      </c>
    </row>
    <row r="128" spans="1:7">
      <c r="A128" s="2969" t="s">
        <v>29</v>
      </c>
      <c r="B128" s="2958" t="s">
        <v>132</v>
      </c>
      <c r="C128" s="2959">
        <v>0.11600000000000001</v>
      </c>
      <c r="D128" s="2959">
        <v>0.11700000000000001</v>
      </c>
      <c r="E128" s="2959">
        <v>0.104</v>
      </c>
      <c r="F128" s="2959">
        <v>0.13</v>
      </c>
      <c r="G128" s="2960">
        <v>0.11700000000000001</v>
      </c>
    </row>
    <row r="129" spans="1:7">
      <c r="A129" s="2969" t="s">
        <v>29</v>
      </c>
      <c r="B129" s="2958" t="s">
        <v>141</v>
      </c>
      <c r="C129" s="2959">
        <v>0.107</v>
      </c>
      <c r="D129" s="2959">
        <v>0.108</v>
      </c>
      <c r="E129" s="2959">
        <v>0.1</v>
      </c>
      <c r="F129" s="2959">
        <v>0.13</v>
      </c>
      <c r="G129" s="2960">
        <v>0.11700000000000001</v>
      </c>
    </row>
    <row r="130" spans="1:7">
      <c r="A130" s="2969" t="s">
        <v>29</v>
      </c>
      <c r="B130" s="2958" t="s">
        <v>150</v>
      </c>
      <c r="C130" s="2959">
        <v>0.13</v>
      </c>
      <c r="D130" s="2959">
        <v>0.13</v>
      </c>
      <c r="E130" s="2959">
        <v>0.126</v>
      </c>
      <c r="F130" s="2959">
        <v>0.13</v>
      </c>
      <c r="G130" s="2960">
        <v>0.13</v>
      </c>
    </row>
    <row r="131" spans="1:7">
      <c r="A131" s="2969" t="s">
        <v>29</v>
      </c>
      <c r="B131" s="2958" t="s">
        <v>159</v>
      </c>
      <c r="C131" s="2959">
        <v>0.13</v>
      </c>
      <c r="D131" s="2959">
        <v>0.13</v>
      </c>
      <c r="E131" s="2959">
        <v>0.13</v>
      </c>
      <c r="F131" s="2959">
        <v>0.13</v>
      </c>
      <c r="G131" s="2960">
        <v>0.13</v>
      </c>
    </row>
    <row r="132" spans="1:7">
      <c r="A132" s="2969" t="s">
        <v>29</v>
      </c>
      <c r="B132" s="2958" t="s">
        <v>166</v>
      </c>
      <c r="C132" s="2959">
        <v>0.13</v>
      </c>
      <c r="D132" s="2959">
        <v>0.13</v>
      </c>
      <c r="E132" s="2959">
        <v>0.126</v>
      </c>
      <c r="F132" s="2959">
        <v>0.13</v>
      </c>
      <c r="G132" s="2960">
        <v>0.13</v>
      </c>
    </row>
    <row r="133" spans="1:7">
      <c r="A133" s="2969" t="s">
        <v>29</v>
      </c>
      <c r="B133" s="2958" t="s">
        <v>172</v>
      </c>
      <c r="C133" s="2959">
        <v>0.111</v>
      </c>
      <c r="D133" s="2959">
        <v>0.111</v>
      </c>
      <c r="E133" s="2959">
        <v>0.10199999999999999</v>
      </c>
      <c r="F133" s="2959">
        <v>0.13</v>
      </c>
      <c r="G133" s="2960">
        <v>0.121</v>
      </c>
    </row>
    <row r="134" spans="1:7">
      <c r="A134" s="2969" t="s">
        <v>29</v>
      </c>
      <c r="B134" s="2958" t="s">
        <v>179</v>
      </c>
      <c r="C134" s="2959">
        <v>0.121</v>
      </c>
      <c r="D134" s="2959">
        <v>0.121</v>
      </c>
      <c r="E134" s="2959">
        <v>0.1</v>
      </c>
      <c r="F134" s="2959">
        <v>0.13</v>
      </c>
      <c r="G134" s="2960">
        <v>0.123</v>
      </c>
    </row>
    <row r="135" spans="1:7">
      <c r="A135" s="2969" t="s">
        <v>29</v>
      </c>
      <c r="B135" s="2958" t="s">
        <v>189</v>
      </c>
      <c r="C135" s="2959">
        <v>0.105</v>
      </c>
      <c r="D135" s="2959">
        <v>0.106</v>
      </c>
      <c r="E135" s="2959">
        <v>0.1</v>
      </c>
      <c r="F135" s="2959">
        <v>0.13</v>
      </c>
      <c r="G135" s="2960">
        <v>0.115</v>
      </c>
    </row>
    <row r="136" spans="1:7">
      <c r="A136" s="2969" t="s">
        <v>29</v>
      </c>
      <c r="B136" s="2958" t="s">
        <v>198</v>
      </c>
      <c r="C136" s="2959">
        <v>0.127</v>
      </c>
      <c r="D136" s="2959">
        <v>0.127</v>
      </c>
      <c r="E136" s="2959">
        <v>0.121</v>
      </c>
      <c r="F136" s="2959">
        <v>0.123</v>
      </c>
      <c r="G136" s="2960">
        <v>0.129</v>
      </c>
    </row>
    <row r="137" spans="1:7">
      <c r="A137" s="2969" t="s">
        <v>29</v>
      </c>
      <c r="B137" s="2958" t="s">
        <v>205</v>
      </c>
      <c r="C137" s="2959">
        <v>0.13</v>
      </c>
      <c r="D137" s="2959">
        <v>0.13</v>
      </c>
      <c r="E137" s="2959">
        <v>0.129</v>
      </c>
      <c r="F137" s="2959">
        <v>0.13</v>
      </c>
      <c r="G137" s="2960">
        <v>0.13</v>
      </c>
    </row>
    <row r="138" spans="1:7">
      <c r="A138" s="2969" t="s">
        <v>29</v>
      </c>
      <c r="B138" s="2958" t="s">
        <v>212</v>
      </c>
      <c r="C138" s="2959">
        <v>0.13</v>
      </c>
      <c r="D138" s="2959">
        <v>0.13</v>
      </c>
      <c r="E138" s="2959">
        <v>0.125</v>
      </c>
      <c r="F138" s="2959">
        <v>0.13</v>
      </c>
      <c r="G138" s="2960">
        <v>0.13</v>
      </c>
    </row>
    <row r="139" spans="1:7">
      <c r="A139" s="2969" t="s">
        <v>29</v>
      </c>
      <c r="B139" s="2958" t="s">
        <v>218</v>
      </c>
      <c r="C139" s="2959">
        <v>0.13</v>
      </c>
      <c r="D139" s="2959">
        <v>0.13</v>
      </c>
      <c r="E139" s="2959">
        <v>0.126</v>
      </c>
      <c r="F139" s="2959">
        <v>0.13</v>
      </c>
      <c r="G139" s="2960">
        <v>0.13</v>
      </c>
    </row>
    <row r="140" spans="1:7">
      <c r="A140" s="2969" t="s">
        <v>29</v>
      </c>
      <c r="B140" s="2958" t="s">
        <v>226</v>
      </c>
      <c r="C140" s="2959">
        <v>0.1</v>
      </c>
      <c r="D140" s="2959">
        <v>0.1</v>
      </c>
      <c r="E140" s="2959">
        <v>0.1</v>
      </c>
      <c r="F140" s="2959">
        <v>0.123</v>
      </c>
      <c r="G140" s="2960">
        <v>0.107</v>
      </c>
    </row>
    <row r="141" spans="1:7">
      <c r="A141" s="2969" t="s">
        <v>29</v>
      </c>
      <c r="B141" s="2958" t="s">
        <v>234</v>
      </c>
      <c r="C141" s="2959">
        <v>0.127</v>
      </c>
      <c r="D141" s="2959">
        <v>0.127</v>
      </c>
      <c r="E141" s="2959">
        <v>0.122</v>
      </c>
      <c r="F141" s="2959">
        <v>0.1</v>
      </c>
      <c r="G141" s="2960">
        <v>0.129</v>
      </c>
    </row>
    <row r="142" spans="1:7">
      <c r="A142" s="2969" t="s">
        <v>29</v>
      </c>
      <c r="B142" s="2958" t="s">
        <v>239</v>
      </c>
      <c r="C142" s="2959">
        <v>0.121</v>
      </c>
      <c r="D142" s="2959">
        <v>0.122</v>
      </c>
      <c r="E142" s="2959">
        <v>0.1</v>
      </c>
      <c r="F142" s="2959">
        <v>0.123</v>
      </c>
      <c r="G142" s="2960">
        <v>0.123</v>
      </c>
    </row>
    <row r="143" spans="1:7">
      <c r="A143" s="2969" t="s">
        <v>29</v>
      </c>
      <c r="B143" s="2958" t="s">
        <v>248</v>
      </c>
      <c r="C143" s="2959">
        <v>0.1</v>
      </c>
      <c r="D143" s="2959">
        <v>0.1</v>
      </c>
      <c r="E143" s="2959">
        <v>0.1</v>
      </c>
      <c r="F143" s="2959">
        <v>0.13</v>
      </c>
      <c r="G143" s="2960">
        <v>0.1</v>
      </c>
    </row>
    <row r="144" spans="1:7">
      <c r="A144" s="2969" t="s">
        <v>29</v>
      </c>
      <c r="B144" s="2958" t="s">
        <v>255</v>
      </c>
      <c r="C144" s="2959">
        <v>0.106</v>
      </c>
      <c r="D144" s="2959">
        <v>0.105</v>
      </c>
      <c r="E144" s="2959">
        <v>0.1</v>
      </c>
      <c r="F144" s="2959">
        <v>0.13</v>
      </c>
      <c r="G144" s="2960">
        <v>0.11799999999999999</v>
      </c>
    </row>
    <row r="145" spans="1:7">
      <c r="A145" s="2969" t="s">
        <v>29</v>
      </c>
      <c r="B145" s="2958" t="s">
        <v>263</v>
      </c>
      <c r="C145" s="2959">
        <v>0.123</v>
      </c>
      <c r="D145" s="2959">
        <v>0.123</v>
      </c>
      <c r="E145" s="2959">
        <v>0.11700000000000001</v>
      </c>
      <c r="F145" s="2959">
        <v>0.13</v>
      </c>
      <c r="G145" s="2960">
        <v>0.126</v>
      </c>
    </row>
    <row r="146" spans="1:7">
      <c r="A146" s="2969" t="s">
        <v>29</v>
      </c>
      <c r="B146" s="2958" t="s">
        <v>270</v>
      </c>
      <c r="C146" s="2959">
        <v>0.127</v>
      </c>
      <c r="D146" s="2959">
        <v>0.127</v>
      </c>
      <c r="E146" s="2959">
        <v>0.12</v>
      </c>
      <c r="F146" s="2970"/>
      <c r="G146" s="2960">
        <v>0.129</v>
      </c>
    </row>
    <row r="147" spans="1:7">
      <c r="A147" s="2969" t="s">
        <v>29</v>
      </c>
      <c r="B147" s="2958" t="s">
        <v>274</v>
      </c>
      <c r="C147" s="2959">
        <v>0.13</v>
      </c>
      <c r="D147" s="2959">
        <v>0.13</v>
      </c>
      <c r="E147" s="2959">
        <v>0.126</v>
      </c>
      <c r="F147" s="2970"/>
      <c r="G147" s="2960">
        <v>0.13</v>
      </c>
    </row>
    <row r="148" spans="1:7">
      <c r="A148" s="2969" t="s">
        <v>29</v>
      </c>
      <c r="B148" s="2958" t="s">
        <v>2927</v>
      </c>
      <c r="C148" s="2959">
        <v>0.13</v>
      </c>
      <c r="D148" s="2959">
        <v>0.13</v>
      </c>
      <c r="E148" s="2959">
        <v>0.13</v>
      </c>
      <c r="F148" s="2970"/>
      <c r="G148" s="2960">
        <v>0.13</v>
      </c>
    </row>
    <row r="149" spans="1:7">
      <c r="A149" s="2969" t="s">
        <v>29</v>
      </c>
      <c r="B149" s="2958" t="s">
        <v>2931</v>
      </c>
      <c r="C149" s="2959">
        <v>0.13</v>
      </c>
      <c r="D149" s="2959">
        <v>0.13</v>
      </c>
      <c r="E149" s="2959">
        <v>0.13</v>
      </c>
      <c r="F149" s="2959">
        <v>0.13</v>
      </c>
      <c r="G149" s="2960">
        <v>0.13</v>
      </c>
    </row>
    <row r="150" spans="1:7">
      <c r="A150" s="2969" t="s">
        <v>29</v>
      </c>
      <c r="B150" s="2958" t="s">
        <v>292</v>
      </c>
      <c r="C150" s="2959">
        <v>0.13</v>
      </c>
      <c r="D150" s="2959">
        <v>0.13</v>
      </c>
      <c r="E150" s="2959">
        <v>0.127</v>
      </c>
      <c r="F150" s="2959">
        <v>0.13</v>
      </c>
      <c r="G150" s="2960">
        <v>0.13</v>
      </c>
    </row>
    <row r="151" spans="1:7">
      <c r="A151" s="2969" t="s">
        <v>29</v>
      </c>
      <c r="B151" s="2958" t="s">
        <v>294</v>
      </c>
      <c r="C151" s="2959">
        <v>0.13</v>
      </c>
      <c r="D151" s="2959">
        <v>0.13</v>
      </c>
      <c r="E151" s="2959">
        <v>0.13</v>
      </c>
      <c r="F151" s="2959">
        <v>0.13</v>
      </c>
      <c r="G151" s="2960">
        <v>0.13</v>
      </c>
    </row>
    <row r="152" spans="1:7">
      <c r="A152" s="2969" t="s">
        <v>29</v>
      </c>
      <c r="B152" s="2958" t="s">
        <v>297</v>
      </c>
      <c r="C152" s="2959">
        <v>0.13</v>
      </c>
      <c r="D152" s="2959">
        <v>0.13</v>
      </c>
      <c r="E152" s="2959">
        <v>0.13</v>
      </c>
      <c r="F152" s="2959">
        <v>0.13</v>
      </c>
      <c r="G152" s="2960">
        <v>0.13</v>
      </c>
    </row>
    <row r="153" spans="1:7">
      <c r="A153" s="2969" t="s">
        <v>29</v>
      </c>
      <c r="B153" s="2958" t="s">
        <v>2950</v>
      </c>
      <c r="C153" s="2959">
        <v>0.13</v>
      </c>
      <c r="D153" s="2959">
        <v>0.13</v>
      </c>
      <c r="E153" s="2959">
        <v>0.13</v>
      </c>
      <c r="F153" s="2959">
        <v>0.13</v>
      </c>
      <c r="G153" s="2960">
        <v>0.13</v>
      </c>
    </row>
    <row r="154" spans="1:7">
      <c r="A154" s="2969" t="s">
        <v>29</v>
      </c>
      <c r="B154" s="2958" t="s">
        <v>2957</v>
      </c>
      <c r="C154" s="2959">
        <v>0.121</v>
      </c>
      <c r="D154" s="2959">
        <v>0.121</v>
      </c>
      <c r="E154" s="2959">
        <v>0.105</v>
      </c>
      <c r="F154" s="2959">
        <v>0.121</v>
      </c>
      <c r="G154" s="2960">
        <v>0.123</v>
      </c>
    </row>
    <row r="155" spans="1:7">
      <c r="A155" s="2969" t="s">
        <v>29</v>
      </c>
      <c r="B155" s="2958" t="s">
        <v>2963</v>
      </c>
      <c r="C155" s="2959">
        <v>0.1</v>
      </c>
      <c r="D155" s="2959">
        <v>0.1</v>
      </c>
      <c r="E155" s="2959">
        <v>0.1</v>
      </c>
      <c r="F155" s="2959">
        <v>0.1</v>
      </c>
      <c r="G155" s="2960">
        <v>0.1</v>
      </c>
    </row>
    <row r="156" spans="1:7">
      <c r="A156" s="2969" t="s">
        <v>29</v>
      </c>
      <c r="B156" s="2958" t="s">
        <v>2970</v>
      </c>
      <c r="C156" s="2959">
        <v>0.13</v>
      </c>
      <c r="D156" s="2959">
        <v>0.13</v>
      </c>
      <c r="E156" s="2959">
        <v>0.13</v>
      </c>
      <c r="F156" s="2959">
        <v>0.13</v>
      </c>
      <c r="G156" s="2960">
        <v>0.13</v>
      </c>
    </row>
    <row r="157" spans="1:7">
      <c r="A157" s="2969" t="s">
        <v>29</v>
      </c>
      <c r="B157" s="2958" t="s">
        <v>300</v>
      </c>
      <c r="C157" s="2959">
        <v>0.13</v>
      </c>
      <c r="D157" s="2959">
        <v>0.13</v>
      </c>
      <c r="E157" s="2959">
        <v>0.125</v>
      </c>
      <c r="F157" s="2959">
        <v>0.13</v>
      </c>
      <c r="G157" s="2960">
        <v>0.13</v>
      </c>
    </row>
    <row r="158" spans="1:7">
      <c r="A158" s="2969" t="s">
        <v>29</v>
      </c>
      <c r="B158" s="2958" t="s">
        <v>301</v>
      </c>
      <c r="C158" s="2959">
        <v>0.124</v>
      </c>
      <c r="D158" s="2959">
        <v>0.124</v>
      </c>
      <c r="E158" s="2959">
        <v>0.11700000000000001</v>
      </c>
      <c r="F158" s="2959">
        <v>0.121</v>
      </c>
      <c r="G158" s="2960">
        <v>0.124</v>
      </c>
    </row>
    <row r="159" spans="1:7">
      <c r="A159" s="2969" t="s">
        <v>29</v>
      </c>
      <c r="B159" s="2958" t="s">
        <v>302</v>
      </c>
      <c r="C159" s="2959">
        <v>0.127</v>
      </c>
      <c r="D159" s="2959">
        <v>0.127</v>
      </c>
      <c r="E159" s="2959">
        <v>0.122</v>
      </c>
      <c r="F159" s="2959">
        <v>0.13</v>
      </c>
      <c r="G159" s="2960">
        <v>0.129</v>
      </c>
    </row>
    <row r="160" spans="1:7">
      <c r="A160" s="2969" t="s">
        <v>29</v>
      </c>
      <c r="B160" s="2958" t="s">
        <v>2990</v>
      </c>
      <c r="C160" s="2959">
        <v>0.13</v>
      </c>
      <c r="D160" s="2959">
        <v>0.13</v>
      </c>
      <c r="E160" s="2959">
        <v>0.124</v>
      </c>
      <c r="F160" s="2959">
        <v>0.126</v>
      </c>
      <c r="G160" s="2960">
        <v>0.13</v>
      </c>
    </row>
    <row r="161" spans="1:7">
      <c r="A161" s="2969" t="s">
        <v>29</v>
      </c>
      <c r="B161" s="2958" t="s">
        <v>2995</v>
      </c>
      <c r="C161" s="2959">
        <v>0.13</v>
      </c>
      <c r="D161" s="2959">
        <v>0.13</v>
      </c>
      <c r="E161" s="2959">
        <v>0.124</v>
      </c>
      <c r="F161" s="2959">
        <v>0.127</v>
      </c>
      <c r="G161" s="2960">
        <v>0.13</v>
      </c>
    </row>
    <row r="162" spans="1:7">
      <c r="A162" s="2969" t="s">
        <v>29</v>
      </c>
      <c r="B162" s="2958" t="s">
        <v>3000</v>
      </c>
      <c r="C162" s="2959">
        <v>0.1</v>
      </c>
      <c r="D162" s="2959">
        <v>0.1</v>
      </c>
      <c r="E162" s="2959">
        <v>0.1</v>
      </c>
      <c r="F162" s="2959">
        <v>0.121</v>
      </c>
      <c r="G162" s="2960">
        <v>0.105</v>
      </c>
    </row>
    <row r="163" spans="1:7">
      <c r="A163" s="2969" t="s">
        <v>29</v>
      </c>
      <c r="B163" s="2958" t="s">
        <v>3005</v>
      </c>
      <c r="C163" s="2959">
        <v>0.1</v>
      </c>
      <c r="D163" s="2959">
        <v>0.1</v>
      </c>
      <c r="E163" s="2959">
        <v>0.1</v>
      </c>
      <c r="F163" s="2959">
        <v>0.1</v>
      </c>
      <c r="G163" s="2960">
        <v>0.1</v>
      </c>
    </row>
    <row r="164" spans="1:7">
      <c r="A164" s="2969" t="s">
        <v>29</v>
      </c>
      <c r="B164" s="2958" t="s">
        <v>3010</v>
      </c>
      <c r="C164" s="2975"/>
      <c r="D164" s="2975"/>
      <c r="E164" s="2975"/>
      <c r="F164" s="2959">
        <v>0.1</v>
      </c>
      <c r="G164" s="2971"/>
    </row>
    <row r="165" spans="1:7">
      <c r="A165" s="2969" t="s">
        <v>29</v>
      </c>
      <c r="B165" s="2958" t="s">
        <v>3181</v>
      </c>
      <c r="C165" s="2959">
        <v>0.126</v>
      </c>
      <c r="D165" s="2959">
        <v>0.126</v>
      </c>
      <c r="E165" s="2959">
        <v>0.11899999999999999</v>
      </c>
      <c r="F165" s="2959">
        <v>0.13</v>
      </c>
      <c r="G165" s="2960">
        <v>0.128</v>
      </c>
    </row>
    <row r="166" spans="1:7">
      <c r="A166" s="2969" t="s">
        <v>29</v>
      </c>
      <c r="B166" s="2958" t="s">
        <v>3020</v>
      </c>
      <c r="C166" s="2959">
        <v>0.129</v>
      </c>
      <c r="D166" s="2959">
        <v>0.129</v>
      </c>
      <c r="E166" s="2959">
        <v>0.123</v>
      </c>
      <c r="F166" s="2959">
        <v>0.128</v>
      </c>
      <c r="G166" s="2960">
        <v>0.13</v>
      </c>
    </row>
    <row r="167" spans="1:7">
      <c r="A167" s="2969" t="s">
        <v>29</v>
      </c>
      <c r="B167" s="2958" t="s">
        <v>3024</v>
      </c>
      <c r="C167" s="2959">
        <v>0.125</v>
      </c>
      <c r="D167" s="2959">
        <v>0.125</v>
      </c>
      <c r="E167" s="2959">
        <v>0.11700000000000001</v>
      </c>
      <c r="F167" s="2959">
        <v>0.13</v>
      </c>
      <c r="G167" s="2960">
        <v>0.126</v>
      </c>
    </row>
    <row r="168" spans="1:7">
      <c r="A168" s="2969" t="s">
        <v>29</v>
      </c>
      <c r="B168" s="2958" t="s">
        <v>3029</v>
      </c>
      <c r="C168" s="2959">
        <v>0.128</v>
      </c>
      <c r="D168" s="2959">
        <v>0.128</v>
      </c>
      <c r="E168" s="2959">
        <v>0.123</v>
      </c>
      <c r="F168" s="2970"/>
      <c r="G168" s="2960">
        <v>0.13</v>
      </c>
    </row>
    <row r="169" spans="1:7">
      <c r="A169" s="2969" t="s">
        <v>29</v>
      </c>
      <c r="B169" s="2958" t="s">
        <v>3182</v>
      </c>
      <c r="C169" s="2975"/>
      <c r="D169" s="2975"/>
      <c r="E169" s="2975"/>
      <c r="F169" s="2959">
        <v>0.05</v>
      </c>
      <c r="G169" s="2971"/>
    </row>
    <row r="170" spans="1:7">
      <c r="A170" s="2969" t="s">
        <v>29</v>
      </c>
      <c r="B170" s="2958" t="s">
        <v>3183</v>
      </c>
      <c r="C170" s="2975"/>
      <c r="D170" s="2975"/>
      <c r="E170" s="2975"/>
      <c r="F170" s="2959">
        <v>0.05</v>
      </c>
      <c r="G170" s="2971"/>
    </row>
    <row r="171" spans="1:7">
      <c r="A171" s="2969" t="s">
        <v>29</v>
      </c>
      <c r="B171" s="2958" t="s">
        <v>3184</v>
      </c>
      <c r="C171" s="2975"/>
      <c r="D171" s="2975"/>
      <c r="E171" s="2975"/>
      <c r="F171" s="2959">
        <v>0.05</v>
      </c>
      <c r="G171" s="2976"/>
    </row>
    <row r="172" spans="1:7">
      <c r="A172" s="2969" t="s">
        <v>29</v>
      </c>
      <c r="B172" s="2958" t="s">
        <v>3185</v>
      </c>
      <c r="C172" s="2975"/>
      <c r="D172" s="2975"/>
      <c r="E172" s="2975"/>
      <c r="F172" s="2959">
        <v>0.05</v>
      </c>
      <c r="G172" s="2976"/>
    </row>
    <row r="173" spans="1:7">
      <c r="A173" s="2969" t="s">
        <v>29</v>
      </c>
      <c r="B173" s="2958" t="s">
        <v>3186</v>
      </c>
      <c r="C173" s="2975"/>
      <c r="D173" s="2975"/>
      <c r="E173" s="2975"/>
      <c r="F173" s="2959">
        <v>0.05</v>
      </c>
      <c r="G173" s="2971"/>
    </row>
    <row r="174" spans="1:7">
      <c r="A174" s="2969" t="s">
        <v>29</v>
      </c>
      <c r="B174" s="2958" t="s">
        <v>3187</v>
      </c>
      <c r="C174" s="2975"/>
      <c r="D174" s="2975"/>
      <c r="E174" s="2975"/>
      <c r="F174" s="2959">
        <v>0.05</v>
      </c>
      <c r="G174" s="2971"/>
    </row>
    <row r="175" spans="1:7">
      <c r="A175" s="2969" t="s">
        <v>29</v>
      </c>
      <c r="B175" s="2958" t="s">
        <v>3188</v>
      </c>
      <c r="C175" s="2975"/>
      <c r="D175" s="2975"/>
      <c r="E175" s="2975"/>
      <c r="F175" s="2959">
        <v>0.05</v>
      </c>
      <c r="G175" s="2971"/>
    </row>
    <row r="176" spans="1:7">
      <c r="A176" s="2969" t="s">
        <v>29</v>
      </c>
      <c r="B176" s="2958" t="s">
        <v>3189</v>
      </c>
      <c r="C176" s="2975"/>
      <c r="D176" s="2975"/>
      <c r="E176" s="2975"/>
      <c r="F176" s="2959">
        <v>0.05</v>
      </c>
      <c r="G176" s="2971"/>
    </row>
    <row r="177" spans="1:7">
      <c r="A177" s="2969" t="s">
        <v>29</v>
      </c>
      <c r="B177" s="2958" t="s">
        <v>3190</v>
      </c>
      <c r="C177" s="2970"/>
      <c r="D177" s="2970"/>
      <c r="E177" s="2970"/>
      <c r="F177" s="2959">
        <v>0.05</v>
      </c>
      <c r="G177" s="2976"/>
    </row>
    <row r="178" spans="1:7">
      <c r="A178" s="2969" t="s">
        <v>29</v>
      </c>
      <c r="B178" s="2958" t="s">
        <v>3191</v>
      </c>
      <c r="C178" s="2970"/>
      <c r="D178" s="2970"/>
      <c r="E178" s="2970"/>
      <c r="F178" s="2959">
        <v>0.05</v>
      </c>
      <c r="G178" s="2976"/>
    </row>
    <row r="179" spans="1:7">
      <c r="A179" s="2969" t="s">
        <v>29</v>
      </c>
      <c r="B179" s="2958" t="s">
        <v>3192</v>
      </c>
      <c r="C179" s="2970"/>
      <c r="D179" s="2970"/>
      <c r="E179" s="2970"/>
      <c r="F179" s="2959">
        <v>0.05</v>
      </c>
      <c r="G179" s="2976"/>
    </row>
    <row r="180" spans="1:7">
      <c r="A180" s="2969" t="s">
        <v>29</v>
      </c>
      <c r="B180" s="2958" t="s">
        <v>3193</v>
      </c>
      <c r="C180" s="2970"/>
      <c r="D180" s="2970"/>
      <c r="E180" s="2970"/>
      <c r="F180" s="2959">
        <v>0.05</v>
      </c>
      <c r="G180" s="2976"/>
    </row>
    <row r="181" spans="1:7">
      <c r="A181" s="2969" t="s">
        <v>29</v>
      </c>
      <c r="B181" s="2958" t="s">
        <v>3194</v>
      </c>
      <c r="C181" s="2970"/>
      <c r="D181" s="2970"/>
      <c r="E181" s="2970"/>
      <c r="F181" s="2959">
        <v>0.05</v>
      </c>
      <c r="G181" s="2976"/>
    </row>
    <row r="182" spans="1:7">
      <c r="A182" s="2969" t="s">
        <v>29</v>
      </c>
      <c r="B182" s="2958" t="s">
        <v>3195</v>
      </c>
      <c r="C182" s="2970"/>
      <c r="D182" s="2970"/>
      <c r="E182" s="2970"/>
      <c r="F182" s="2959">
        <v>0.05</v>
      </c>
      <c r="G182" s="2976"/>
    </row>
    <row r="183" spans="1:7">
      <c r="A183" s="2969" t="s">
        <v>29</v>
      </c>
      <c r="B183" s="2958" t="s">
        <v>3196</v>
      </c>
      <c r="C183" s="2970"/>
      <c r="D183" s="2970"/>
      <c r="E183" s="2970"/>
      <c r="F183" s="2959">
        <v>0.05</v>
      </c>
      <c r="G183" s="2976"/>
    </row>
    <row r="184" spans="1:7">
      <c r="A184" s="2969" t="s">
        <v>29</v>
      </c>
      <c r="B184" s="2958" t="s">
        <v>3197</v>
      </c>
      <c r="C184" s="2970"/>
      <c r="D184" s="2970"/>
      <c r="E184" s="2970"/>
      <c r="F184" s="2959">
        <v>0.05</v>
      </c>
      <c r="G184" s="2976"/>
    </row>
    <row r="185" spans="1:7">
      <c r="A185" s="2969" t="s">
        <v>29</v>
      </c>
      <c r="B185" s="2958" t="s">
        <v>3198</v>
      </c>
      <c r="C185" s="2970"/>
      <c r="D185" s="2970"/>
      <c r="E185" s="2970"/>
      <c r="F185" s="2959">
        <v>0.05</v>
      </c>
      <c r="G185" s="2976"/>
    </row>
    <row r="186" spans="1:7">
      <c r="A186" s="2969" t="s">
        <v>29</v>
      </c>
      <c r="B186" s="2958" t="s">
        <v>3199</v>
      </c>
      <c r="C186" s="2970"/>
      <c r="D186" s="2970"/>
      <c r="E186" s="2970"/>
      <c r="F186" s="2959">
        <v>0.05</v>
      </c>
      <c r="G186" s="2976"/>
    </row>
    <row r="187" spans="1:7">
      <c r="A187" s="2969" t="s">
        <v>29</v>
      </c>
      <c r="B187" s="2958" t="s">
        <v>3200</v>
      </c>
      <c r="C187" s="2970"/>
      <c r="D187" s="2970"/>
      <c r="E187" s="2970"/>
      <c r="F187" s="2959">
        <v>0.05</v>
      </c>
      <c r="G187" s="2976"/>
    </row>
    <row r="188" spans="1:7">
      <c r="A188" s="2969" t="s">
        <v>29</v>
      </c>
      <c r="B188" s="2958" t="s">
        <v>3201</v>
      </c>
      <c r="C188" s="2970"/>
      <c r="D188" s="2970"/>
      <c r="E188" s="2970"/>
      <c r="F188" s="2959">
        <v>0.05</v>
      </c>
      <c r="G188" s="2976"/>
    </row>
    <row r="189" spans="1:7" ht="14.25" thickBot="1">
      <c r="A189" s="2972" t="s">
        <v>29</v>
      </c>
      <c r="B189" s="2962" t="s">
        <v>3202</v>
      </c>
      <c r="C189" s="2964"/>
      <c r="D189" s="2964"/>
      <c r="E189" s="2964"/>
      <c r="F189" s="2963">
        <v>0.05</v>
      </c>
      <c r="G189" s="2977"/>
    </row>
    <row r="190" spans="1:7">
      <c r="A190" s="2968" t="s">
        <v>304</v>
      </c>
      <c r="B190" s="2954" t="s">
        <v>2858</v>
      </c>
      <c r="C190" s="2955">
        <v>0.124</v>
      </c>
      <c r="D190" s="2955">
        <v>0.124</v>
      </c>
      <c r="E190" s="2955">
        <v>0.129</v>
      </c>
      <c r="F190" s="2955">
        <v>0.13</v>
      </c>
      <c r="G190" s="2956">
        <v>0.127</v>
      </c>
    </row>
    <row r="191" spans="1:7">
      <c r="A191" s="2969" t="s">
        <v>304</v>
      </c>
      <c r="B191" s="2958" t="s">
        <v>133</v>
      </c>
      <c r="C191" s="2959">
        <v>0.13</v>
      </c>
      <c r="D191" s="2959">
        <v>0.13</v>
      </c>
      <c r="E191" s="2959">
        <v>0.13</v>
      </c>
      <c r="F191" s="2959">
        <v>0.13</v>
      </c>
      <c r="G191" s="2960">
        <v>0.13</v>
      </c>
    </row>
    <row r="192" spans="1:7">
      <c r="A192" s="2969" t="s">
        <v>304</v>
      </c>
      <c r="B192" s="2958" t="s">
        <v>142</v>
      </c>
      <c r="C192" s="2959">
        <v>0.13</v>
      </c>
      <c r="D192" s="2959">
        <v>0.13</v>
      </c>
      <c r="E192" s="2959">
        <v>0.13</v>
      </c>
      <c r="F192" s="2959">
        <v>0.13</v>
      </c>
      <c r="G192" s="2960">
        <v>0.13</v>
      </c>
    </row>
    <row r="193" spans="1:7">
      <c r="A193" s="2969" t="s">
        <v>304</v>
      </c>
      <c r="B193" s="2958" t="s">
        <v>151</v>
      </c>
      <c r="C193" s="2959">
        <v>0.13</v>
      </c>
      <c r="D193" s="2959">
        <v>0.13</v>
      </c>
      <c r="E193" s="2959">
        <v>0.13</v>
      </c>
      <c r="F193" s="2959">
        <v>0.13</v>
      </c>
      <c r="G193" s="2960">
        <v>0.13</v>
      </c>
    </row>
    <row r="194" spans="1:7">
      <c r="A194" s="2969" t="s">
        <v>304</v>
      </c>
      <c r="B194" s="2958" t="s">
        <v>160</v>
      </c>
      <c r="C194" s="2959">
        <v>0.123</v>
      </c>
      <c r="D194" s="2959">
        <v>0.123</v>
      </c>
      <c r="E194" s="2959">
        <v>0.128</v>
      </c>
      <c r="F194" s="2959">
        <v>0.13</v>
      </c>
      <c r="G194" s="2960">
        <v>0.126</v>
      </c>
    </row>
    <row r="195" spans="1:7">
      <c r="A195" s="2969" t="s">
        <v>304</v>
      </c>
      <c r="B195" s="2958" t="s">
        <v>167</v>
      </c>
      <c r="C195" s="2959">
        <v>0.127</v>
      </c>
      <c r="D195" s="2959">
        <v>0.127</v>
      </c>
      <c r="E195" s="2959">
        <v>0.121</v>
      </c>
      <c r="F195" s="2959">
        <v>0.129</v>
      </c>
      <c r="G195" s="2960">
        <v>0.129</v>
      </c>
    </row>
    <row r="196" spans="1:7">
      <c r="A196" s="2969" t="s">
        <v>304</v>
      </c>
      <c r="B196" s="2958" t="s">
        <v>173</v>
      </c>
      <c r="C196" s="2959">
        <v>0.127</v>
      </c>
      <c r="D196" s="2959">
        <v>0.128</v>
      </c>
      <c r="E196" s="2959">
        <v>0.122</v>
      </c>
      <c r="F196" s="2959">
        <v>0.13</v>
      </c>
      <c r="G196" s="2960">
        <v>0.129</v>
      </c>
    </row>
    <row r="197" spans="1:7">
      <c r="A197" s="2969" t="s">
        <v>304</v>
      </c>
      <c r="B197" s="2958" t="s">
        <v>180</v>
      </c>
      <c r="C197" s="2959">
        <v>0.126</v>
      </c>
      <c r="D197" s="2959">
        <v>0.126</v>
      </c>
      <c r="E197" s="2959">
        <v>0.11899999999999999</v>
      </c>
      <c r="F197" s="2959">
        <v>0.13</v>
      </c>
      <c r="G197" s="2960">
        <v>0.128</v>
      </c>
    </row>
    <row r="198" spans="1:7">
      <c r="A198" s="2969" t="s">
        <v>304</v>
      </c>
      <c r="B198" s="2958" t="s">
        <v>190</v>
      </c>
      <c r="C198" s="2959">
        <v>0.13</v>
      </c>
      <c r="D198" s="2959">
        <v>0.13</v>
      </c>
      <c r="E198" s="2959">
        <v>0.126</v>
      </c>
      <c r="F198" s="2975"/>
      <c r="G198" s="2960">
        <v>0.13</v>
      </c>
    </row>
    <row r="199" spans="1:7">
      <c r="A199" s="2969" t="s">
        <v>304</v>
      </c>
      <c r="B199" s="2958" t="s">
        <v>2894</v>
      </c>
      <c r="C199" s="2959">
        <v>0.13</v>
      </c>
      <c r="D199" s="2959">
        <v>0.13</v>
      </c>
      <c r="E199" s="2959">
        <v>0.13</v>
      </c>
      <c r="F199" s="2959">
        <v>0.13</v>
      </c>
      <c r="G199" s="2960">
        <v>0.13</v>
      </c>
    </row>
    <row r="200" spans="1:7">
      <c r="A200" s="2969" t="s">
        <v>304</v>
      </c>
      <c r="B200" s="2958" t="s">
        <v>2897</v>
      </c>
      <c r="C200" s="2975"/>
      <c r="D200" s="2975"/>
      <c r="E200" s="2975"/>
      <c r="F200" s="2959">
        <v>0.13</v>
      </c>
      <c r="G200" s="2971"/>
    </row>
    <row r="201" spans="1:7">
      <c r="A201" s="2969" t="s">
        <v>304</v>
      </c>
      <c r="B201" s="2958" t="s">
        <v>2902</v>
      </c>
      <c r="C201" s="2959">
        <v>0.13</v>
      </c>
      <c r="D201" s="2959">
        <v>0.13</v>
      </c>
      <c r="E201" s="2959">
        <v>0.13</v>
      </c>
      <c r="F201" s="2959">
        <v>0.129</v>
      </c>
      <c r="G201" s="2960">
        <v>0.13</v>
      </c>
    </row>
    <row r="202" spans="1:7">
      <c r="A202" s="2969" t="s">
        <v>304</v>
      </c>
      <c r="B202" s="2958" t="s">
        <v>240</v>
      </c>
      <c r="C202" s="2959">
        <v>0.13</v>
      </c>
      <c r="D202" s="2959">
        <v>0.13</v>
      </c>
      <c r="E202" s="2959">
        <v>0.13</v>
      </c>
      <c r="F202" s="2959">
        <v>0.13</v>
      </c>
      <c r="G202" s="2960">
        <v>0.13</v>
      </c>
    </row>
    <row r="203" spans="1:7">
      <c r="A203" s="2969" t="s">
        <v>304</v>
      </c>
      <c r="B203" s="2958" t="s">
        <v>2905</v>
      </c>
      <c r="C203" s="2959">
        <v>0.129</v>
      </c>
      <c r="D203" s="2959">
        <v>0.129</v>
      </c>
      <c r="E203" s="2959">
        <v>0.13</v>
      </c>
      <c r="F203" s="2959">
        <v>0.13</v>
      </c>
      <c r="G203" s="2960">
        <v>0.13</v>
      </c>
    </row>
    <row r="204" spans="1:7">
      <c r="A204" s="2969" t="s">
        <v>304</v>
      </c>
      <c r="B204" s="2958" t="s">
        <v>2908</v>
      </c>
      <c r="C204" s="2959">
        <v>0.129</v>
      </c>
      <c r="D204" s="2959">
        <v>0.129</v>
      </c>
      <c r="E204" s="2959">
        <v>0.123</v>
      </c>
      <c r="F204" s="2959">
        <v>0.13</v>
      </c>
      <c r="G204" s="2960">
        <v>0.13</v>
      </c>
    </row>
    <row r="205" spans="1:7">
      <c r="A205" s="2969" t="s">
        <v>304</v>
      </c>
      <c r="B205" s="2958" t="s">
        <v>2910</v>
      </c>
      <c r="C205" s="2959">
        <v>0.13</v>
      </c>
      <c r="D205" s="2959">
        <v>0.13</v>
      </c>
      <c r="E205" s="2959">
        <v>0.13</v>
      </c>
      <c r="F205" s="2959">
        <v>0.13</v>
      </c>
      <c r="G205" s="2960">
        <v>0.13</v>
      </c>
    </row>
    <row r="206" spans="1:7">
      <c r="A206" s="2969" t="s">
        <v>304</v>
      </c>
      <c r="B206" s="2958" t="s">
        <v>2913</v>
      </c>
      <c r="C206" s="2959">
        <v>0.13</v>
      </c>
      <c r="D206" s="2959">
        <v>0.13</v>
      </c>
      <c r="E206" s="2959">
        <v>0.13</v>
      </c>
      <c r="F206" s="2959">
        <v>0.128</v>
      </c>
      <c r="G206" s="2960">
        <v>0.13</v>
      </c>
    </row>
    <row r="207" spans="1:7">
      <c r="A207" s="2969" t="s">
        <v>304</v>
      </c>
      <c r="B207" s="2958" t="s">
        <v>2915</v>
      </c>
      <c r="C207" s="2959">
        <v>0.13</v>
      </c>
      <c r="D207" s="2959">
        <v>0.13</v>
      </c>
      <c r="E207" s="2959">
        <v>0.13</v>
      </c>
      <c r="F207" s="2959">
        <v>0.13</v>
      </c>
      <c r="G207" s="2960">
        <v>0.13</v>
      </c>
    </row>
    <row r="208" spans="1:7">
      <c r="A208" s="2969" t="s">
        <v>304</v>
      </c>
      <c r="B208" s="2958" t="s">
        <v>2918</v>
      </c>
      <c r="C208" s="2959">
        <v>0.13</v>
      </c>
      <c r="D208" s="2959">
        <v>0.13</v>
      </c>
      <c r="E208" s="2959">
        <v>0.13</v>
      </c>
      <c r="F208" s="2959">
        <v>0.13</v>
      </c>
      <c r="G208" s="2960">
        <v>0.13</v>
      </c>
    </row>
    <row r="209" spans="1:7">
      <c r="A209" s="2969" t="s">
        <v>304</v>
      </c>
      <c r="B209" s="2958" t="s">
        <v>264</v>
      </c>
      <c r="C209" s="2959">
        <v>0.13</v>
      </c>
      <c r="D209" s="2959">
        <v>0.13</v>
      </c>
      <c r="E209" s="2959">
        <v>0.13</v>
      </c>
      <c r="F209" s="2959">
        <v>0.13</v>
      </c>
      <c r="G209" s="2960">
        <v>0.13</v>
      </c>
    </row>
    <row r="210" spans="1:7">
      <c r="A210" s="2969" t="s">
        <v>304</v>
      </c>
      <c r="B210" s="2958" t="s">
        <v>2925</v>
      </c>
      <c r="C210" s="2959">
        <v>0.121</v>
      </c>
      <c r="D210" s="2959">
        <v>0.121</v>
      </c>
      <c r="E210" s="2959">
        <v>0.125</v>
      </c>
      <c r="F210" s="2959">
        <v>0.13</v>
      </c>
      <c r="G210" s="2960">
        <v>0.123</v>
      </c>
    </row>
    <row r="211" spans="1:7">
      <c r="A211" s="2969" t="s">
        <v>304</v>
      </c>
      <c r="B211" s="2958" t="s">
        <v>2928</v>
      </c>
      <c r="C211" s="2959">
        <v>0.123</v>
      </c>
      <c r="D211" s="2959">
        <v>0.123</v>
      </c>
      <c r="E211" s="2959">
        <v>0.127</v>
      </c>
      <c r="F211" s="2959">
        <v>0.115</v>
      </c>
      <c r="G211" s="2960">
        <v>0.126</v>
      </c>
    </row>
    <row r="212" spans="1:7">
      <c r="A212" s="2969" t="s">
        <v>304</v>
      </c>
      <c r="B212" s="2958" t="s">
        <v>285</v>
      </c>
      <c r="C212" s="2959">
        <v>0.126</v>
      </c>
      <c r="D212" s="2959">
        <v>0.126</v>
      </c>
      <c r="E212" s="2959">
        <v>0.13</v>
      </c>
      <c r="F212" s="2959">
        <v>0.13</v>
      </c>
      <c r="G212" s="2960">
        <v>0.129</v>
      </c>
    </row>
    <row r="213" spans="1:7">
      <c r="A213" s="2969" t="s">
        <v>304</v>
      </c>
      <c r="B213" s="2958" t="s">
        <v>288</v>
      </c>
      <c r="C213" s="2959">
        <v>0.129</v>
      </c>
      <c r="D213" s="2959">
        <v>0.13</v>
      </c>
      <c r="E213" s="2959">
        <v>0.127</v>
      </c>
      <c r="F213" s="2959">
        <v>0.13</v>
      </c>
      <c r="G213" s="2960">
        <v>0.13</v>
      </c>
    </row>
    <row r="214" spans="1:7">
      <c r="A214" s="2969" t="s">
        <v>304</v>
      </c>
      <c r="B214" s="2958" t="s">
        <v>2940</v>
      </c>
      <c r="C214" s="2959">
        <v>0.128</v>
      </c>
      <c r="D214" s="2959">
        <v>0.128</v>
      </c>
      <c r="E214" s="2959">
        <v>0.13</v>
      </c>
      <c r="F214" s="2959">
        <v>0.13</v>
      </c>
      <c r="G214" s="2960">
        <v>0.13</v>
      </c>
    </row>
    <row r="215" spans="1:7">
      <c r="A215" s="2969" t="s">
        <v>304</v>
      </c>
      <c r="B215" s="2958" t="s">
        <v>2944</v>
      </c>
      <c r="C215" s="2959">
        <v>0.13</v>
      </c>
      <c r="D215" s="2959">
        <v>0.13</v>
      </c>
      <c r="E215" s="2959">
        <v>0.13</v>
      </c>
      <c r="F215" s="2959">
        <v>0.129</v>
      </c>
      <c r="G215" s="2960">
        <v>0.13</v>
      </c>
    </row>
    <row r="216" spans="1:7">
      <c r="A216" s="2969" t="s">
        <v>304</v>
      </c>
      <c r="B216" s="2958" t="s">
        <v>2951</v>
      </c>
      <c r="C216" s="2959">
        <v>0.13</v>
      </c>
      <c r="D216" s="2959">
        <v>0.13</v>
      </c>
      <c r="E216" s="2959">
        <v>0.13</v>
      </c>
      <c r="F216" s="2959">
        <v>0.13</v>
      </c>
      <c r="G216" s="2960">
        <v>0.13</v>
      </c>
    </row>
    <row r="217" spans="1:7">
      <c r="A217" s="2969" t="s">
        <v>304</v>
      </c>
      <c r="B217" s="2958" t="s">
        <v>2958</v>
      </c>
      <c r="C217" s="2959">
        <v>0.129</v>
      </c>
      <c r="D217" s="2959">
        <v>0.129</v>
      </c>
      <c r="E217" s="2959">
        <v>0.13</v>
      </c>
      <c r="F217" s="2959">
        <v>0.13</v>
      </c>
      <c r="G217" s="2960">
        <v>0.13</v>
      </c>
    </row>
    <row r="218" spans="1:7">
      <c r="A218" s="2969" t="s">
        <v>304</v>
      </c>
      <c r="B218" s="2958" t="s">
        <v>2964</v>
      </c>
      <c r="C218" s="2970"/>
      <c r="D218" s="2970"/>
      <c r="E218" s="2970"/>
      <c r="F218" s="2959">
        <v>0.05</v>
      </c>
      <c r="G218" s="2976"/>
    </row>
    <row r="219" spans="1:7">
      <c r="A219" s="2969" t="s">
        <v>304</v>
      </c>
      <c r="B219" s="2958" t="s">
        <v>2971</v>
      </c>
      <c r="C219" s="2970"/>
      <c r="D219" s="2970"/>
      <c r="E219" s="2970"/>
      <c r="F219" s="2959">
        <v>0.05</v>
      </c>
      <c r="G219" s="2976"/>
    </row>
    <row r="220" spans="1:7">
      <c r="A220" s="2969" t="s">
        <v>304</v>
      </c>
      <c r="B220" s="2958" t="s">
        <v>2977</v>
      </c>
      <c r="C220" s="2970"/>
      <c r="D220" s="2970"/>
      <c r="E220" s="2970"/>
      <c r="F220" s="2959">
        <v>0.05</v>
      </c>
      <c r="G220" s="2976"/>
    </row>
    <row r="221" spans="1:7">
      <c r="A221" s="2969" t="s">
        <v>304</v>
      </c>
      <c r="B221" s="2958" t="s">
        <v>2982</v>
      </c>
      <c r="C221" s="2970"/>
      <c r="D221" s="2970"/>
      <c r="E221" s="2970"/>
      <c r="F221" s="2959">
        <v>0.05</v>
      </c>
      <c r="G221" s="2976"/>
    </row>
    <row r="222" spans="1:7">
      <c r="A222" s="2969" t="s">
        <v>304</v>
      </c>
      <c r="B222" s="2958" t="s">
        <v>2986</v>
      </c>
      <c r="C222" s="2970"/>
      <c r="D222" s="2970"/>
      <c r="E222" s="2970"/>
      <c r="F222" s="2959">
        <v>0.05</v>
      </c>
      <c r="G222" s="2976"/>
    </row>
    <row r="223" spans="1:7">
      <c r="A223" s="2969" t="s">
        <v>304</v>
      </c>
      <c r="B223" s="2958" t="s">
        <v>2991</v>
      </c>
      <c r="C223" s="2970"/>
      <c r="D223" s="2970"/>
      <c r="E223" s="2970"/>
      <c r="F223" s="2959">
        <v>0.05</v>
      </c>
      <c r="G223" s="2976"/>
    </row>
    <row r="224" spans="1:7">
      <c r="A224" s="2969" t="s">
        <v>304</v>
      </c>
      <c r="B224" s="2958" t="s">
        <v>2996</v>
      </c>
      <c r="C224" s="2970"/>
      <c r="D224" s="2970"/>
      <c r="E224" s="2970"/>
      <c r="F224" s="2959">
        <v>0.05</v>
      </c>
      <c r="G224" s="2976"/>
    </row>
    <row r="225" spans="1:7">
      <c r="A225" s="2969" t="s">
        <v>304</v>
      </c>
      <c r="B225" s="2958" t="s">
        <v>3001</v>
      </c>
      <c r="C225" s="2970"/>
      <c r="D225" s="2970"/>
      <c r="E225" s="2970"/>
      <c r="F225" s="2959">
        <v>0.05</v>
      </c>
      <c r="G225" s="2976"/>
    </row>
    <row r="226" spans="1:7">
      <c r="A226" s="2969" t="s">
        <v>304</v>
      </c>
      <c r="B226" s="2958" t="s">
        <v>3203</v>
      </c>
      <c r="C226" s="2970"/>
      <c r="D226" s="2970"/>
      <c r="E226" s="2970"/>
      <c r="F226" s="2959">
        <v>0.05</v>
      </c>
      <c r="G226" s="2976"/>
    </row>
    <row r="227" spans="1:7">
      <c r="A227" s="2969" t="s">
        <v>304</v>
      </c>
      <c r="B227" s="2958" t="s">
        <v>3204</v>
      </c>
      <c r="C227" s="2970"/>
      <c r="D227" s="2970"/>
      <c r="E227" s="2970"/>
      <c r="F227" s="2959">
        <v>0.05</v>
      </c>
      <c r="G227" s="2976"/>
    </row>
    <row r="228" spans="1:7">
      <c r="A228" s="2969" t="s">
        <v>304</v>
      </c>
      <c r="B228" s="2958" t="s">
        <v>3205</v>
      </c>
      <c r="C228" s="2970"/>
      <c r="D228" s="2970"/>
      <c r="E228" s="2970"/>
      <c r="F228" s="2959">
        <v>0.05</v>
      </c>
      <c r="G228" s="2976"/>
    </row>
    <row r="229" spans="1:7">
      <c r="A229" s="2969" t="s">
        <v>304</v>
      </c>
      <c r="B229" s="2958" t="s">
        <v>3206</v>
      </c>
      <c r="C229" s="2970"/>
      <c r="D229" s="2970"/>
      <c r="E229" s="2970"/>
      <c r="F229" s="2959">
        <v>0.05</v>
      </c>
      <c r="G229" s="2976"/>
    </row>
    <row r="230" spans="1:7">
      <c r="A230" s="2969" t="s">
        <v>304</v>
      </c>
      <c r="B230" s="2958" t="s">
        <v>3207</v>
      </c>
      <c r="C230" s="2970"/>
      <c r="D230" s="2970"/>
      <c r="E230" s="2970"/>
      <c r="F230" s="2959">
        <v>0.05</v>
      </c>
      <c r="G230" s="2976"/>
    </row>
    <row r="231" spans="1:7">
      <c r="A231" s="2969" t="s">
        <v>304</v>
      </c>
      <c r="B231" s="2958" t="s">
        <v>3208</v>
      </c>
      <c r="C231" s="2970"/>
      <c r="D231" s="2970"/>
      <c r="E231" s="2970"/>
      <c r="F231" s="2959">
        <v>0.05</v>
      </c>
      <c r="G231" s="2976"/>
    </row>
    <row r="232" spans="1:7">
      <c r="A232" s="2969" t="s">
        <v>304</v>
      </c>
      <c r="B232" s="2958" t="s">
        <v>3209</v>
      </c>
      <c r="C232" s="2970"/>
      <c r="D232" s="2970"/>
      <c r="E232" s="2970"/>
      <c r="F232" s="2959">
        <v>0.05</v>
      </c>
      <c r="G232" s="2976"/>
    </row>
    <row r="233" spans="1:7" ht="14.25" thickBot="1">
      <c r="A233" s="2972" t="s">
        <v>304</v>
      </c>
      <c r="B233" s="2962" t="s">
        <v>3210</v>
      </c>
      <c r="C233" s="2964"/>
      <c r="D233" s="2964"/>
      <c r="E233" s="2964"/>
      <c r="F233" s="2963">
        <v>0.05</v>
      </c>
      <c r="G233" s="2977"/>
    </row>
    <row r="234" spans="1:7">
      <c r="A234" s="2968" t="s">
        <v>305</v>
      </c>
      <c r="B234" s="2954" t="s">
        <v>2859</v>
      </c>
      <c r="C234" s="2955">
        <v>0.13</v>
      </c>
      <c r="D234" s="2955">
        <v>0.128</v>
      </c>
      <c r="E234" s="2955">
        <v>0.14199999999999999</v>
      </c>
      <c r="F234" s="2955">
        <v>0.14699999999999999</v>
      </c>
      <c r="G234" s="2956">
        <v>0.14000000000000001</v>
      </c>
    </row>
    <row r="235" spans="1:7">
      <c r="A235" s="2969" t="s">
        <v>305</v>
      </c>
      <c r="B235" s="2958" t="s">
        <v>134</v>
      </c>
      <c r="C235" s="2959">
        <v>0.13600000000000001</v>
      </c>
      <c r="D235" s="2959">
        <v>0.13800000000000001</v>
      </c>
      <c r="E235" s="2959">
        <v>0.14499999999999999</v>
      </c>
      <c r="F235" s="2959">
        <v>0.14299999999999999</v>
      </c>
      <c r="G235" s="2960">
        <v>0.14099999999999999</v>
      </c>
    </row>
    <row r="236" spans="1:7">
      <c r="A236" s="2969" t="s">
        <v>305</v>
      </c>
      <c r="B236" s="2958" t="s">
        <v>143</v>
      </c>
      <c r="C236" s="2959">
        <v>0.15</v>
      </c>
      <c r="D236" s="2959">
        <v>0.15</v>
      </c>
      <c r="E236" s="2959">
        <v>0.15</v>
      </c>
      <c r="F236" s="2959">
        <v>0.15</v>
      </c>
      <c r="G236" s="2960">
        <v>0.15</v>
      </c>
    </row>
    <row r="237" spans="1:7">
      <c r="A237" s="2969" t="s">
        <v>305</v>
      </c>
      <c r="B237" s="2958" t="s">
        <v>152</v>
      </c>
      <c r="C237" s="2959">
        <v>0.15</v>
      </c>
      <c r="D237" s="2959">
        <v>0.15</v>
      </c>
      <c r="E237" s="2959">
        <v>0.15</v>
      </c>
      <c r="F237" s="2959">
        <v>0.15</v>
      </c>
      <c r="G237" s="2960">
        <v>0.15</v>
      </c>
    </row>
    <row r="238" spans="1:7">
      <c r="A238" s="2969" t="s">
        <v>305</v>
      </c>
      <c r="B238" s="2958" t="s">
        <v>2879</v>
      </c>
      <c r="C238" s="2959">
        <v>0.14899999999999999</v>
      </c>
      <c r="D238" s="2959">
        <v>0.14899999999999999</v>
      </c>
      <c r="E238" s="2959">
        <v>0.15</v>
      </c>
      <c r="F238" s="2959">
        <v>0.15</v>
      </c>
      <c r="G238" s="2960">
        <v>0.15</v>
      </c>
    </row>
    <row r="239" spans="1:7">
      <c r="A239" s="2969" t="s">
        <v>305</v>
      </c>
      <c r="B239" s="2958" t="s">
        <v>2883</v>
      </c>
      <c r="C239" s="2959">
        <v>0.15</v>
      </c>
      <c r="D239" s="2959">
        <v>0.15</v>
      </c>
      <c r="E239" s="2959">
        <v>0.15</v>
      </c>
      <c r="F239" s="2959">
        <v>0.15</v>
      </c>
      <c r="G239" s="2960">
        <v>0.15</v>
      </c>
    </row>
    <row r="240" spans="1:7">
      <c r="A240" s="2969" t="s">
        <v>305</v>
      </c>
      <c r="B240" s="2958" t="s">
        <v>2888</v>
      </c>
      <c r="C240" s="2959">
        <v>0.15</v>
      </c>
      <c r="D240" s="2959">
        <v>0.15</v>
      </c>
      <c r="E240" s="2959">
        <v>0.15</v>
      </c>
      <c r="F240" s="2959">
        <v>0.15</v>
      </c>
      <c r="G240" s="2960">
        <v>0.15</v>
      </c>
    </row>
    <row r="241" spans="1:7">
      <c r="A241" s="2969" t="s">
        <v>305</v>
      </c>
      <c r="B241" s="2958" t="s">
        <v>2892</v>
      </c>
      <c r="C241" s="2959">
        <v>0.14099999999999999</v>
      </c>
      <c r="D241" s="2959">
        <v>0.14199999999999999</v>
      </c>
      <c r="E241" s="2959">
        <v>0.14899999999999999</v>
      </c>
      <c r="F241" s="2959">
        <v>0.15</v>
      </c>
      <c r="G241" s="2960">
        <v>0.14399999999999999</v>
      </c>
    </row>
    <row r="242" spans="1:7">
      <c r="A242" s="2969" t="s">
        <v>305</v>
      </c>
      <c r="B242" s="2958" t="s">
        <v>181</v>
      </c>
      <c r="C242" s="2959">
        <v>0.14099999999999999</v>
      </c>
      <c r="D242" s="2959">
        <v>0.14199999999999999</v>
      </c>
      <c r="E242" s="2959">
        <v>0.14799999999999999</v>
      </c>
      <c r="F242" s="2959">
        <v>0.127</v>
      </c>
      <c r="G242" s="2960">
        <v>0.14399999999999999</v>
      </c>
    </row>
    <row r="243" spans="1:7">
      <c r="A243" s="2969" t="s">
        <v>305</v>
      </c>
      <c r="B243" s="2958" t="s">
        <v>191</v>
      </c>
      <c r="C243" s="2959">
        <v>0.14699999999999999</v>
      </c>
      <c r="D243" s="2959">
        <v>0.14699999999999999</v>
      </c>
      <c r="E243" s="2959">
        <v>0.15</v>
      </c>
      <c r="F243" s="2959">
        <v>0.15</v>
      </c>
      <c r="G243" s="2960">
        <v>0.14899999999999999</v>
      </c>
    </row>
    <row r="244" spans="1:7">
      <c r="A244" s="2969" t="s">
        <v>305</v>
      </c>
      <c r="B244" s="2958" t="s">
        <v>2898</v>
      </c>
      <c r="C244" s="2959">
        <v>0.15</v>
      </c>
      <c r="D244" s="2959">
        <v>0.15</v>
      </c>
      <c r="E244" s="2959">
        <v>0.15</v>
      </c>
      <c r="F244" s="2959">
        <v>0.15</v>
      </c>
      <c r="G244" s="2960">
        <v>0.15</v>
      </c>
    </row>
    <row r="245" spans="1:7">
      <c r="A245" s="2969" t="s">
        <v>305</v>
      </c>
      <c r="B245" s="2958" t="s">
        <v>206</v>
      </c>
      <c r="C245" s="2959">
        <v>0.14199999999999999</v>
      </c>
      <c r="D245" s="2959">
        <v>0.14199999999999999</v>
      </c>
      <c r="E245" s="2959">
        <v>0.15</v>
      </c>
      <c r="F245" s="2959">
        <v>0.15</v>
      </c>
      <c r="G245" s="2960">
        <v>0.14499999999999999</v>
      </c>
    </row>
    <row r="246" spans="1:7">
      <c r="A246" s="2969" t="s">
        <v>305</v>
      </c>
      <c r="B246" s="2958" t="s">
        <v>213</v>
      </c>
      <c r="C246" s="2959">
        <v>0.14199999999999999</v>
      </c>
      <c r="D246" s="2959">
        <v>0.14299999999999999</v>
      </c>
      <c r="E246" s="2959">
        <v>0.15</v>
      </c>
      <c r="F246" s="2959">
        <v>0.14199999999999999</v>
      </c>
      <c r="G246" s="2960">
        <v>0.14399999999999999</v>
      </c>
    </row>
    <row r="247" spans="1:7">
      <c r="A247" s="2969" t="s">
        <v>305</v>
      </c>
      <c r="B247" s="2958" t="s">
        <v>2906</v>
      </c>
      <c r="C247" s="2959">
        <v>0.14899999999999999</v>
      </c>
      <c r="D247" s="2959">
        <v>0.14899999999999999</v>
      </c>
      <c r="E247" s="2959">
        <v>0.15</v>
      </c>
      <c r="F247" s="2959">
        <v>0.15</v>
      </c>
      <c r="G247" s="2960">
        <v>0.15</v>
      </c>
    </row>
    <row r="248" spans="1:7">
      <c r="A248" s="2969" t="s">
        <v>305</v>
      </c>
      <c r="B248" s="2958" t="s">
        <v>227</v>
      </c>
      <c r="C248" s="2959">
        <v>0.14399999999999999</v>
      </c>
      <c r="D248" s="2959">
        <v>0.14399999999999999</v>
      </c>
      <c r="E248" s="2959">
        <v>0.14899999999999999</v>
      </c>
      <c r="F248" s="2959">
        <v>0.14799999999999999</v>
      </c>
      <c r="G248" s="2960">
        <v>0.14599999999999999</v>
      </c>
    </row>
    <row r="249" spans="1:7">
      <c r="A249" s="2969" t="s">
        <v>305</v>
      </c>
      <c r="B249" s="2958" t="s">
        <v>2911</v>
      </c>
      <c r="C249" s="2959">
        <v>0.14000000000000001</v>
      </c>
      <c r="D249" s="2959">
        <v>0.14000000000000001</v>
      </c>
      <c r="E249" s="2959">
        <v>0.14699999999999999</v>
      </c>
      <c r="F249" s="2959">
        <v>0.14899999999999999</v>
      </c>
      <c r="G249" s="2960">
        <v>0.14199999999999999</v>
      </c>
    </row>
    <row r="250" spans="1:7">
      <c r="A250" s="2969" t="s">
        <v>305</v>
      </c>
      <c r="B250" s="2958" t="s">
        <v>241</v>
      </c>
      <c r="C250" s="2959">
        <v>0.14399999999999999</v>
      </c>
      <c r="D250" s="2959">
        <v>0.14299999999999999</v>
      </c>
      <c r="E250" s="2959">
        <v>0.14899999999999999</v>
      </c>
      <c r="F250" s="2959">
        <v>0.15</v>
      </c>
      <c r="G250" s="2960">
        <v>0.14599999999999999</v>
      </c>
    </row>
    <row r="251" spans="1:7">
      <c r="A251" s="2969" t="s">
        <v>305</v>
      </c>
      <c r="B251" s="2958" t="s">
        <v>249</v>
      </c>
      <c r="C251" s="2975"/>
      <c r="D251" s="2970"/>
      <c r="E251" s="2970"/>
      <c r="F251" s="2959">
        <v>0.1</v>
      </c>
      <c r="G251" s="2976"/>
    </row>
    <row r="252" spans="1:7">
      <c r="A252" s="2969" t="s">
        <v>305</v>
      </c>
      <c r="B252" s="2958" t="s">
        <v>2919</v>
      </c>
      <c r="C252" s="2959">
        <v>0.14399999999999999</v>
      </c>
      <c r="D252" s="2959">
        <v>0.14399999999999999</v>
      </c>
      <c r="E252" s="2959">
        <v>0.15</v>
      </c>
      <c r="F252" s="2959">
        <v>0.14899999999999999</v>
      </c>
      <c r="G252" s="2960">
        <v>0.14599999999999999</v>
      </c>
    </row>
    <row r="253" spans="1:7">
      <c r="A253" s="2969" t="s">
        <v>305</v>
      </c>
      <c r="B253" s="2958" t="s">
        <v>283</v>
      </c>
      <c r="C253" s="2959">
        <v>0.14199999999999999</v>
      </c>
      <c r="D253" s="2959">
        <v>0.14199999999999999</v>
      </c>
      <c r="E253" s="2959">
        <v>0.14599999999999999</v>
      </c>
      <c r="F253" s="2959">
        <v>0.14799999999999999</v>
      </c>
      <c r="G253" s="2960">
        <v>0.14499999999999999</v>
      </c>
    </row>
    <row r="254" spans="1:7">
      <c r="A254" s="2969" t="s">
        <v>305</v>
      </c>
      <c r="B254" s="2958" t="s">
        <v>286</v>
      </c>
      <c r="C254" s="2959">
        <v>0.15</v>
      </c>
      <c r="D254" s="2959">
        <v>0.15</v>
      </c>
      <c r="E254" s="2959">
        <v>0.15</v>
      </c>
      <c r="F254" s="2959">
        <v>0.15</v>
      </c>
      <c r="G254" s="2960">
        <v>0.15</v>
      </c>
    </row>
    <row r="255" spans="1:7">
      <c r="A255" s="2969" t="s">
        <v>305</v>
      </c>
      <c r="B255" s="2958" t="s">
        <v>289</v>
      </c>
      <c r="C255" s="2959">
        <v>0.14299999999999999</v>
      </c>
      <c r="D255" s="2959">
        <v>0.14299999999999999</v>
      </c>
      <c r="E255" s="2959">
        <v>0.15</v>
      </c>
      <c r="F255" s="2959">
        <v>0.15</v>
      </c>
      <c r="G255" s="2960">
        <v>0.14499999999999999</v>
      </c>
    </row>
    <row r="256" spans="1:7">
      <c r="A256" s="2969" t="s">
        <v>305</v>
      </c>
      <c r="B256" s="2958" t="s">
        <v>2932</v>
      </c>
      <c r="C256" s="2959">
        <v>0.15</v>
      </c>
      <c r="D256" s="2959">
        <v>0.15</v>
      </c>
      <c r="E256" s="2959">
        <v>0.15</v>
      </c>
      <c r="F256" s="2959">
        <v>0.14599999999999999</v>
      </c>
      <c r="G256" s="2960">
        <v>0.15</v>
      </c>
    </row>
    <row r="257" spans="1:7">
      <c r="A257" s="2969" t="s">
        <v>305</v>
      </c>
      <c r="B257" s="2958" t="s">
        <v>275</v>
      </c>
      <c r="C257" s="2959">
        <v>0.14199999999999999</v>
      </c>
      <c r="D257" s="2959">
        <v>0.14299999999999999</v>
      </c>
      <c r="E257" s="2959">
        <v>0.14799999999999999</v>
      </c>
      <c r="F257" s="2959">
        <v>0.15</v>
      </c>
      <c r="G257" s="2960">
        <v>0.14499999999999999</v>
      </c>
    </row>
    <row r="258" spans="1:7">
      <c r="A258" s="2969" t="s">
        <v>305</v>
      </c>
      <c r="B258" s="2958" t="s">
        <v>2941</v>
      </c>
      <c r="C258" s="2959">
        <v>0.14299999999999999</v>
      </c>
      <c r="D258" s="2959">
        <v>0.14299999999999999</v>
      </c>
      <c r="E258" s="2959">
        <v>0.15</v>
      </c>
      <c r="F258" s="2959">
        <v>0.14799999999999999</v>
      </c>
      <c r="G258" s="2960">
        <v>0.14599999999999999</v>
      </c>
    </row>
    <row r="259" spans="1:7">
      <c r="A259" s="2969" t="s">
        <v>305</v>
      </c>
      <c r="B259" s="2958" t="s">
        <v>2945</v>
      </c>
      <c r="C259" s="2959">
        <v>0.14399999999999999</v>
      </c>
      <c r="D259" s="2959">
        <v>0.14399999999999999</v>
      </c>
      <c r="E259" s="2959">
        <v>0.14899999999999999</v>
      </c>
      <c r="F259" s="2959">
        <v>0.14699999999999999</v>
      </c>
      <c r="G259" s="2960">
        <v>0.14599999999999999</v>
      </c>
    </row>
    <row r="260" spans="1:7">
      <c r="A260" s="2969" t="s">
        <v>305</v>
      </c>
      <c r="B260" s="2958" t="s">
        <v>2952</v>
      </c>
      <c r="C260" s="2959">
        <v>0.109</v>
      </c>
      <c r="D260" s="2959">
        <v>0.111</v>
      </c>
      <c r="E260" s="2959">
        <v>0.13100000000000001</v>
      </c>
      <c r="F260" s="2959">
        <v>0.126</v>
      </c>
      <c r="G260" s="2960">
        <v>0.11899999999999999</v>
      </c>
    </row>
    <row r="261" spans="1:7">
      <c r="A261" s="2969" t="s">
        <v>305</v>
      </c>
      <c r="B261" s="2958" t="s">
        <v>2959</v>
      </c>
      <c r="C261" s="2959">
        <v>0.1</v>
      </c>
      <c r="D261" s="2959">
        <v>0.1</v>
      </c>
      <c r="E261" s="2959">
        <v>0.11799999999999999</v>
      </c>
      <c r="F261" s="2959">
        <v>0.108</v>
      </c>
      <c r="G261" s="2960">
        <v>0.107</v>
      </c>
    </row>
    <row r="262" spans="1:7">
      <c r="A262" s="2969" t="s">
        <v>305</v>
      </c>
      <c r="B262" s="2958" t="s">
        <v>2965</v>
      </c>
      <c r="C262" s="2959">
        <v>0.1</v>
      </c>
      <c r="D262" s="2959">
        <v>0.1</v>
      </c>
      <c r="E262" s="2959">
        <v>0.1</v>
      </c>
      <c r="F262" s="2959">
        <v>0.14099999999999999</v>
      </c>
      <c r="G262" s="2960">
        <v>0.1</v>
      </c>
    </row>
    <row r="263" spans="1:7">
      <c r="A263" s="2969" t="s">
        <v>305</v>
      </c>
      <c r="B263" s="2958" t="s">
        <v>2972</v>
      </c>
      <c r="C263" s="2959">
        <v>0.14799999999999999</v>
      </c>
      <c r="D263" s="2959">
        <v>0.14799999999999999</v>
      </c>
      <c r="E263" s="2959">
        <v>0.15</v>
      </c>
      <c r="F263" s="2959">
        <v>0.14699999999999999</v>
      </c>
      <c r="G263" s="2960">
        <v>0.15</v>
      </c>
    </row>
    <row r="264" spans="1:7">
      <c r="A264" s="2969" t="s">
        <v>305</v>
      </c>
      <c r="B264" s="2958" t="s">
        <v>299</v>
      </c>
      <c r="C264" s="2959">
        <v>0.14299999999999999</v>
      </c>
      <c r="D264" s="2959">
        <v>0.14299999999999999</v>
      </c>
      <c r="E264" s="2959">
        <v>0.15</v>
      </c>
      <c r="F264" s="2959">
        <v>0.14899999999999999</v>
      </c>
      <c r="G264" s="2960">
        <v>0.14599999999999999</v>
      </c>
    </row>
    <row r="265" spans="1:7">
      <c r="A265" s="2969" t="s">
        <v>305</v>
      </c>
      <c r="B265" s="2958" t="s">
        <v>2983</v>
      </c>
      <c r="C265" s="2970"/>
      <c r="D265" s="2970"/>
      <c r="E265" s="2970"/>
      <c r="F265" s="2959">
        <v>0.05</v>
      </c>
      <c r="G265" s="2976"/>
    </row>
    <row r="266" spans="1:7">
      <c r="A266" s="2969" t="s">
        <v>305</v>
      </c>
      <c r="B266" s="2958" t="s">
        <v>2987</v>
      </c>
      <c r="C266" s="2970"/>
      <c r="D266" s="2970"/>
      <c r="E266" s="2970"/>
      <c r="F266" s="2959">
        <v>0.05</v>
      </c>
      <c r="G266" s="2976"/>
    </row>
    <row r="267" spans="1:7">
      <c r="A267" s="2969" t="s">
        <v>305</v>
      </c>
      <c r="B267" s="2958" t="s">
        <v>2992</v>
      </c>
      <c r="C267" s="2970"/>
      <c r="D267" s="2970"/>
      <c r="E267" s="2970"/>
      <c r="F267" s="2959">
        <v>0.05</v>
      </c>
      <c r="G267" s="2976"/>
    </row>
    <row r="268" spans="1:7">
      <c r="A268" s="2969" t="s">
        <v>305</v>
      </c>
      <c r="B268" s="2958" t="s">
        <v>2997</v>
      </c>
      <c r="C268" s="2970"/>
      <c r="D268" s="2970"/>
      <c r="E268" s="2970"/>
      <c r="F268" s="2959">
        <v>0.05</v>
      </c>
      <c r="G268" s="2976"/>
    </row>
    <row r="269" spans="1:7">
      <c r="A269" s="2969" t="s">
        <v>305</v>
      </c>
      <c r="B269" s="2958" t="s">
        <v>3002</v>
      </c>
      <c r="C269" s="2970"/>
      <c r="D269" s="2970"/>
      <c r="E269" s="2970"/>
      <c r="F269" s="2959">
        <v>0.05</v>
      </c>
      <c r="G269" s="2976"/>
    </row>
    <row r="270" spans="1:7">
      <c r="A270" s="2969" t="s">
        <v>305</v>
      </c>
      <c r="B270" s="2958" t="s">
        <v>3007</v>
      </c>
      <c r="C270" s="2970"/>
      <c r="D270" s="2970"/>
      <c r="E270" s="2970"/>
      <c r="F270" s="2959">
        <v>0.05</v>
      </c>
      <c r="G270" s="2976"/>
    </row>
    <row r="271" spans="1:7">
      <c r="A271" s="2969" t="s">
        <v>305</v>
      </c>
      <c r="B271" s="2958" t="s">
        <v>3211</v>
      </c>
      <c r="C271" s="2970"/>
      <c r="D271" s="2970"/>
      <c r="E271" s="2970"/>
      <c r="F271" s="2959">
        <v>0.05</v>
      </c>
      <c r="G271" s="2976"/>
    </row>
    <row r="272" spans="1:7">
      <c r="A272" s="2969" t="s">
        <v>305</v>
      </c>
      <c r="B272" s="2958" t="s">
        <v>3212</v>
      </c>
      <c r="C272" s="2970"/>
      <c r="D272" s="2970"/>
      <c r="E272" s="2970"/>
      <c r="F272" s="2959">
        <v>0.05</v>
      </c>
      <c r="G272" s="2976"/>
    </row>
    <row r="273" spans="1:7">
      <c r="A273" s="2969" t="s">
        <v>305</v>
      </c>
      <c r="B273" s="2958" t="s">
        <v>3213</v>
      </c>
      <c r="C273" s="2970"/>
      <c r="D273" s="2970"/>
      <c r="E273" s="2970"/>
      <c r="F273" s="2959">
        <v>0.05</v>
      </c>
      <c r="G273" s="2976"/>
    </row>
    <row r="274" spans="1:7">
      <c r="A274" s="2969" t="s">
        <v>305</v>
      </c>
      <c r="B274" s="2958" t="s">
        <v>3214</v>
      </c>
      <c r="C274" s="2970"/>
      <c r="D274" s="2970"/>
      <c r="E274" s="2970"/>
      <c r="F274" s="2959">
        <v>0.05</v>
      </c>
      <c r="G274" s="2976"/>
    </row>
    <row r="275" spans="1:7">
      <c r="A275" s="2969" t="s">
        <v>305</v>
      </c>
      <c r="B275" s="2958" t="s">
        <v>3215</v>
      </c>
      <c r="C275" s="2970"/>
      <c r="D275" s="2970"/>
      <c r="E275" s="2970"/>
      <c r="F275" s="2959">
        <v>0.05</v>
      </c>
      <c r="G275" s="2976"/>
    </row>
    <row r="276" spans="1:7" ht="14.25" thickBot="1">
      <c r="A276" s="2972" t="s">
        <v>305</v>
      </c>
      <c r="B276" s="2962" t="s">
        <v>3216</v>
      </c>
      <c r="C276" s="2964"/>
      <c r="D276" s="2964"/>
      <c r="E276" s="2964"/>
      <c r="F276" s="2963">
        <v>0.05</v>
      </c>
      <c r="G276" s="2977"/>
    </row>
    <row r="277" spans="1:7">
      <c r="A277" s="2968" t="s">
        <v>306</v>
      </c>
      <c r="B277" s="2954" t="s">
        <v>2860</v>
      </c>
      <c r="C277" s="2955">
        <v>0.15</v>
      </c>
      <c r="D277" s="2955">
        <v>0.15</v>
      </c>
      <c r="E277" s="2955">
        <v>0.15</v>
      </c>
      <c r="F277" s="2955">
        <v>0.15</v>
      </c>
      <c r="G277" s="2956">
        <v>0.15</v>
      </c>
    </row>
    <row r="278" spans="1:7">
      <c r="A278" s="2969" t="s">
        <v>306</v>
      </c>
      <c r="B278" s="2958" t="s">
        <v>135</v>
      </c>
      <c r="C278" s="2959">
        <v>0.15</v>
      </c>
      <c r="D278" s="2959">
        <v>0.15</v>
      </c>
      <c r="E278" s="2959">
        <v>0.15</v>
      </c>
      <c r="F278" s="2959">
        <v>0.15</v>
      </c>
      <c r="G278" s="2960">
        <v>0.15</v>
      </c>
    </row>
    <row r="279" spans="1:7">
      <c r="A279" s="2969" t="s">
        <v>306</v>
      </c>
      <c r="B279" s="2958" t="s">
        <v>2872</v>
      </c>
      <c r="C279" s="2959">
        <v>0.15</v>
      </c>
      <c r="D279" s="2959">
        <v>0.15</v>
      </c>
      <c r="E279" s="2959">
        <v>0.15</v>
      </c>
      <c r="F279" s="2959">
        <v>0.15</v>
      </c>
      <c r="G279" s="2960">
        <v>0.15</v>
      </c>
    </row>
    <row r="280" spans="1:7">
      <c r="A280" s="2969" t="s">
        <v>306</v>
      </c>
      <c r="B280" s="2958" t="s">
        <v>2876</v>
      </c>
      <c r="C280" s="2959">
        <v>0.15</v>
      </c>
      <c r="D280" s="2959">
        <v>0.15</v>
      </c>
      <c r="E280" s="2959">
        <v>0.15</v>
      </c>
      <c r="F280" s="2959">
        <v>0.15</v>
      </c>
      <c r="G280" s="2960">
        <v>0.15</v>
      </c>
    </row>
    <row r="281" spans="1:7">
      <c r="A281" s="2969" t="s">
        <v>306</v>
      </c>
      <c r="B281" s="2958" t="s">
        <v>2880</v>
      </c>
      <c r="C281" s="2959">
        <v>0.15</v>
      </c>
      <c r="D281" s="2959">
        <v>0.15</v>
      </c>
      <c r="E281" s="2959">
        <v>0.15</v>
      </c>
      <c r="F281" s="2959">
        <v>0.15</v>
      </c>
      <c r="G281" s="2960">
        <v>0.15</v>
      </c>
    </row>
    <row r="282" spans="1:7">
      <c r="A282" s="2969" t="s">
        <v>306</v>
      </c>
      <c r="B282" s="2958" t="s">
        <v>2884</v>
      </c>
      <c r="C282" s="2959">
        <v>0.15</v>
      </c>
      <c r="D282" s="2959">
        <v>0.15</v>
      </c>
      <c r="E282" s="2959">
        <v>0.15</v>
      </c>
      <c r="F282" s="2959">
        <v>0.14499999999999999</v>
      </c>
      <c r="G282" s="2960">
        <v>0.15</v>
      </c>
    </row>
    <row r="283" spans="1:7">
      <c r="A283" s="2969" t="s">
        <v>306</v>
      </c>
      <c r="B283" s="2958" t="s">
        <v>174</v>
      </c>
      <c r="C283" s="2959">
        <v>0.15</v>
      </c>
      <c r="D283" s="2959">
        <v>0.15</v>
      </c>
      <c r="E283" s="2959">
        <v>0.15</v>
      </c>
      <c r="F283" s="2959">
        <v>0.14199999999999999</v>
      </c>
      <c r="G283" s="2960">
        <v>0.15</v>
      </c>
    </row>
    <row r="284" spans="1:7">
      <c r="A284" s="2969" t="s">
        <v>306</v>
      </c>
      <c r="B284" s="2958" t="s">
        <v>182</v>
      </c>
      <c r="C284" s="2959">
        <v>0.15</v>
      </c>
      <c r="D284" s="2959">
        <v>0.15</v>
      </c>
      <c r="E284" s="2959">
        <v>0.15</v>
      </c>
      <c r="F284" s="2959">
        <v>0.15</v>
      </c>
      <c r="G284" s="2960">
        <v>0.15</v>
      </c>
    </row>
    <row r="285" spans="1:7">
      <c r="A285" s="2969" t="s">
        <v>306</v>
      </c>
      <c r="B285" s="2958" t="s">
        <v>192</v>
      </c>
      <c r="C285" s="2959">
        <v>0.15</v>
      </c>
      <c r="D285" s="2959">
        <v>0.15</v>
      </c>
      <c r="E285" s="2959">
        <v>0.15</v>
      </c>
      <c r="F285" s="2959">
        <v>0.15</v>
      </c>
      <c r="G285" s="2960">
        <v>0.15</v>
      </c>
    </row>
    <row r="286" spans="1:7">
      <c r="A286" s="2969" t="s">
        <v>306</v>
      </c>
      <c r="B286" s="2958" t="s">
        <v>199</v>
      </c>
      <c r="C286" s="2959">
        <v>0.14499999999999999</v>
      </c>
      <c r="D286" s="2959">
        <v>0.14499999999999999</v>
      </c>
      <c r="E286" s="2959">
        <v>0.15</v>
      </c>
      <c r="F286" s="2959">
        <v>0.14099999999999999</v>
      </c>
      <c r="G286" s="2960">
        <v>0.14499999999999999</v>
      </c>
    </row>
    <row r="287" spans="1:7">
      <c r="A287" s="2969" t="s">
        <v>306</v>
      </c>
      <c r="B287" s="2958" t="s">
        <v>2899</v>
      </c>
      <c r="C287" s="2959">
        <v>0.11</v>
      </c>
      <c r="D287" s="2959">
        <v>0.111</v>
      </c>
      <c r="E287" s="2959">
        <v>0.14099999999999999</v>
      </c>
      <c r="F287" s="2959">
        <v>0.11</v>
      </c>
      <c r="G287" s="2960">
        <v>0.12</v>
      </c>
    </row>
    <row r="288" spans="1:7">
      <c r="A288" s="2969" t="s">
        <v>306</v>
      </c>
      <c r="B288" s="2958" t="s">
        <v>219</v>
      </c>
      <c r="C288" s="2959">
        <v>0.14199999999999999</v>
      </c>
      <c r="D288" s="2959">
        <v>0.14299999999999999</v>
      </c>
      <c r="E288" s="2959">
        <v>0.15</v>
      </c>
      <c r="F288" s="2959">
        <v>0.14199999999999999</v>
      </c>
      <c r="G288" s="2960">
        <v>0.14399999999999999</v>
      </c>
    </row>
    <row r="289" spans="1:7">
      <c r="A289" s="2969" t="s">
        <v>306</v>
      </c>
      <c r="B289" s="2958" t="s">
        <v>2904</v>
      </c>
      <c r="C289" s="2959">
        <v>0.14299999999999999</v>
      </c>
      <c r="D289" s="2959">
        <v>0.14299999999999999</v>
      </c>
      <c r="E289" s="2959">
        <v>0.14799999999999999</v>
      </c>
      <c r="F289" s="2959">
        <v>0.14399999999999999</v>
      </c>
      <c r="G289" s="2960">
        <v>0.14399999999999999</v>
      </c>
    </row>
    <row r="290" spans="1:7">
      <c r="A290" s="2969" t="s">
        <v>306</v>
      </c>
      <c r="B290" s="2958" t="s">
        <v>242</v>
      </c>
      <c r="C290" s="2959">
        <v>0.14799999999999999</v>
      </c>
      <c r="D290" s="2959">
        <v>0.14899999999999999</v>
      </c>
      <c r="E290" s="2959">
        <v>0.15</v>
      </c>
      <c r="F290" s="2959">
        <v>0.127</v>
      </c>
      <c r="G290" s="2960">
        <v>0.15</v>
      </c>
    </row>
    <row r="291" spans="1:7">
      <c r="A291" s="2969" t="s">
        <v>306</v>
      </c>
      <c r="B291" s="2958" t="s">
        <v>250</v>
      </c>
      <c r="C291" s="2959">
        <v>0.15</v>
      </c>
      <c r="D291" s="2959">
        <v>0.15</v>
      </c>
      <c r="E291" s="2959">
        <v>0.15</v>
      </c>
      <c r="F291" s="2959">
        <v>0.14899999999999999</v>
      </c>
      <c r="G291" s="2960">
        <v>0.15</v>
      </c>
    </row>
    <row r="292" spans="1:7">
      <c r="A292" s="2969" t="s">
        <v>306</v>
      </c>
      <c r="B292" s="2958" t="s">
        <v>256</v>
      </c>
      <c r="C292" s="2959">
        <v>0.15</v>
      </c>
      <c r="D292" s="2959">
        <v>0.15</v>
      </c>
      <c r="E292" s="2959">
        <v>0.15</v>
      </c>
      <c r="F292" s="2959">
        <v>0.14399999999999999</v>
      </c>
      <c r="G292" s="2960">
        <v>0.15</v>
      </c>
    </row>
    <row r="293" spans="1:7">
      <c r="A293" s="2969" t="s">
        <v>306</v>
      </c>
      <c r="B293" s="2958" t="s">
        <v>2914</v>
      </c>
      <c r="C293" s="2959">
        <v>0.15</v>
      </c>
      <c r="D293" s="2959">
        <v>0.15</v>
      </c>
      <c r="E293" s="2959">
        <v>0.15</v>
      </c>
      <c r="F293" s="2959">
        <v>0.14499999999999999</v>
      </c>
      <c r="G293" s="2960">
        <v>0.15</v>
      </c>
    </row>
    <row r="294" spans="1:7">
      <c r="A294" s="2969" t="s">
        <v>306</v>
      </c>
      <c r="B294" s="2958" t="s">
        <v>2916</v>
      </c>
      <c r="C294" s="2959">
        <v>0.15</v>
      </c>
      <c r="D294" s="2959">
        <v>0.15</v>
      </c>
      <c r="E294" s="2959">
        <v>0.15</v>
      </c>
      <c r="F294" s="2959">
        <v>0.14899999999999999</v>
      </c>
      <c r="G294" s="2960">
        <v>0.15</v>
      </c>
    </row>
    <row r="295" spans="1:7">
      <c r="A295" s="2969" t="s">
        <v>306</v>
      </c>
      <c r="B295" s="2958" t="s">
        <v>290</v>
      </c>
      <c r="C295" s="2959">
        <v>0.15</v>
      </c>
      <c r="D295" s="2959">
        <v>0.15</v>
      </c>
      <c r="E295" s="2959">
        <v>0.15</v>
      </c>
      <c r="F295" s="2959">
        <v>0.14799999999999999</v>
      </c>
      <c r="G295" s="2960">
        <v>0.15</v>
      </c>
    </row>
    <row r="296" spans="1:7">
      <c r="A296" s="2969" t="s">
        <v>306</v>
      </c>
      <c r="B296" s="2958" t="s">
        <v>293</v>
      </c>
      <c r="C296" s="2959">
        <v>0.15</v>
      </c>
      <c r="D296" s="2959">
        <v>0.15</v>
      </c>
      <c r="E296" s="2959">
        <v>0.15</v>
      </c>
      <c r="F296" s="2959">
        <v>0.14399999999999999</v>
      </c>
      <c r="G296" s="2960">
        <v>0.15</v>
      </c>
    </row>
    <row r="297" spans="1:7">
      <c r="A297" s="2969" t="s">
        <v>306</v>
      </c>
      <c r="B297" s="2958" t="s">
        <v>295</v>
      </c>
      <c r="C297" s="2959">
        <v>0.15</v>
      </c>
      <c r="D297" s="2959">
        <v>0.15</v>
      </c>
      <c r="E297" s="2959">
        <v>0.15</v>
      </c>
      <c r="F297" s="2959">
        <v>0.14499999999999999</v>
      </c>
      <c r="G297" s="2960">
        <v>0.15</v>
      </c>
    </row>
    <row r="298" spans="1:7">
      <c r="A298" s="2969" t="s">
        <v>306</v>
      </c>
      <c r="B298" s="2958" t="s">
        <v>298</v>
      </c>
      <c r="C298" s="2959">
        <v>0.15</v>
      </c>
      <c r="D298" s="2959">
        <v>0.15</v>
      </c>
      <c r="E298" s="2959">
        <v>0.15</v>
      </c>
      <c r="F298" s="2959">
        <v>0.15</v>
      </c>
      <c r="G298" s="2960">
        <v>0.15</v>
      </c>
    </row>
    <row r="299" spans="1:7">
      <c r="A299" s="2969" t="s">
        <v>306</v>
      </c>
      <c r="B299" s="2978" t="s">
        <v>2933</v>
      </c>
      <c r="C299" s="2959">
        <v>0.15</v>
      </c>
      <c r="D299" s="2959">
        <v>0.15</v>
      </c>
      <c r="E299" s="2959">
        <v>0.15</v>
      </c>
      <c r="F299" s="2959">
        <v>0.14499999999999999</v>
      </c>
      <c r="G299" s="2960">
        <v>0.15</v>
      </c>
    </row>
    <row r="300" spans="1:7">
      <c r="A300" s="2969" t="s">
        <v>306</v>
      </c>
      <c r="B300" s="2978" t="s">
        <v>271</v>
      </c>
      <c r="C300" s="2959">
        <v>0.15</v>
      </c>
      <c r="D300" s="2959">
        <v>0.15</v>
      </c>
      <c r="E300" s="2959">
        <v>0.15</v>
      </c>
      <c r="F300" s="2959">
        <v>0.14599999999999999</v>
      </c>
      <c r="G300" s="2960">
        <v>0.15</v>
      </c>
    </row>
    <row r="301" spans="1:7">
      <c r="A301" s="2969" t="s">
        <v>306</v>
      </c>
      <c r="B301" s="2978" t="s">
        <v>276</v>
      </c>
      <c r="C301" s="2959">
        <v>0.126</v>
      </c>
      <c r="D301" s="2959">
        <v>0.124</v>
      </c>
      <c r="E301" s="2959">
        <v>0.14099999999999999</v>
      </c>
      <c r="F301" s="2959">
        <v>0.14399999999999999</v>
      </c>
      <c r="G301" s="2960">
        <v>0.13</v>
      </c>
    </row>
    <row r="302" spans="1:7">
      <c r="A302" s="2969" t="s">
        <v>306</v>
      </c>
      <c r="B302" s="2958" t="s">
        <v>2946</v>
      </c>
      <c r="C302" s="2959">
        <v>0.15</v>
      </c>
      <c r="D302" s="2959">
        <v>0.15</v>
      </c>
      <c r="E302" s="2959">
        <v>0.15</v>
      </c>
      <c r="F302" s="2959">
        <v>0.14699999999999999</v>
      </c>
      <c r="G302" s="2960">
        <v>0.15</v>
      </c>
    </row>
    <row r="303" spans="1:7">
      <c r="A303" s="2969" t="s">
        <v>306</v>
      </c>
      <c r="B303" s="2958" t="s">
        <v>2953</v>
      </c>
      <c r="C303" s="2959">
        <v>0.15</v>
      </c>
      <c r="D303" s="2959">
        <v>0.15</v>
      </c>
      <c r="E303" s="2959">
        <v>0.15</v>
      </c>
      <c r="F303" s="2959">
        <v>0.14199999999999999</v>
      </c>
      <c r="G303" s="2960">
        <v>0.15</v>
      </c>
    </row>
    <row r="304" spans="1:7">
      <c r="A304" s="2969" t="s">
        <v>306</v>
      </c>
      <c r="B304" s="2958" t="s">
        <v>2960</v>
      </c>
      <c r="C304" s="2959">
        <v>0.15</v>
      </c>
      <c r="D304" s="2959">
        <v>0.15</v>
      </c>
      <c r="E304" s="2959">
        <v>0.15</v>
      </c>
      <c r="F304" s="2959">
        <v>0.14499999999999999</v>
      </c>
      <c r="G304" s="2960">
        <v>0.15</v>
      </c>
    </row>
    <row r="305" spans="1:7">
      <c r="A305" s="2969" t="s">
        <v>306</v>
      </c>
      <c r="B305" s="2958" t="s">
        <v>2966</v>
      </c>
      <c r="C305" s="2959">
        <v>0.15</v>
      </c>
      <c r="D305" s="2959">
        <v>0.15</v>
      </c>
      <c r="E305" s="2959">
        <v>0.15</v>
      </c>
      <c r="F305" s="2959">
        <v>0.111</v>
      </c>
      <c r="G305" s="2960">
        <v>0.15</v>
      </c>
    </row>
    <row r="306" spans="1:7">
      <c r="A306" s="2969" t="s">
        <v>306</v>
      </c>
      <c r="B306" s="2958" t="s">
        <v>2973</v>
      </c>
      <c r="C306" s="2959">
        <v>0.15</v>
      </c>
      <c r="D306" s="2959">
        <v>0.15</v>
      </c>
      <c r="E306" s="2959">
        <v>0.15</v>
      </c>
      <c r="F306" s="2959">
        <v>0.126</v>
      </c>
      <c r="G306" s="2960">
        <v>0.15</v>
      </c>
    </row>
    <row r="307" spans="1:7">
      <c r="A307" s="2969" t="s">
        <v>306</v>
      </c>
      <c r="B307" s="2958" t="s">
        <v>2978</v>
      </c>
      <c r="C307" s="2959">
        <v>0.15</v>
      </c>
      <c r="D307" s="2959">
        <v>0.15</v>
      </c>
      <c r="E307" s="2959">
        <v>0.15</v>
      </c>
      <c r="F307" s="2959">
        <v>0.12</v>
      </c>
      <c r="G307" s="2960">
        <v>0.15</v>
      </c>
    </row>
    <row r="308" spans="1:7">
      <c r="A308" s="2969" t="s">
        <v>306</v>
      </c>
      <c r="B308" s="2958" t="s">
        <v>2984</v>
      </c>
      <c r="C308" s="2959">
        <v>0.15</v>
      </c>
      <c r="D308" s="2959">
        <v>0.15</v>
      </c>
      <c r="E308" s="2959">
        <v>0.15</v>
      </c>
      <c r="F308" s="2959">
        <v>0.13</v>
      </c>
      <c r="G308" s="2960">
        <v>0.15</v>
      </c>
    </row>
    <row r="309" spans="1:7">
      <c r="A309" s="2969" t="s">
        <v>306</v>
      </c>
      <c r="B309" s="2958" t="s">
        <v>2988</v>
      </c>
      <c r="C309" s="2959">
        <v>0.15</v>
      </c>
      <c r="D309" s="2959">
        <v>0.15</v>
      </c>
      <c r="E309" s="2959">
        <v>0.15</v>
      </c>
      <c r="F309" s="2959">
        <v>0.14099999999999999</v>
      </c>
      <c r="G309" s="2960">
        <v>0.15</v>
      </c>
    </row>
    <row r="310" spans="1:7">
      <c r="A310" s="2969" t="s">
        <v>306</v>
      </c>
      <c r="B310" s="2958" t="s">
        <v>2993</v>
      </c>
      <c r="C310" s="2959">
        <v>0.15</v>
      </c>
      <c r="D310" s="2959">
        <v>0.15</v>
      </c>
      <c r="E310" s="2959">
        <v>0.15</v>
      </c>
      <c r="F310" s="2959">
        <v>0.15</v>
      </c>
      <c r="G310" s="2960">
        <v>0.15</v>
      </c>
    </row>
    <row r="311" spans="1:7">
      <c r="A311" s="2969" t="s">
        <v>306</v>
      </c>
      <c r="B311" s="2958" t="s">
        <v>2998</v>
      </c>
      <c r="C311" s="2959">
        <v>0.13200000000000001</v>
      </c>
      <c r="D311" s="2959">
        <v>0.13300000000000001</v>
      </c>
      <c r="E311" s="2959">
        <v>0.14499999999999999</v>
      </c>
      <c r="F311" s="2959">
        <v>0.14199999999999999</v>
      </c>
      <c r="G311" s="2960">
        <v>0.14000000000000001</v>
      </c>
    </row>
    <row r="312" spans="1:7">
      <c r="A312" s="2969" t="s">
        <v>306</v>
      </c>
      <c r="B312" s="2958" t="s">
        <v>3003</v>
      </c>
      <c r="C312" s="2959">
        <v>0.13800000000000001</v>
      </c>
      <c r="D312" s="2959">
        <v>0.14000000000000001</v>
      </c>
      <c r="E312" s="2959">
        <v>0.14599999999999999</v>
      </c>
      <c r="F312" s="2959">
        <v>0.14899999999999999</v>
      </c>
      <c r="G312" s="2960">
        <v>0.14199999999999999</v>
      </c>
    </row>
    <row r="313" spans="1:7">
      <c r="A313" s="2969" t="s">
        <v>306</v>
      </c>
      <c r="B313" s="2958" t="s">
        <v>3008</v>
      </c>
      <c r="C313" s="2959">
        <v>0.125</v>
      </c>
      <c r="D313" s="2959">
        <v>0.127</v>
      </c>
      <c r="E313" s="2959">
        <v>0.14399999999999999</v>
      </c>
      <c r="F313" s="2959">
        <v>0.115</v>
      </c>
      <c r="G313" s="2960">
        <v>0.13600000000000001</v>
      </c>
    </row>
    <row r="314" spans="1:7">
      <c r="A314" s="2969" t="s">
        <v>306</v>
      </c>
      <c r="B314" s="2958" t="s">
        <v>3217</v>
      </c>
      <c r="C314" s="2975"/>
      <c r="D314" s="2975"/>
      <c r="E314" s="2975"/>
      <c r="F314" s="2959">
        <v>0.05</v>
      </c>
      <c r="G314" s="2976"/>
    </row>
    <row r="315" spans="1:7">
      <c r="A315" s="2969" t="s">
        <v>306</v>
      </c>
      <c r="B315" s="2958" t="s">
        <v>3218</v>
      </c>
      <c r="C315" s="2975"/>
      <c r="D315" s="2975"/>
      <c r="E315" s="2975"/>
      <c r="F315" s="2959">
        <v>0.05</v>
      </c>
      <c r="G315" s="2976"/>
    </row>
    <row r="316" spans="1:7">
      <c r="A316" s="2969" t="s">
        <v>306</v>
      </c>
      <c r="B316" s="2958" t="s">
        <v>3219</v>
      </c>
      <c r="C316" s="2970"/>
      <c r="D316" s="2970"/>
      <c r="E316" s="2970"/>
      <c r="F316" s="2959">
        <v>0.05</v>
      </c>
      <c r="G316" s="2976"/>
    </row>
    <row r="317" spans="1:7">
      <c r="A317" s="2969" t="s">
        <v>306</v>
      </c>
      <c r="B317" s="2958" t="s">
        <v>3220</v>
      </c>
      <c r="C317" s="2970"/>
      <c r="D317" s="2970"/>
      <c r="E317" s="2970"/>
      <c r="F317" s="2959">
        <v>0.05</v>
      </c>
      <c r="G317" s="2976"/>
    </row>
    <row r="318" spans="1:7">
      <c r="A318" s="2969" t="s">
        <v>306</v>
      </c>
      <c r="B318" s="2958" t="s">
        <v>3221</v>
      </c>
      <c r="C318" s="2970"/>
      <c r="D318" s="2970"/>
      <c r="E318" s="2970"/>
      <c r="F318" s="2959">
        <v>0.05</v>
      </c>
      <c r="G318" s="2976"/>
    </row>
    <row r="319" spans="1:7">
      <c r="A319" s="2969" t="s">
        <v>306</v>
      </c>
      <c r="B319" s="2958" t="s">
        <v>3222</v>
      </c>
      <c r="C319" s="2970"/>
      <c r="D319" s="2970"/>
      <c r="E319" s="2970"/>
      <c r="F319" s="2959">
        <v>0.05</v>
      </c>
      <c r="G319" s="2976"/>
    </row>
    <row r="320" spans="1:7">
      <c r="A320" s="2969" t="s">
        <v>306</v>
      </c>
      <c r="B320" s="2958" t="s">
        <v>3223</v>
      </c>
      <c r="C320" s="2970"/>
      <c r="D320" s="2970"/>
      <c r="E320" s="2970"/>
      <c r="F320" s="2959">
        <v>0.05</v>
      </c>
      <c r="G320" s="2976"/>
    </row>
    <row r="321" spans="1:7">
      <c r="A321" s="2969" t="s">
        <v>306</v>
      </c>
      <c r="B321" s="2958" t="s">
        <v>3224</v>
      </c>
      <c r="C321" s="2970"/>
      <c r="D321" s="2970"/>
      <c r="E321" s="2970"/>
      <c r="F321" s="2959">
        <v>0.05</v>
      </c>
      <c r="G321" s="2976"/>
    </row>
    <row r="322" spans="1:7">
      <c r="A322" s="2969" t="s">
        <v>306</v>
      </c>
      <c r="B322" s="2958" t="s">
        <v>3225</v>
      </c>
      <c r="C322" s="2970"/>
      <c r="D322" s="2970"/>
      <c r="E322" s="2970"/>
      <c r="F322" s="2959">
        <v>0.05</v>
      </c>
      <c r="G322" s="2976"/>
    </row>
    <row r="323" spans="1:7">
      <c r="A323" s="2969" t="s">
        <v>306</v>
      </c>
      <c r="B323" s="2958" t="s">
        <v>3226</v>
      </c>
      <c r="C323" s="2970"/>
      <c r="D323" s="2970"/>
      <c r="E323" s="2970"/>
      <c r="F323" s="2959">
        <v>0.05</v>
      </c>
      <c r="G323" s="2976"/>
    </row>
    <row r="324" spans="1:7">
      <c r="A324" s="2969" t="s">
        <v>306</v>
      </c>
      <c r="B324" s="2958" t="s">
        <v>3227</v>
      </c>
      <c r="C324" s="2970"/>
      <c r="D324" s="2970"/>
      <c r="E324" s="2970"/>
      <c r="F324" s="2959">
        <v>0.05</v>
      </c>
      <c r="G324" s="2976"/>
    </row>
    <row r="325" spans="1:7">
      <c r="A325" s="2969" t="s">
        <v>306</v>
      </c>
      <c r="B325" s="2958" t="s">
        <v>3228</v>
      </c>
      <c r="C325" s="2970"/>
      <c r="D325" s="2970"/>
      <c r="E325" s="2970"/>
      <c r="F325" s="2959">
        <v>0.05</v>
      </c>
      <c r="G325" s="2976"/>
    </row>
    <row r="326" spans="1:7" ht="14.25" thickBot="1">
      <c r="A326" s="2972" t="s">
        <v>306</v>
      </c>
      <c r="B326" s="2962" t="s">
        <v>3229</v>
      </c>
      <c r="C326" s="2964"/>
      <c r="D326" s="2964"/>
      <c r="E326" s="2964"/>
      <c r="F326" s="2963">
        <v>0.05</v>
      </c>
      <c r="G326" s="2977"/>
    </row>
    <row r="327" spans="1:7">
      <c r="A327" s="2968" t="s">
        <v>307</v>
      </c>
      <c r="B327" s="2954" t="s">
        <v>2861</v>
      </c>
      <c r="C327" s="2955">
        <v>0.15</v>
      </c>
      <c r="D327" s="2955">
        <v>0.15</v>
      </c>
      <c r="E327" s="2955">
        <v>0.15</v>
      </c>
      <c r="F327" s="2955">
        <v>0.15</v>
      </c>
      <c r="G327" s="2956">
        <v>0.15</v>
      </c>
    </row>
    <row r="328" spans="1:7">
      <c r="A328" s="2969" t="s">
        <v>307</v>
      </c>
      <c r="B328" s="2958" t="s">
        <v>136</v>
      </c>
      <c r="C328" s="2959">
        <v>0.15</v>
      </c>
      <c r="D328" s="2959">
        <v>0.15</v>
      </c>
      <c r="E328" s="2959">
        <v>0.15</v>
      </c>
      <c r="F328" s="2959">
        <v>0.126</v>
      </c>
      <c r="G328" s="2960">
        <v>0.15</v>
      </c>
    </row>
    <row r="329" spans="1:7">
      <c r="A329" s="2969" t="s">
        <v>307</v>
      </c>
      <c r="B329" s="2958" t="s">
        <v>2873</v>
      </c>
      <c r="C329" s="2959">
        <v>0.15</v>
      </c>
      <c r="D329" s="2959">
        <v>0.15</v>
      </c>
      <c r="E329" s="2959">
        <v>0.15</v>
      </c>
      <c r="F329" s="2959">
        <v>0.15</v>
      </c>
      <c r="G329" s="2960">
        <v>0.15</v>
      </c>
    </row>
    <row r="330" spans="1:7">
      <c r="A330" s="2969" t="s">
        <v>307</v>
      </c>
      <c r="B330" s="2958" t="s">
        <v>2877</v>
      </c>
      <c r="C330" s="2959">
        <v>0.15</v>
      </c>
      <c r="D330" s="2959">
        <v>0.15</v>
      </c>
      <c r="E330" s="2959">
        <v>0.15</v>
      </c>
      <c r="F330" s="2959">
        <v>0.15</v>
      </c>
      <c r="G330" s="2960">
        <v>0.15</v>
      </c>
    </row>
    <row r="331" spans="1:7">
      <c r="A331" s="2969" t="s">
        <v>307</v>
      </c>
      <c r="B331" s="2958" t="s">
        <v>161</v>
      </c>
      <c r="C331" s="2959">
        <v>0.15</v>
      </c>
      <c r="D331" s="2959">
        <v>0.15</v>
      </c>
      <c r="E331" s="2959">
        <v>0.15</v>
      </c>
      <c r="F331" s="2959">
        <v>0.15</v>
      </c>
      <c r="G331" s="2960">
        <v>0.15</v>
      </c>
    </row>
    <row r="332" spans="1:7">
      <c r="A332" s="2969" t="s">
        <v>307</v>
      </c>
      <c r="B332" s="2958" t="s">
        <v>2885</v>
      </c>
      <c r="C332" s="2959">
        <v>0.15</v>
      </c>
      <c r="D332" s="2959">
        <v>0.15</v>
      </c>
      <c r="E332" s="2959">
        <v>0.15</v>
      </c>
      <c r="F332" s="2959">
        <v>0.15</v>
      </c>
      <c r="G332" s="2960">
        <v>0.15</v>
      </c>
    </row>
    <row r="333" spans="1:7">
      <c r="A333" s="2969" t="s">
        <v>307</v>
      </c>
      <c r="B333" s="2958" t="s">
        <v>2889</v>
      </c>
      <c r="C333" s="2959">
        <v>0.14899999999999999</v>
      </c>
      <c r="D333" s="2959">
        <v>0.14899999999999999</v>
      </c>
      <c r="E333" s="2959">
        <v>0.15</v>
      </c>
      <c r="F333" s="2959">
        <v>0.11600000000000001</v>
      </c>
      <c r="G333" s="2960">
        <v>0.15</v>
      </c>
    </row>
    <row r="334" spans="1:7">
      <c r="A334" s="2969" t="s">
        <v>307</v>
      </c>
      <c r="B334" s="2958" t="s">
        <v>183</v>
      </c>
      <c r="C334" s="2959">
        <v>0.15</v>
      </c>
      <c r="D334" s="2959">
        <v>0.15</v>
      </c>
      <c r="E334" s="2959">
        <v>0.15</v>
      </c>
      <c r="F334" s="2959">
        <v>0.13</v>
      </c>
      <c r="G334" s="2960">
        <v>0.15</v>
      </c>
    </row>
    <row r="335" spans="1:7">
      <c r="A335" s="2969" t="s">
        <v>307</v>
      </c>
      <c r="B335" s="2958" t="s">
        <v>193</v>
      </c>
      <c r="C335" s="2959">
        <v>0.15</v>
      </c>
      <c r="D335" s="2959">
        <v>0.15</v>
      </c>
      <c r="E335" s="2959">
        <v>0.15</v>
      </c>
      <c r="F335" s="2959">
        <v>0.14399999999999999</v>
      </c>
      <c r="G335" s="2960">
        <v>0.15</v>
      </c>
    </row>
    <row r="336" spans="1:7">
      <c r="A336" s="2969" t="s">
        <v>307</v>
      </c>
      <c r="B336" s="2958" t="s">
        <v>2895</v>
      </c>
      <c r="C336" s="2959">
        <v>0.15</v>
      </c>
      <c r="D336" s="2959">
        <v>0.15</v>
      </c>
      <c r="E336" s="2959">
        <v>0.15</v>
      </c>
      <c r="F336" s="2959">
        <v>0.14199999999999999</v>
      </c>
      <c r="G336" s="2960">
        <v>0.15</v>
      </c>
    </row>
    <row r="337" spans="1:7">
      <c r="A337" s="2969" t="s">
        <v>307</v>
      </c>
      <c r="B337" s="2958" t="s">
        <v>2900</v>
      </c>
      <c r="C337" s="2959">
        <v>0.15</v>
      </c>
      <c r="D337" s="2959">
        <v>0.15</v>
      </c>
      <c r="E337" s="2959">
        <v>0.15</v>
      </c>
      <c r="F337" s="2959">
        <v>0.14499999999999999</v>
      </c>
      <c r="G337" s="2960">
        <v>0.15</v>
      </c>
    </row>
    <row r="338" spans="1:7">
      <c r="A338" s="2969" t="s">
        <v>307</v>
      </c>
      <c r="B338" s="2958" t="s">
        <v>220</v>
      </c>
      <c r="C338" s="2959">
        <v>0.15</v>
      </c>
      <c r="D338" s="2959">
        <v>0.15</v>
      </c>
      <c r="E338" s="2959">
        <v>0.15</v>
      </c>
      <c r="F338" s="2959">
        <v>0.15</v>
      </c>
      <c r="G338" s="2960">
        <v>0.15</v>
      </c>
    </row>
    <row r="339" spans="1:7">
      <c r="A339" s="2969" t="s">
        <v>307</v>
      </c>
      <c r="B339" s="2958" t="s">
        <v>228</v>
      </c>
      <c r="C339" s="2959">
        <v>0.15</v>
      </c>
      <c r="D339" s="2959">
        <v>0.15</v>
      </c>
      <c r="E339" s="2959">
        <v>0.15</v>
      </c>
      <c r="F339" s="2959">
        <v>0.14699999999999999</v>
      </c>
      <c r="G339" s="2960">
        <v>0.15</v>
      </c>
    </row>
    <row r="340" spans="1:7">
      <c r="A340" s="2969" t="s">
        <v>307</v>
      </c>
      <c r="B340" s="2958" t="s">
        <v>2907</v>
      </c>
      <c r="C340" s="2959">
        <v>0.14599999999999999</v>
      </c>
      <c r="D340" s="2959">
        <v>0.14599999999999999</v>
      </c>
      <c r="E340" s="2959">
        <v>0.15</v>
      </c>
      <c r="F340" s="2959">
        <v>0.14099999999999999</v>
      </c>
      <c r="G340" s="2960">
        <v>0.14699999999999999</v>
      </c>
    </row>
    <row r="341" spans="1:7">
      <c r="A341" s="2969" t="s">
        <v>307</v>
      </c>
      <c r="B341" s="2958" t="s">
        <v>207</v>
      </c>
      <c r="C341" s="2959">
        <v>0.126</v>
      </c>
      <c r="D341" s="2959">
        <v>0.124</v>
      </c>
      <c r="E341" s="2959">
        <v>0.14099999999999999</v>
      </c>
      <c r="F341" s="2959">
        <v>0.14399999999999999</v>
      </c>
      <c r="G341" s="2960">
        <v>0.13</v>
      </c>
    </row>
    <row r="342" spans="1:7">
      <c r="A342" s="2969" t="s">
        <v>307</v>
      </c>
      <c r="B342" s="2958" t="s">
        <v>2912</v>
      </c>
      <c r="C342" s="2959">
        <v>0.15</v>
      </c>
      <c r="D342" s="2959">
        <v>0.15</v>
      </c>
      <c r="E342" s="2959">
        <v>0.15</v>
      </c>
      <c r="F342" s="2959">
        <v>0.14399999999999999</v>
      </c>
      <c r="G342" s="2960">
        <v>0.15</v>
      </c>
    </row>
    <row r="343" spans="1:7">
      <c r="A343" s="2969" t="s">
        <v>307</v>
      </c>
      <c r="B343" s="2958" t="s">
        <v>257</v>
      </c>
      <c r="C343" s="2959">
        <v>0.15</v>
      </c>
      <c r="D343" s="2959">
        <v>0.15</v>
      </c>
      <c r="E343" s="2959">
        <v>0.15</v>
      </c>
      <c r="F343" s="2959">
        <v>0.128</v>
      </c>
      <c r="G343" s="2960">
        <v>0.15</v>
      </c>
    </row>
    <row r="344" spans="1:7">
      <c r="A344" s="2969" t="s">
        <v>307</v>
      </c>
      <c r="B344" s="2958" t="s">
        <v>265</v>
      </c>
      <c r="C344" s="2959">
        <v>0.15</v>
      </c>
      <c r="D344" s="2959">
        <v>0.15</v>
      </c>
      <c r="E344" s="2959">
        <v>0.15</v>
      </c>
      <c r="F344" s="2959">
        <v>0.14799999999999999</v>
      </c>
      <c r="G344" s="2960">
        <v>0.15</v>
      </c>
    </row>
    <row r="345" spans="1:7">
      <c r="A345" s="2969" t="s">
        <v>307</v>
      </c>
      <c r="B345" s="2958" t="s">
        <v>2920</v>
      </c>
      <c r="C345" s="2959">
        <v>0.15</v>
      </c>
      <c r="D345" s="2959">
        <v>0.15</v>
      </c>
      <c r="E345" s="2959">
        <v>0.15</v>
      </c>
      <c r="F345" s="2959">
        <v>0.13800000000000001</v>
      </c>
      <c r="G345" s="2960">
        <v>0.15</v>
      </c>
    </row>
    <row r="346" spans="1:7">
      <c r="A346" s="2969" t="s">
        <v>307</v>
      </c>
      <c r="B346" s="2958" t="s">
        <v>2922</v>
      </c>
      <c r="C346" s="2959">
        <v>0.15</v>
      </c>
      <c r="D346" s="2959">
        <v>0.15</v>
      </c>
      <c r="E346" s="2959">
        <v>0.15</v>
      </c>
      <c r="F346" s="2959">
        <v>0.14399999999999999</v>
      </c>
      <c r="G346" s="2960">
        <v>0.15</v>
      </c>
    </row>
    <row r="347" spans="1:7">
      <c r="A347" s="2969" t="s">
        <v>307</v>
      </c>
      <c r="B347" s="2958" t="s">
        <v>243</v>
      </c>
      <c r="C347" s="2959">
        <v>0.15</v>
      </c>
      <c r="D347" s="2959">
        <v>0.15</v>
      </c>
      <c r="E347" s="2959">
        <v>0.15</v>
      </c>
      <c r="F347" s="2959">
        <v>0.14599999999999999</v>
      </c>
      <c r="G347" s="2960">
        <v>0.15</v>
      </c>
    </row>
    <row r="348" spans="1:7">
      <c r="A348" s="2969" t="s">
        <v>307</v>
      </c>
      <c r="B348" s="2958" t="s">
        <v>2929</v>
      </c>
      <c r="C348" s="2959">
        <v>0.15</v>
      </c>
      <c r="D348" s="2959">
        <v>0.15</v>
      </c>
      <c r="E348" s="2959">
        <v>0.15</v>
      </c>
      <c r="F348" s="2959">
        <v>0.14399999999999999</v>
      </c>
      <c r="G348" s="2960">
        <v>0.15</v>
      </c>
    </row>
    <row r="349" spans="1:7">
      <c r="A349" s="2969" t="s">
        <v>307</v>
      </c>
      <c r="B349" s="2958" t="s">
        <v>2934</v>
      </c>
      <c r="C349" s="2959">
        <v>0.15</v>
      </c>
      <c r="D349" s="2959">
        <v>0.15</v>
      </c>
      <c r="E349" s="2959">
        <v>0.15</v>
      </c>
      <c r="F349" s="2959">
        <v>0.15</v>
      </c>
      <c r="G349" s="2960">
        <v>0.15</v>
      </c>
    </row>
    <row r="350" spans="1:7">
      <c r="A350" s="2969" t="s">
        <v>307</v>
      </c>
      <c r="B350" s="2958" t="s">
        <v>2937</v>
      </c>
      <c r="C350" s="2959">
        <v>0.15</v>
      </c>
      <c r="D350" s="2959">
        <v>0.15</v>
      </c>
      <c r="E350" s="2959">
        <v>0.15</v>
      </c>
      <c r="F350" s="2959">
        <v>0.14699999999999999</v>
      </c>
      <c r="G350" s="2960">
        <v>0.15</v>
      </c>
    </row>
    <row r="351" spans="1:7">
      <c r="A351" s="2969" t="s">
        <v>307</v>
      </c>
      <c r="B351" s="2958" t="s">
        <v>2942</v>
      </c>
      <c r="C351" s="2959">
        <v>0.15</v>
      </c>
      <c r="D351" s="2959">
        <v>0.15</v>
      </c>
      <c r="E351" s="2959">
        <v>0.15</v>
      </c>
      <c r="F351" s="2959">
        <v>0.13</v>
      </c>
      <c r="G351" s="2960">
        <v>0.15</v>
      </c>
    </row>
    <row r="352" spans="1:7">
      <c r="A352" s="2969" t="s">
        <v>307</v>
      </c>
      <c r="B352" s="2958" t="s">
        <v>2947</v>
      </c>
      <c r="C352" s="2959">
        <v>0.15</v>
      </c>
      <c r="D352" s="2959">
        <v>0.15</v>
      </c>
      <c r="E352" s="2959">
        <v>0.15</v>
      </c>
      <c r="F352" s="2959">
        <v>0.14599999999999999</v>
      </c>
      <c r="G352" s="2960">
        <v>0.15</v>
      </c>
    </row>
    <row r="353" spans="1:7">
      <c r="A353" s="2969" t="s">
        <v>307</v>
      </c>
      <c r="B353" s="2958" t="s">
        <v>2954</v>
      </c>
      <c r="C353" s="2959">
        <v>0.15</v>
      </c>
      <c r="D353" s="2959">
        <v>0.15</v>
      </c>
      <c r="E353" s="2959">
        <v>0.15</v>
      </c>
      <c r="F353" s="2959">
        <v>0.14499999999999999</v>
      </c>
      <c r="G353" s="2960">
        <v>0.15</v>
      </c>
    </row>
    <row r="354" spans="1:7">
      <c r="A354" s="2969" t="s">
        <v>307</v>
      </c>
      <c r="B354" s="2958" t="s">
        <v>280</v>
      </c>
      <c r="C354" s="2959">
        <v>0.15</v>
      </c>
      <c r="D354" s="2959">
        <v>0.15</v>
      </c>
      <c r="E354" s="2959">
        <v>0.15</v>
      </c>
      <c r="F354" s="2959">
        <v>0.14099999999999999</v>
      </c>
      <c r="G354" s="2960">
        <v>0.15</v>
      </c>
    </row>
    <row r="355" spans="1:7">
      <c r="A355" s="2969" t="s">
        <v>307</v>
      </c>
      <c r="B355" s="2958" t="s">
        <v>2967</v>
      </c>
      <c r="C355" s="2959">
        <v>0.15</v>
      </c>
      <c r="D355" s="2959">
        <v>0.15</v>
      </c>
      <c r="E355" s="2959">
        <v>0.15</v>
      </c>
      <c r="F355" s="2959">
        <v>0.15</v>
      </c>
      <c r="G355" s="2960">
        <v>0.15</v>
      </c>
    </row>
    <row r="356" spans="1:7">
      <c r="A356" s="2969" t="s">
        <v>307</v>
      </c>
      <c r="B356" s="2958" t="s">
        <v>2974</v>
      </c>
      <c r="C356" s="2959">
        <v>0.15</v>
      </c>
      <c r="D356" s="2959">
        <v>0.15</v>
      </c>
      <c r="E356" s="2959">
        <v>0.15</v>
      </c>
      <c r="F356" s="2959">
        <v>0.15</v>
      </c>
      <c r="G356" s="2960">
        <v>0.15</v>
      </c>
    </row>
    <row r="357" spans="1:7" ht="14.25" thickBot="1">
      <c r="A357" s="2972" t="s">
        <v>307</v>
      </c>
      <c r="B357" s="2962" t="s">
        <v>2979</v>
      </c>
      <c r="C357" s="2963">
        <v>0.126</v>
      </c>
      <c r="D357" s="2963">
        <v>0.127</v>
      </c>
      <c r="E357" s="2963">
        <v>0.14299999999999999</v>
      </c>
      <c r="F357" s="2963">
        <v>0.125</v>
      </c>
      <c r="G357" s="2965">
        <v>0.129</v>
      </c>
    </row>
    <row r="358" spans="1:7">
      <c r="A358" s="2968" t="s">
        <v>2848</v>
      </c>
      <c r="B358" s="2954" t="s">
        <v>2862</v>
      </c>
      <c r="C358" s="2955">
        <v>0.15</v>
      </c>
      <c r="D358" s="2955">
        <v>0.15</v>
      </c>
      <c r="E358" s="2955">
        <v>0.15</v>
      </c>
      <c r="F358" s="2955">
        <v>0.15</v>
      </c>
      <c r="G358" s="2956">
        <v>0.15</v>
      </c>
    </row>
    <row r="359" spans="1:7">
      <c r="A359" s="2969" t="s">
        <v>2848</v>
      </c>
      <c r="B359" s="2958" t="s">
        <v>2868</v>
      </c>
      <c r="C359" s="2959">
        <v>0.1</v>
      </c>
      <c r="D359" s="2959">
        <v>0.1</v>
      </c>
      <c r="E359" s="2959">
        <v>0.1</v>
      </c>
      <c r="F359" s="2959">
        <v>0.1</v>
      </c>
      <c r="G359" s="2960">
        <v>0.1</v>
      </c>
    </row>
    <row r="360" spans="1:7">
      <c r="A360" s="2969" t="s">
        <v>2848</v>
      </c>
      <c r="B360" s="2958" t="s">
        <v>2874</v>
      </c>
      <c r="C360" s="2959">
        <v>0.15</v>
      </c>
      <c r="D360" s="2959">
        <v>0.15</v>
      </c>
      <c r="E360" s="2959">
        <v>0.15</v>
      </c>
      <c r="F360" s="2959">
        <v>0.14899999999999999</v>
      </c>
      <c r="G360" s="2960">
        <v>0.15</v>
      </c>
    </row>
    <row r="361" spans="1:7">
      <c r="A361" s="2969" t="s">
        <v>2848</v>
      </c>
      <c r="B361" s="2958" t="s">
        <v>153</v>
      </c>
      <c r="C361" s="2959">
        <v>0.15</v>
      </c>
      <c r="D361" s="2959">
        <v>0.15</v>
      </c>
      <c r="E361" s="2959">
        <v>0.15</v>
      </c>
      <c r="F361" s="2959">
        <v>0.115</v>
      </c>
      <c r="G361" s="2960">
        <v>0.15</v>
      </c>
    </row>
    <row r="362" spans="1:7">
      <c r="A362" s="2969" t="s">
        <v>2848</v>
      </c>
      <c r="B362" s="2958" t="s">
        <v>2881</v>
      </c>
      <c r="C362" s="2959">
        <v>0.15</v>
      </c>
      <c r="D362" s="2959">
        <v>0.15</v>
      </c>
      <c r="E362" s="2959">
        <v>0.15</v>
      </c>
      <c r="F362" s="2959">
        <v>0.106</v>
      </c>
      <c r="G362" s="2960">
        <v>0.15</v>
      </c>
    </row>
    <row r="363" spans="1:7">
      <c r="A363" s="2969" t="s">
        <v>2848</v>
      </c>
      <c r="B363" s="2958" t="s">
        <v>2886</v>
      </c>
      <c r="C363" s="2959">
        <v>0.15</v>
      </c>
      <c r="D363" s="2959">
        <v>0.15</v>
      </c>
      <c r="E363" s="2959">
        <v>0.15</v>
      </c>
      <c r="F363" s="2959">
        <v>0.14699999999999999</v>
      </c>
      <c r="G363" s="2960">
        <v>0.15</v>
      </c>
    </row>
    <row r="364" spans="1:7">
      <c r="A364" s="2969" t="s">
        <v>2848</v>
      </c>
      <c r="B364" s="2958" t="s">
        <v>2890</v>
      </c>
      <c r="C364" s="2959">
        <v>0.15</v>
      </c>
      <c r="D364" s="2959">
        <v>0.15</v>
      </c>
      <c r="E364" s="2959">
        <v>0.15</v>
      </c>
      <c r="F364" s="2959">
        <v>0.14799999999999999</v>
      </c>
      <c r="G364" s="2960">
        <v>0.15</v>
      </c>
    </row>
    <row r="365" spans="1:7">
      <c r="A365" s="2969" t="s">
        <v>2848</v>
      </c>
      <c r="B365" s="2958" t="s">
        <v>200</v>
      </c>
      <c r="C365" s="2959">
        <v>0.15</v>
      </c>
      <c r="D365" s="2959">
        <v>0.15</v>
      </c>
      <c r="E365" s="2959">
        <v>0.15</v>
      </c>
      <c r="F365" s="2959">
        <v>0.15</v>
      </c>
      <c r="G365" s="2960">
        <v>0.15</v>
      </c>
    </row>
    <row r="366" spans="1:7">
      <c r="A366" s="2969" t="s">
        <v>2848</v>
      </c>
      <c r="B366" s="2958" t="s">
        <v>2893</v>
      </c>
      <c r="C366" s="2959">
        <v>0.15</v>
      </c>
      <c r="D366" s="2959">
        <v>0.15</v>
      </c>
      <c r="E366" s="2959">
        <v>0.15</v>
      </c>
      <c r="F366" s="2959">
        <v>0.15</v>
      </c>
      <c r="G366" s="2960">
        <v>0.15</v>
      </c>
    </row>
    <row r="367" spans="1:7">
      <c r="A367" s="2969" t="s">
        <v>2848</v>
      </c>
      <c r="B367" s="2958" t="s">
        <v>2896</v>
      </c>
      <c r="C367" s="2959">
        <v>0.15</v>
      </c>
      <c r="D367" s="2959">
        <v>0.15</v>
      </c>
      <c r="E367" s="2959">
        <v>0.15</v>
      </c>
      <c r="F367" s="2959">
        <v>0.14699999999999999</v>
      </c>
      <c r="G367" s="2960">
        <v>0.15</v>
      </c>
    </row>
    <row r="368" spans="1:7">
      <c r="A368" s="2969" t="s">
        <v>2848</v>
      </c>
      <c r="B368" s="2958" t="s">
        <v>2901</v>
      </c>
      <c r="C368" s="2959">
        <v>0.15</v>
      </c>
      <c r="D368" s="2959">
        <v>0.15</v>
      </c>
      <c r="E368" s="2959">
        <v>0.15</v>
      </c>
      <c r="F368" s="2959">
        <v>0.13600000000000001</v>
      </c>
      <c r="G368" s="2960">
        <v>0.15</v>
      </c>
    </row>
    <row r="369" spans="1:7">
      <c r="A369" s="2969" t="s">
        <v>2848</v>
      </c>
      <c r="B369" s="2958" t="s">
        <v>214</v>
      </c>
      <c r="C369" s="2959">
        <v>0.15</v>
      </c>
      <c r="D369" s="2959">
        <v>0.15</v>
      </c>
      <c r="E369" s="2959">
        <v>0.15</v>
      </c>
      <c r="F369" s="2959">
        <v>0.14399999999999999</v>
      </c>
      <c r="G369" s="2960">
        <v>0.15</v>
      </c>
    </row>
    <row r="370" spans="1:7">
      <c r="A370" s="2969" t="s">
        <v>2848</v>
      </c>
      <c r="B370" s="2958" t="s">
        <v>221</v>
      </c>
      <c r="C370" s="2959">
        <v>0.15</v>
      </c>
      <c r="D370" s="2959">
        <v>0.15</v>
      </c>
      <c r="E370" s="2959">
        <v>0.15</v>
      </c>
      <c r="F370" s="2959">
        <v>0.14599999999999999</v>
      </c>
      <c r="G370" s="2960">
        <v>0.15</v>
      </c>
    </row>
    <row r="371" spans="1:7">
      <c r="A371" s="2969" t="s">
        <v>2848</v>
      </c>
      <c r="B371" s="2958" t="s">
        <v>229</v>
      </c>
      <c r="C371" s="2959">
        <v>0.15</v>
      </c>
      <c r="D371" s="2959">
        <v>0.15</v>
      </c>
      <c r="E371" s="2959">
        <v>0.15</v>
      </c>
      <c r="F371" s="2959">
        <v>0.12</v>
      </c>
      <c r="G371" s="2960">
        <v>0.15</v>
      </c>
    </row>
    <row r="372" spans="1:7">
      <c r="A372" s="2969" t="s">
        <v>2848</v>
      </c>
      <c r="B372" s="2958" t="s">
        <v>2909</v>
      </c>
      <c r="C372" s="2959">
        <v>0.15</v>
      </c>
      <c r="D372" s="2959">
        <v>0.15</v>
      </c>
      <c r="E372" s="2959">
        <v>0.15</v>
      </c>
      <c r="F372" s="2959">
        <v>0.14299999999999999</v>
      </c>
      <c r="G372" s="2960">
        <v>0.15</v>
      </c>
    </row>
    <row r="373" spans="1:7">
      <c r="A373" s="2969" t="s">
        <v>2848</v>
      </c>
      <c r="B373" s="2958" t="s">
        <v>258</v>
      </c>
      <c r="C373" s="2959">
        <v>0.15</v>
      </c>
      <c r="D373" s="2959">
        <v>0.15</v>
      </c>
      <c r="E373" s="2959">
        <v>0.15</v>
      </c>
      <c r="F373" s="2959">
        <v>0.14599999999999999</v>
      </c>
      <c r="G373" s="2960">
        <v>0.15</v>
      </c>
    </row>
    <row r="374" spans="1:7">
      <c r="A374" s="2969" t="s">
        <v>2848</v>
      </c>
      <c r="B374" s="2958" t="s">
        <v>266</v>
      </c>
      <c r="C374" s="2959">
        <v>0.15</v>
      </c>
      <c r="D374" s="2959">
        <v>0.15</v>
      </c>
      <c r="E374" s="2959">
        <v>0.15</v>
      </c>
      <c r="F374" s="2959">
        <v>0.14399999999999999</v>
      </c>
      <c r="G374" s="2960">
        <v>0.15</v>
      </c>
    </row>
    <row r="375" spans="1:7">
      <c r="A375" s="2969" t="s">
        <v>2848</v>
      </c>
      <c r="B375" s="2958" t="s">
        <v>2917</v>
      </c>
      <c r="C375" s="2959">
        <v>0.15</v>
      </c>
      <c r="D375" s="2959">
        <v>0.15</v>
      </c>
      <c r="E375" s="2959">
        <v>0.15</v>
      </c>
      <c r="F375" s="2959">
        <v>0.13</v>
      </c>
      <c r="G375" s="2960">
        <v>0.15</v>
      </c>
    </row>
    <row r="376" spans="1:7">
      <c r="A376" s="2969" t="s">
        <v>2848</v>
      </c>
      <c r="B376" s="2958" t="s">
        <v>277</v>
      </c>
      <c r="C376" s="2959">
        <v>0.15</v>
      </c>
      <c r="D376" s="2959">
        <v>0.15</v>
      </c>
      <c r="E376" s="2959">
        <v>0.15</v>
      </c>
      <c r="F376" s="2959">
        <v>0.14199999999999999</v>
      </c>
      <c r="G376" s="2960">
        <v>0.15</v>
      </c>
    </row>
    <row r="377" spans="1:7" ht="14.25" thickBot="1">
      <c r="A377" s="2972" t="s">
        <v>2848</v>
      </c>
      <c r="B377" s="2962" t="s">
        <v>2923</v>
      </c>
      <c r="C377" s="2963">
        <v>0.15</v>
      </c>
      <c r="D377" s="2963">
        <v>0.15</v>
      </c>
      <c r="E377" s="2963">
        <v>0.15</v>
      </c>
      <c r="F377" s="2963">
        <v>0.14000000000000001</v>
      </c>
      <c r="G377" s="2965">
        <v>0.15</v>
      </c>
    </row>
    <row r="378" spans="1:7">
      <c r="A378" s="2968" t="s">
        <v>2849</v>
      </c>
      <c r="B378" s="2954" t="s">
        <v>2863</v>
      </c>
      <c r="C378" s="2955">
        <v>0.15</v>
      </c>
      <c r="D378" s="2955">
        <v>0.15</v>
      </c>
      <c r="E378" s="2955">
        <v>0.15</v>
      </c>
      <c r="F378" s="2955">
        <v>0.107</v>
      </c>
      <c r="G378" s="2956">
        <v>0.15</v>
      </c>
    </row>
    <row r="379" spans="1:7">
      <c r="A379" s="2969" t="s">
        <v>2849</v>
      </c>
      <c r="B379" s="2958" t="s">
        <v>2869</v>
      </c>
      <c r="C379" s="2959">
        <v>0.15</v>
      </c>
      <c r="D379" s="2959">
        <v>0.15</v>
      </c>
      <c r="E379" s="2959">
        <v>0.15</v>
      </c>
      <c r="F379" s="2959">
        <v>0.115</v>
      </c>
      <c r="G379" s="2960">
        <v>0.14899999999999999</v>
      </c>
    </row>
    <row r="380" spans="1:7">
      <c r="A380" s="2969" t="s">
        <v>2849</v>
      </c>
      <c r="B380" s="2958" t="s">
        <v>2875</v>
      </c>
      <c r="C380" s="2959">
        <v>0.15</v>
      </c>
      <c r="D380" s="2959">
        <v>0.15</v>
      </c>
      <c r="E380" s="2959">
        <v>0.15</v>
      </c>
      <c r="F380" s="2959">
        <v>0.1</v>
      </c>
      <c r="G380" s="2960">
        <v>0.14799999999999999</v>
      </c>
    </row>
    <row r="381" spans="1:7">
      <c r="A381" s="2969" t="s">
        <v>2849</v>
      </c>
      <c r="B381" s="2958" t="s">
        <v>2878</v>
      </c>
      <c r="C381" s="2959">
        <v>0.15</v>
      </c>
      <c r="D381" s="2959">
        <v>0.15</v>
      </c>
      <c r="E381" s="2959">
        <v>0.15</v>
      </c>
      <c r="F381" s="2959">
        <v>0.126</v>
      </c>
      <c r="G381" s="2960">
        <v>0.15</v>
      </c>
    </row>
    <row r="382" spans="1:7">
      <c r="A382" s="2969" t="s">
        <v>2849</v>
      </c>
      <c r="B382" s="2958" t="s">
        <v>2882</v>
      </c>
      <c r="C382" s="2959">
        <v>0.15</v>
      </c>
      <c r="D382" s="2959">
        <v>0.15</v>
      </c>
      <c r="E382" s="2959">
        <v>0.15</v>
      </c>
      <c r="F382" s="2959">
        <v>0.15</v>
      </c>
      <c r="G382" s="2960">
        <v>0.15</v>
      </c>
    </row>
    <row r="383" spans="1:7">
      <c r="A383" s="2969" t="s">
        <v>2849</v>
      </c>
      <c r="B383" s="2958" t="s">
        <v>2887</v>
      </c>
      <c r="C383" s="2959">
        <v>0.15</v>
      </c>
      <c r="D383" s="2959">
        <v>0.15</v>
      </c>
      <c r="E383" s="2959">
        <v>0.15</v>
      </c>
      <c r="F383" s="2959">
        <v>0.14699999999999999</v>
      </c>
      <c r="G383" s="2960">
        <v>0.15</v>
      </c>
    </row>
    <row r="384" spans="1:7" ht="14.25" thickBot="1">
      <c r="A384" s="2979" t="s">
        <v>2849</v>
      </c>
      <c r="B384" s="2980" t="s">
        <v>2891</v>
      </c>
      <c r="C384" s="2981">
        <v>0.15</v>
      </c>
      <c r="D384" s="2981">
        <v>0.15</v>
      </c>
      <c r="E384" s="2981">
        <v>0.15</v>
      </c>
      <c r="F384" s="2981">
        <v>0.15</v>
      </c>
      <c r="G384" s="298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4"/>
  </cols>
  <sheetData>
    <row r="1" spans="1:6">
      <c r="A1" s="3604" t="s">
        <v>3230</v>
      </c>
      <c r="B1" s="3604"/>
      <c r="C1" s="3604"/>
      <c r="D1" s="3604"/>
      <c r="E1" s="3604"/>
      <c r="F1" s="3605"/>
    </row>
    <row r="2" spans="1:6">
      <c r="A2" s="2983" t="s">
        <v>3231</v>
      </c>
    </row>
    <row r="3" spans="1:6">
      <c r="A3" s="2983" t="s">
        <v>3232</v>
      </c>
      <c r="F3" s="2984" t="s">
        <v>3233</v>
      </c>
    </row>
    <row r="4" spans="1:6">
      <c r="A4" s="2985" t="s">
        <v>669</v>
      </c>
      <c r="B4" s="2985" t="s">
        <v>670</v>
      </c>
      <c r="C4" s="2985" t="s">
        <v>21</v>
      </c>
      <c r="D4" s="2985" t="s">
        <v>671</v>
      </c>
      <c r="E4" s="2985" t="s">
        <v>3</v>
      </c>
      <c r="F4" s="2985" t="s">
        <v>3234</v>
      </c>
    </row>
    <row r="5" spans="1:6">
      <c r="A5" s="2986" t="s">
        <v>672</v>
      </c>
      <c r="B5" s="2985"/>
      <c r="C5" s="2985"/>
      <c r="D5" s="2985"/>
      <c r="E5" s="2985"/>
      <c r="F5" s="2987"/>
    </row>
    <row r="6" spans="1:6">
      <c r="A6" s="2986" t="s">
        <v>144</v>
      </c>
      <c r="B6" s="2988">
        <v>35380</v>
      </c>
      <c r="C6" s="2988">
        <v>35180</v>
      </c>
      <c r="D6" s="2988">
        <v>35030</v>
      </c>
      <c r="E6" s="2988">
        <v>13780</v>
      </c>
      <c r="F6" s="2988">
        <v>25980</v>
      </c>
    </row>
    <row r="7" spans="1:6">
      <c r="A7" s="2986" t="s">
        <v>184</v>
      </c>
      <c r="B7" s="2988">
        <v>29960</v>
      </c>
      <c r="C7" s="2988">
        <v>29800</v>
      </c>
      <c r="D7" s="2988">
        <v>29690</v>
      </c>
      <c r="E7" s="2988">
        <v>10100</v>
      </c>
      <c r="F7" s="2988">
        <v>21690</v>
      </c>
    </row>
    <row r="8" spans="1:6">
      <c r="A8" s="2986" t="s">
        <v>296</v>
      </c>
      <c r="B8" s="2988">
        <v>24480</v>
      </c>
      <c r="C8" s="2988">
        <v>24380</v>
      </c>
      <c r="D8" s="2988">
        <v>25590</v>
      </c>
      <c r="E8" s="2988">
        <v>7010</v>
      </c>
      <c r="F8" s="2988">
        <v>17060</v>
      </c>
    </row>
    <row r="9" spans="1:6">
      <c r="A9" s="2986" t="s">
        <v>110</v>
      </c>
      <c r="B9" s="2988">
        <v>19370</v>
      </c>
      <c r="C9" s="2988">
        <v>19290</v>
      </c>
      <c r="D9" s="2988">
        <v>21280</v>
      </c>
      <c r="E9" s="2988">
        <v>4910</v>
      </c>
      <c r="F9" s="2988">
        <v>13090</v>
      </c>
    </row>
    <row r="10" spans="1:6">
      <c r="A10" s="2986" t="s">
        <v>303</v>
      </c>
      <c r="B10" s="2988">
        <v>15050</v>
      </c>
      <c r="C10" s="2988">
        <v>14980</v>
      </c>
      <c r="D10" s="2988">
        <v>17300</v>
      </c>
      <c r="E10" s="2988">
        <v>3450</v>
      </c>
      <c r="F10" s="2988">
        <v>9900</v>
      </c>
    </row>
    <row r="11" spans="1:6">
      <c r="A11" s="2986" t="s">
        <v>29</v>
      </c>
      <c r="B11" s="2988">
        <v>11550</v>
      </c>
      <c r="C11" s="2988">
        <v>11490</v>
      </c>
      <c r="D11" s="2988">
        <v>13850</v>
      </c>
      <c r="E11" s="2988">
        <v>2400</v>
      </c>
      <c r="F11" s="2988">
        <v>7390</v>
      </c>
    </row>
    <row r="12" spans="1:6">
      <c r="A12" s="2986" t="s">
        <v>304</v>
      </c>
      <c r="B12" s="2988">
        <v>8630</v>
      </c>
      <c r="C12" s="2988">
        <v>8580</v>
      </c>
      <c r="D12" s="2988">
        <v>10740</v>
      </c>
      <c r="E12" s="2988">
        <v>1720</v>
      </c>
      <c r="F12" s="2988">
        <v>5420</v>
      </c>
    </row>
    <row r="13" spans="1:6">
      <c r="A13" s="2986" t="s">
        <v>305</v>
      </c>
      <c r="B13" s="2988">
        <v>6620</v>
      </c>
      <c r="C13" s="2988">
        <v>6580</v>
      </c>
      <c r="D13" s="2988">
        <v>7830</v>
      </c>
      <c r="E13" s="2988">
        <v>1260</v>
      </c>
      <c r="F13" s="2988">
        <v>4040</v>
      </c>
    </row>
    <row r="14" spans="1:6">
      <c r="A14" s="2986" t="s">
        <v>306</v>
      </c>
      <c r="B14" s="2988">
        <v>4900</v>
      </c>
      <c r="C14" s="2988">
        <v>4860</v>
      </c>
      <c r="D14" s="2988">
        <v>5540</v>
      </c>
      <c r="E14" s="2988">
        <v>950</v>
      </c>
      <c r="F14" s="2988">
        <v>2930</v>
      </c>
    </row>
    <row r="15" spans="1:6">
      <c r="A15" s="2986" t="s">
        <v>307</v>
      </c>
      <c r="B15" s="2988">
        <v>3380</v>
      </c>
      <c r="C15" s="2988">
        <v>3340</v>
      </c>
      <c r="D15" s="2988">
        <v>3630</v>
      </c>
      <c r="E15" s="2988">
        <v>730</v>
      </c>
      <c r="F15" s="2988">
        <v>1990</v>
      </c>
    </row>
    <row r="16" spans="1:6">
      <c r="A16" s="2986" t="s">
        <v>369</v>
      </c>
      <c r="B16" s="2988">
        <v>2230</v>
      </c>
      <c r="C16" s="2988">
        <v>2200</v>
      </c>
      <c r="D16" s="2988">
        <v>2180</v>
      </c>
      <c r="E16" s="2988">
        <v>570</v>
      </c>
      <c r="F16" s="2988">
        <v>1330</v>
      </c>
    </row>
    <row r="17" spans="1:6">
      <c r="A17" s="2986" t="s">
        <v>370</v>
      </c>
      <c r="B17" s="2988">
        <v>1390</v>
      </c>
      <c r="C17" s="2988">
        <v>1360</v>
      </c>
      <c r="D17" s="2988">
        <v>1340</v>
      </c>
      <c r="E17" s="2988">
        <v>450</v>
      </c>
      <c r="F17" s="29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18">
        <f>基准地价修正!G23</f>
        <v>45418</v>
      </c>
      <c r="B1" s="2910" t="s">
        <v>3368</v>
      </c>
      <c r="C1" s="2911"/>
      <c r="D1" s="2911"/>
      <c r="E1" s="2911"/>
      <c r="F1" s="2911"/>
      <c r="G1" s="2911"/>
      <c r="H1" s="2911"/>
      <c r="I1" s="2911"/>
      <c r="J1" s="2877"/>
      <c r="K1" s="2911" t="s">
        <v>454</v>
      </c>
      <c r="L1" s="2911"/>
      <c r="M1" s="2911"/>
      <c r="N1" s="2911"/>
      <c r="O1" s="2911"/>
      <c r="P1" s="2911"/>
      <c r="Q1" s="2877"/>
      <c r="R1" s="3606" t="s">
        <v>456</v>
      </c>
      <c r="S1" s="3607"/>
      <c r="T1" s="3607"/>
      <c r="U1" s="3607"/>
      <c r="V1" s="3607"/>
      <c r="W1" s="3607"/>
      <c r="X1" s="2877"/>
      <c r="Y1" s="3606" t="s">
        <v>457</v>
      </c>
      <c r="Z1" s="3607"/>
      <c r="AA1" s="3607"/>
      <c r="AB1" s="3607"/>
      <c r="AC1" s="3607"/>
      <c r="AD1" s="3607"/>
    </row>
    <row r="2" spans="1:30" s="2002" customFormat="1" ht="14.25" thickBot="1">
      <c r="B2" s="2862"/>
      <c r="C2" s="2863"/>
      <c r="D2" s="2003" t="s">
        <v>2808</v>
      </c>
      <c r="E2" s="2004" t="s">
        <v>2809</v>
      </c>
      <c r="F2" s="2004" t="s">
        <v>2810</v>
      </c>
      <c r="G2" s="2004" t="s">
        <v>2811</v>
      </c>
      <c r="H2" s="2004" t="s">
        <v>2812</v>
      </c>
      <c r="I2" s="2004" t="s">
        <v>2629</v>
      </c>
      <c r="J2" s="2864"/>
      <c r="K2" s="2003" t="s">
        <v>2808</v>
      </c>
      <c r="L2" s="2004" t="s">
        <v>2809</v>
      </c>
      <c r="M2" s="2004" t="s">
        <v>2810</v>
      </c>
      <c r="N2" s="2004" t="s">
        <v>2811</v>
      </c>
      <c r="O2" s="2004" t="s">
        <v>2813</v>
      </c>
      <c r="P2" s="2004" t="s">
        <v>2629</v>
      </c>
      <c r="Q2" s="2864"/>
      <c r="R2" s="2003" t="s">
        <v>2808</v>
      </c>
      <c r="S2" s="2004" t="s">
        <v>2809</v>
      </c>
      <c r="T2" s="2004" t="s">
        <v>2810</v>
      </c>
      <c r="U2" s="2004" t="s">
        <v>2814</v>
      </c>
      <c r="V2" s="2004" t="s">
        <v>2815</v>
      </c>
      <c r="W2" s="2004" t="s">
        <v>2629</v>
      </c>
      <c r="X2" s="2864"/>
      <c r="Y2" s="2003" t="s">
        <v>2808</v>
      </c>
      <c r="Z2" s="2004" t="s">
        <v>2809</v>
      </c>
      <c r="AA2" s="2004" t="s">
        <v>2810</v>
      </c>
      <c r="AB2" s="2004" t="s">
        <v>2816</v>
      </c>
      <c r="AC2" s="2004" t="s">
        <v>2815</v>
      </c>
      <c r="AD2" s="2004" t="s">
        <v>2629</v>
      </c>
    </row>
    <row r="3" spans="1:30" s="2867" customFormat="1" ht="12.75">
      <c r="A3" s="2865" t="s">
        <v>2817</v>
      </c>
      <c r="B3" s="2866"/>
      <c r="D3" s="2867">
        <f>ROUND(AVERAGEIF(D4:D18,"&lt;&gt;0"),2)</f>
        <v>0.73</v>
      </c>
      <c r="E3" s="2867">
        <f t="shared" ref="E3:H3" si="0">ROUND(AVERAGEIF(E4:E18,"&lt;&gt;0"),2)</f>
        <v>0.4</v>
      </c>
      <c r="F3" s="2867">
        <f t="shared" si="0"/>
        <v>0.2</v>
      </c>
      <c r="G3" s="2867">
        <f t="shared" si="0"/>
        <v>0.78</v>
      </c>
      <c r="H3" s="2867">
        <f t="shared" si="0"/>
        <v>0.63</v>
      </c>
      <c r="I3" s="2867">
        <f>F3</f>
        <v>0.2</v>
      </c>
      <c r="J3" s="2868"/>
      <c r="K3" s="2869">
        <f>ROUND(AVERAGEIF(K4:K18,"&lt;&gt;0"),4)</f>
        <v>7.3000000000000001E-3</v>
      </c>
      <c r="L3" s="2870">
        <f t="shared" ref="L3:O3" si="1">ROUND(AVERAGEIF(L4:L18,"&lt;&gt;0"),4)</f>
        <v>4.0000000000000001E-3</v>
      </c>
      <c r="M3" s="2870">
        <f t="shared" si="1"/>
        <v>2E-3</v>
      </c>
      <c r="N3" s="2870">
        <f t="shared" si="1"/>
        <v>7.7999999999999996E-3</v>
      </c>
      <c r="O3" s="2870">
        <f t="shared" si="1"/>
        <v>6.3E-3</v>
      </c>
      <c r="P3" s="2870">
        <f>M3</f>
        <v>2E-3</v>
      </c>
      <c r="Q3" s="2868"/>
      <c r="R3" s="2871">
        <f>ROUND(SUMPRODUCT(PRODUCT(1+K4:K18)),4)</f>
        <v>1.0908</v>
      </c>
      <c r="S3" s="2872">
        <f t="shared" ref="S3:V3" si="2">ROUND(SUMPRODUCT(PRODUCT(1+L4:L18)),4)</f>
        <v>1.0488</v>
      </c>
      <c r="T3" s="2872">
        <f t="shared" si="2"/>
        <v>1.024</v>
      </c>
      <c r="U3" s="2872">
        <f t="shared" si="2"/>
        <v>1.0980000000000001</v>
      </c>
      <c r="V3" s="2872">
        <f t="shared" si="2"/>
        <v>1.0779000000000001</v>
      </c>
      <c r="W3" s="2871">
        <f>T3</f>
        <v>1.024</v>
      </c>
      <c r="X3" s="2868"/>
      <c r="Y3" s="2873">
        <f>ROUND(AVERAGEIF(Y5:Y18,"&lt;&gt;0"),4)</f>
        <v>8.6999999999999994E-3</v>
      </c>
      <c r="Z3" s="2874">
        <f t="shared" ref="Z3:AC3" si="3">ROUND(AVERAGEIF(Z5:Z18,"&lt;&gt;0"),4)</f>
        <v>3.5000000000000001E-3</v>
      </c>
      <c r="AA3" s="2875">
        <f t="shared" si="3"/>
        <v>8.9999999999999998E-4</v>
      </c>
      <c r="AB3" s="2873">
        <f t="shared" si="3"/>
        <v>9.4999999999999998E-3</v>
      </c>
      <c r="AC3" s="2876">
        <f t="shared" si="3"/>
        <v>6.1000000000000004E-3</v>
      </c>
      <c r="AD3" s="2873">
        <f>AA3</f>
        <v>8.9999999999999998E-4</v>
      </c>
    </row>
    <row r="4" spans="1:30" s="2001" customFormat="1" ht="12.75">
      <c r="B4" s="2017"/>
      <c r="J4" s="2877"/>
      <c r="K4" s="2878"/>
      <c r="L4" s="2879"/>
      <c r="M4" s="2879"/>
      <c r="N4" s="2879"/>
      <c r="O4" s="2879"/>
      <c r="P4" s="2879"/>
      <c r="Q4" s="2877"/>
      <c r="R4" s="2019"/>
      <c r="S4" s="2880"/>
      <c r="T4" s="2881"/>
      <c r="U4" s="2019"/>
      <c r="V4" s="2882"/>
      <c r="W4" s="2019"/>
      <c r="X4" s="2877"/>
      <c r="Y4" s="2020"/>
      <c r="Z4" s="2883"/>
      <c r="AA4" s="2884"/>
      <c r="AB4" s="2020"/>
      <c r="AC4" s="2885"/>
      <c r="AD4" s="2020"/>
    </row>
    <row r="5" spans="1:30" s="2037" customFormat="1" ht="12.75">
      <c r="A5" s="2032" t="s">
        <v>3371</v>
      </c>
      <c r="B5" s="2023">
        <v>2024</v>
      </c>
      <c r="C5" s="2034">
        <v>2</v>
      </c>
      <c r="D5" s="1999">
        <v>0</v>
      </c>
      <c r="E5" s="1999">
        <v>0</v>
      </c>
      <c r="F5" s="1999">
        <v>0</v>
      </c>
      <c r="G5" s="1999">
        <v>0</v>
      </c>
      <c r="H5" s="1999">
        <v>0</v>
      </c>
      <c r="I5" s="2000">
        <f t="shared" ref="I5:I18" si="4">F5</f>
        <v>0</v>
      </c>
      <c r="J5" s="2887"/>
      <c r="K5" s="2035">
        <f t="shared" ref="K5:O18" si="5">D5/100</f>
        <v>0</v>
      </c>
      <c r="L5" s="2020">
        <f t="shared" si="5"/>
        <v>0</v>
      </c>
      <c r="M5" s="2020">
        <f t="shared" si="5"/>
        <v>0</v>
      </c>
      <c r="N5" s="2020">
        <f t="shared" si="5"/>
        <v>0</v>
      </c>
      <c r="O5" s="2020">
        <f t="shared" si="5"/>
        <v>0</v>
      </c>
      <c r="P5" s="2020">
        <f>M5</f>
        <v>0</v>
      </c>
      <c r="Q5" s="2887"/>
      <c r="R5" s="2019">
        <f>ROUND(IF(项目基本情况!$B$8="出让",SUMPRODUCT(PRODUCT(1+K5:$K$18)),SUMPRODUCT(PRODUCT(1+K5:$K$17))),4)</f>
        <v>1.0804</v>
      </c>
      <c r="S5" s="2019">
        <f>ROUND(IF(项目基本情况!$B$8="出让",SUMPRODUCT(PRODUCT(1+L5:$L$18)),SUMPRODUCT(PRODUCT(1+L5:$L$17))),4)</f>
        <v>1.0471999999999999</v>
      </c>
      <c r="T5" s="2019">
        <f>ROUND(IF(项目基本情况!$B$8="出让",SUMPRODUCT(PRODUCT(1+M5:$M$18)),SUMPRODUCT(PRODUCT(1+M5:$M$17))),4)</f>
        <v>1.0266</v>
      </c>
      <c r="U5" s="2019">
        <f>ROUND(IF(项目基本情况!$B$8="出让",SUMPRODUCT(PRODUCT(1+N5:$N$18)),SUMPRODUCT(PRODUCT(1+N5:$N$17))),4)</f>
        <v>1.0859000000000001</v>
      </c>
      <c r="V5" s="2019">
        <f>ROUND(IF(项目基本情况!$B$8="出让",SUMPRODUCT(PRODUCT(1+O5:$O$18)),SUMPRODUCT(PRODUCT(1+O5:$O$17))),4)</f>
        <v>1.0741000000000001</v>
      </c>
      <c r="W5" s="2019">
        <f>T5</f>
        <v>1.0266</v>
      </c>
      <c r="X5" s="2887"/>
      <c r="Y5" s="2020">
        <f>IF(D5=0,0,ROUND(AVERAGE(D5:D18)/100,4))</f>
        <v>0</v>
      </c>
      <c r="Z5" s="2020">
        <f t="shared" ref="Z5:AC5" si="6">IF(E5=0,0,ROUND(AVERAGE(E5:E18)/100,4))</f>
        <v>0</v>
      </c>
      <c r="AA5" s="2020">
        <f t="shared" si="6"/>
        <v>0</v>
      </c>
      <c r="AB5" s="2020">
        <f t="shared" si="6"/>
        <v>0</v>
      </c>
      <c r="AC5" s="2020">
        <f t="shared" si="6"/>
        <v>0</v>
      </c>
      <c r="AD5" s="2020">
        <f t="shared" ref="AD5:AD17" si="7">AA5</f>
        <v>0</v>
      </c>
    </row>
    <row r="6" spans="1:30" s="2037" customFormat="1" ht="12.75">
      <c r="A6" s="2032" t="s">
        <v>3372</v>
      </c>
      <c r="B6" s="2023">
        <v>2024</v>
      </c>
      <c r="C6" s="2034">
        <v>1</v>
      </c>
      <c r="D6" s="1999">
        <v>0</v>
      </c>
      <c r="E6" s="1999">
        <v>0</v>
      </c>
      <c r="F6" s="1999">
        <v>0</v>
      </c>
      <c r="G6" s="1999">
        <v>0</v>
      </c>
      <c r="H6" s="2898">
        <v>0</v>
      </c>
      <c r="I6" s="2000">
        <v>0</v>
      </c>
      <c r="J6" s="2887"/>
      <c r="K6" s="2035">
        <f t="shared" ref="K6" si="8">D6/100</f>
        <v>0</v>
      </c>
      <c r="L6" s="2020">
        <f t="shared" ref="L6" si="9">E6/100</f>
        <v>0</v>
      </c>
      <c r="M6" s="2020">
        <f t="shared" ref="M6" si="10">F6/100</f>
        <v>0</v>
      </c>
      <c r="N6" s="2020">
        <f t="shared" ref="N6" si="11">G6/100</f>
        <v>0</v>
      </c>
      <c r="O6" s="2020">
        <f t="shared" ref="O6" si="12">H6/100</f>
        <v>0</v>
      </c>
      <c r="P6" s="2020">
        <f t="shared" ref="P6" si="13">M6</f>
        <v>0</v>
      </c>
      <c r="Q6" s="2887"/>
      <c r="R6" s="2019">
        <f>ROUND(IF(项目基本情况!$B$8="出让",SUMPRODUCT(PRODUCT(1+K6:$K$18)),SUMPRODUCT(PRODUCT(1+K6:$K$17))),4)</f>
        <v>1.0804</v>
      </c>
      <c r="S6" s="2019">
        <f>ROUND(IF(项目基本情况!$B$8="出让",SUMPRODUCT(PRODUCT(1+L6:$L$18)),SUMPRODUCT(PRODUCT(1+L6:$L$17))),4)</f>
        <v>1.0471999999999999</v>
      </c>
      <c r="T6" s="2019">
        <f>ROUND(IF(项目基本情况!$B$8="出让",SUMPRODUCT(PRODUCT(1+M6:$M$18)),SUMPRODUCT(PRODUCT(1+M6:$M$17))),4)</f>
        <v>1.0266</v>
      </c>
      <c r="U6" s="2019">
        <f>ROUND(IF(项目基本情况!$B$8="出让",SUMPRODUCT(PRODUCT(1+N6:$N$18)),SUMPRODUCT(PRODUCT(1+N6:$N$17))),4)</f>
        <v>1.0859000000000001</v>
      </c>
      <c r="V6" s="2019">
        <f>ROUND(IF(项目基本情况!$B$8="出让",SUMPRODUCT(PRODUCT(1+O6:$O$18)),SUMPRODUCT(PRODUCT(1+O6:$O$17))),4)</f>
        <v>1.0741000000000001</v>
      </c>
      <c r="W6" s="2019">
        <f t="shared" ref="W6" si="14">T6</f>
        <v>1.0266</v>
      </c>
      <c r="X6" s="2887"/>
      <c r="Y6" s="2020"/>
      <c r="Z6" s="2020"/>
      <c r="AA6" s="2020"/>
      <c r="AB6" s="2020"/>
      <c r="AC6" s="2020"/>
      <c r="AD6" s="2020"/>
    </row>
    <row r="7" spans="1:30" s="2897" customFormat="1" ht="12.75">
      <c r="A7" s="2888" t="s">
        <v>3374</v>
      </c>
      <c r="B7" s="2889">
        <v>2023</v>
      </c>
      <c r="C7" s="2890">
        <v>4</v>
      </c>
      <c r="D7" s="2891">
        <v>0.19</v>
      </c>
      <c r="E7" s="2891">
        <v>0.24</v>
      </c>
      <c r="F7" s="2891">
        <v>-0.16</v>
      </c>
      <c r="G7" s="2891">
        <v>0.17</v>
      </c>
      <c r="H7" s="2892">
        <v>0.61</v>
      </c>
      <c r="I7" s="2893">
        <f>F7</f>
        <v>-0.16</v>
      </c>
      <c r="J7" s="2894"/>
      <c r="K7" s="2895">
        <f t="shared" si="5"/>
        <v>1.9E-3</v>
      </c>
      <c r="L7" s="2896">
        <f t="shared" si="5"/>
        <v>2.3999999999999998E-3</v>
      </c>
      <c r="M7" s="2896">
        <f t="shared" si="5"/>
        <v>-1.6000000000000001E-3</v>
      </c>
      <c r="N7" s="2896">
        <f t="shared" si="5"/>
        <v>1.7000000000000001E-3</v>
      </c>
      <c r="O7" s="2896">
        <f t="shared" si="5"/>
        <v>6.0999999999999995E-3</v>
      </c>
      <c r="P7" s="2896">
        <f t="shared" ref="P7" si="15">M7</f>
        <v>-1.6000000000000001E-3</v>
      </c>
      <c r="Q7" s="2894"/>
      <c r="R7" s="2894">
        <f>ROUND(IF(项目基本情况!$B$8="出让",SUMPRODUCT(PRODUCT(1+K7:$K$18)),SUMPRODUCT(PRODUCT(1+K7:$K$17))),4)</f>
        <v>1.0804</v>
      </c>
      <c r="S7" s="2894">
        <f>ROUND(IF(项目基本情况!$B$8="出让",SUMPRODUCT(PRODUCT(1+L7:$L$18)),SUMPRODUCT(PRODUCT(1+L7:$L$17))),4)</f>
        <v>1.0471999999999999</v>
      </c>
      <c r="T7" s="2894">
        <f>ROUND(IF(项目基本情况!$B$8="出让",SUMPRODUCT(PRODUCT(1+M7:$M$18)),SUMPRODUCT(PRODUCT(1+M7:$M$17))),4)</f>
        <v>1.0266</v>
      </c>
      <c r="U7" s="2894">
        <f>ROUND(IF(项目基本情况!$B$8="出让",SUMPRODUCT(PRODUCT(1+N7:$N$18)),SUMPRODUCT(PRODUCT(1+N7:$N$17))),4)</f>
        <v>1.0859000000000001</v>
      </c>
      <c r="V7" s="2894">
        <f>ROUND(IF(项目基本情况!$B$8="出让",SUMPRODUCT(PRODUCT(1+O7:$O$18)),SUMPRODUCT(PRODUCT(1+O7:$O$17))),4)</f>
        <v>1.0741000000000001</v>
      </c>
      <c r="W7" s="2894">
        <f t="shared" ref="W7" si="16">T7</f>
        <v>1.0266</v>
      </c>
      <c r="X7" s="2894"/>
      <c r="Y7" s="2896"/>
      <c r="Z7" s="2896"/>
      <c r="AA7" s="2896"/>
      <c r="AB7" s="2896"/>
      <c r="AC7" s="2896"/>
      <c r="AD7" s="2896"/>
    </row>
    <row r="8" spans="1:30" s="2037" customFormat="1" ht="12.75">
      <c r="A8" s="2886" t="s">
        <v>3375</v>
      </c>
      <c r="B8" s="2023">
        <v>2023</v>
      </c>
      <c r="C8" s="2034">
        <v>3</v>
      </c>
      <c r="D8" s="1999">
        <v>0.25</v>
      </c>
      <c r="E8" s="1999">
        <v>0.5</v>
      </c>
      <c r="F8" s="1999">
        <v>0.31</v>
      </c>
      <c r="G8" s="1999">
        <v>0.21</v>
      </c>
      <c r="H8" s="2898">
        <v>0.43</v>
      </c>
      <c r="I8" s="2000">
        <f t="shared" si="4"/>
        <v>0.31</v>
      </c>
      <c r="J8" s="2887"/>
      <c r="K8" s="2035">
        <f t="shared" ref="K8:K10" si="17">D8/100</f>
        <v>2.5000000000000001E-3</v>
      </c>
      <c r="L8" s="2020">
        <f t="shared" ref="L8:L10" si="18">E8/100</f>
        <v>5.0000000000000001E-3</v>
      </c>
      <c r="M8" s="2020">
        <f t="shared" ref="M8:M10" si="19">F8/100</f>
        <v>3.0999999999999999E-3</v>
      </c>
      <c r="N8" s="2020">
        <f t="shared" ref="N8:N10" si="20">G8/100</f>
        <v>2.0999999999999999E-3</v>
      </c>
      <c r="O8" s="2020">
        <f t="shared" ref="O8:O10" si="21">H8/100</f>
        <v>4.3E-3</v>
      </c>
      <c r="P8" s="2020">
        <f t="shared" ref="P8:P10" si="22">M8</f>
        <v>3.0999999999999999E-3</v>
      </c>
      <c r="Q8" s="2887"/>
      <c r="R8" s="2019">
        <f>ROUND(IF(项目基本情况!$B$8="出让",SUMPRODUCT(PRODUCT(1+K8:$K$18)),SUMPRODUCT(PRODUCT(1+K8:$K$17))),4)</f>
        <v>1.0783</v>
      </c>
      <c r="S8" s="2019">
        <f>ROUND(IF(项目基本情况!$B$8="出让",SUMPRODUCT(PRODUCT(1+L8:$L$18)),SUMPRODUCT(PRODUCT(1+L8:$L$17))),4)</f>
        <v>1.0447</v>
      </c>
      <c r="T8" s="2019">
        <f>ROUND(IF(项目基本情况!$B$8="出让",SUMPRODUCT(PRODUCT(1+M8:$M$18)),SUMPRODUCT(PRODUCT(1+M8:$M$17))),4)</f>
        <v>1.0282</v>
      </c>
      <c r="U8" s="2019">
        <f>ROUND(IF(项目基本情况!$B$8="出让",SUMPRODUCT(PRODUCT(1+N8:$N$18)),SUMPRODUCT(PRODUCT(1+N8:$N$17))),4)</f>
        <v>1.0841000000000001</v>
      </c>
      <c r="V8" s="2019">
        <f>ROUND(IF(项目基本情况!$B$8="出让",SUMPRODUCT(PRODUCT(1+O8:$O$18)),SUMPRODUCT(PRODUCT(1+O8:$O$17))),4)</f>
        <v>1.0674999999999999</v>
      </c>
      <c r="W8" s="2019">
        <f t="shared" ref="W8:W9" si="23">T8</f>
        <v>1.0282</v>
      </c>
      <c r="X8" s="2887"/>
      <c r="Y8" s="2020"/>
      <c r="Z8" s="2020"/>
      <c r="AA8" s="2020"/>
      <c r="AB8" s="2020"/>
      <c r="AC8" s="2020"/>
      <c r="AD8" s="2020"/>
    </row>
    <row r="9" spans="1:30" s="2037" customFormat="1" ht="12.75">
      <c r="A9" s="2886" t="s">
        <v>3367</v>
      </c>
      <c r="B9" s="2023">
        <v>2023</v>
      </c>
      <c r="C9" s="2034">
        <v>2</v>
      </c>
      <c r="D9" s="1999">
        <v>0.91</v>
      </c>
      <c r="E9" s="1999">
        <v>0.66</v>
      </c>
      <c r="F9" s="1999">
        <v>0.47</v>
      </c>
      <c r="G9" s="1999">
        <v>0.96</v>
      </c>
      <c r="H9" s="2898">
        <v>0.71</v>
      </c>
      <c r="I9" s="2000">
        <f t="shared" si="4"/>
        <v>0.47</v>
      </c>
      <c r="J9" s="2887"/>
      <c r="K9" s="2035">
        <f t="shared" si="17"/>
        <v>9.1000000000000004E-3</v>
      </c>
      <c r="L9" s="2020">
        <f t="shared" si="18"/>
        <v>6.6E-3</v>
      </c>
      <c r="M9" s="2020">
        <f t="shared" si="19"/>
        <v>4.6999999999999993E-3</v>
      </c>
      <c r="N9" s="2020">
        <f t="shared" si="20"/>
        <v>9.5999999999999992E-3</v>
      </c>
      <c r="O9" s="2020">
        <f t="shared" si="21"/>
        <v>7.0999999999999995E-3</v>
      </c>
      <c r="P9" s="2020">
        <f t="shared" si="22"/>
        <v>4.6999999999999993E-3</v>
      </c>
      <c r="Q9" s="2887"/>
      <c r="R9" s="2019">
        <f>ROUND(IF(项目基本情况!$B$8="出让",SUMPRODUCT(PRODUCT(1+K9:$K$18)),SUMPRODUCT(PRODUCT(1+K9:$K$17))),4)</f>
        <v>1.0755999999999999</v>
      </c>
      <c r="S9" s="2019">
        <f>ROUND(IF(项目基本情况!$B$8="出让",SUMPRODUCT(PRODUCT(1+L9:$L$18)),SUMPRODUCT(PRODUCT(1+L9:$L$17))),4)</f>
        <v>1.0395000000000001</v>
      </c>
      <c r="T9" s="2019">
        <f>ROUND(IF(项目基本情况!$B$8="出让",SUMPRODUCT(PRODUCT(1+M9:$M$18)),SUMPRODUCT(PRODUCT(1+M9:$M$17))),4)</f>
        <v>1.0250999999999999</v>
      </c>
      <c r="U9" s="2019">
        <f>ROUND(IF(项目基本情况!$B$8="出让",SUMPRODUCT(PRODUCT(1+N9:$N$18)),SUMPRODUCT(PRODUCT(1+N9:$N$17))),4)</f>
        <v>1.0818000000000001</v>
      </c>
      <c r="V9" s="2019">
        <f>ROUND(IF(项目基本情况!$B$8="出让",SUMPRODUCT(PRODUCT(1+O9:$O$18)),SUMPRODUCT(PRODUCT(1+O9:$O$17))),4)</f>
        <v>1.0629999999999999</v>
      </c>
      <c r="W9" s="2019">
        <f t="shared" si="23"/>
        <v>1.0250999999999999</v>
      </c>
      <c r="X9" s="2887"/>
      <c r="Y9" s="2020"/>
      <c r="Z9" s="2020"/>
      <c r="AA9" s="2020"/>
      <c r="AB9" s="2020"/>
      <c r="AC9" s="2020"/>
      <c r="AD9" s="2020"/>
    </row>
    <row r="10" spans="1:30" s="2037" customFormat="1" ht="12.75">
      <c r="A10" s="2886" t="s">
        <v>3366</v>
      </c>
      <c r="B10" s="2023">
        <v>2023</v>
      </c>
      <c r="C10" s="2034">
        <v>1</v>
      </c>
      <c r="D10" s="1999">
        <v>0.89</v>
      </c>
      <c r="E10" s="1999">
        <v>0.74</v>
      </c>
      <c r="F10" s="1999">
        <v>0.56999999999999995</v>
      </c>
      <c r="G10" s="1999">
        <v>0.92</v>
      </c>
      <c r="H10" s="2898">
        <v>0.5</v>
      </c>
      <c r="I10" s="2000">
        <f t="shared" si="4"/>
        <v>0.56999999999999995</v>
      </c>
      <c r="J10" s="2887"/>
      <c r="K10" s="2035">
        <f t="shared" si="17"/>
        <v>8.8999999999999999E-3</v>
      </c>
      <c r="L10" s="2020">
        <f t="shared" si="18"/>
        <v>7.4000000000000003E-3</v>
      </c>
      <c r="M10" s="2020">
        <f t="shared" si="19"/>
        <v>5.6999999999999993E-3</v>
      </c>
      <c r="N10" s="2020">
        <f t="shared" si="20"/>
        <v>9.1999999999999998E-3</v>
      </c>
      <c r="O10" s="2020">
        <f t="shared" si="21"/>
        <v>5.0000000000000001E-3</v>
      </c>
      <c r="P10" s="2020">
        <f t="shared" si="22"/>
        <v>5.6999999999999993E-3</v>
      </c>
      <c r="Q10" s="2887"/>
      <c r="R10" s="2019">
        <f>ROUND(IF(项目基本情况!$B$8="出让",SUMPRODUCT(PRODUCT(1+K10:$K$18)),SUMPRODUCT(PRODUCT(1+K10:$K$17))),4)</f>
        <v>1.0659000000000001</v>
      </c>
      <c r="S10" s="2019">
        <f>ROUND(IF(项目基本情况!$B$8="出让",SUMPRODUCT(PRODUCT(1+L10:$L$18)),SUMPRODUCT(PRODUCT(1+L10:$L$17))),4)</f>
        <v>1.0326</v>
      </c>
      <c r="T10" s="2019">
        <f>ROUND(IF(项目基本情况!$B$8="出让",SUMPRODUCT(PRODUCT(1+M10:$M$18)),SUMPRODUCT(PRODUCT(1+M10:$M$17))),4)</f>
        <v>1.0203</v>
      </c>
      <c r="U10" s="2019">
        <f>ROUND(IF(项目基本情况!$B$8="出让",SUMPRODUCT(PRODUCT(1+N10:$N$18)),SUMPRODUCT(PRODUCT(1+N10:$N$17))),4)</f>
        <v>1.0714999999999999</v>
      </c>
      <c r="V10" s="2019">
        <f>ROUND(IF(项目基本情况!$B$8="出让",SUMPRODUCT(PRODUCT(1+O10:$O$18)),SUMPRODUCT(PRODUCT(1+O10:$O$17))),4)</f>
        <v>1.0555000000000001</v>
      </c>
      <c r="W10" s="2019">
        <f t="shared" ref="W10:W17" si="24">T10</f>
        <v>1.0203</v>
      </c>
      <c r="X10" s="2887"/>
      <c r="Y10" s="2020"/>
      <c r="Z10" s="2020"/>
      <c r="AA10" s="2020"/>
      <c r="AB10" s="2020"/>
      <c r="AC10" s="2020"/>
      <c r="AD10" s="2020"/>
    </row>
    <row r="11" spans="1:30" s="2037" customFormat="1" ht="12.75">
      <c r="A11" s="2886" t="s">
        <v>3365</v>
      </c>
      <c r="B11" s="2023">
        <v>2022</v>
      </c>
      <c r="C11" s="2034">
        <v>4</v>
      </c>
      <c r="D11" s="1999">
        <v>0.62</v>
      </c>
      <c r="E11" s="1999">
        <v>0.2</v>
      </c>
      <c r="F11" s="1999">
        <v>0.11</v>
      </c>
      <c r="G11" s="1999">
        <v>0.69</v>
      </c>
      <c r="H11" s="2898">
        <v>0.53</v>
      </c>
      <c r="I11" s="2000">
        <f t="shared" si="4"/>
        <v>0.11</v>
      </c>
      <c r="J11" s="2887"/>
      <c r="K11" s="2035">
        <f t="shared" si="5"/>
        <v>6.1999999999999998E-3</v>
      </c>
      <c r="L11" s="2020">
        <f t="shared" si="5"/>
        <v>2E-3</v>
      </c>
      <c r="M11" s="2020">
        <f t="shared" si="5"/>
        <v>1.1000000000000001E-3</v>
      </c>
      <c r="N11" s="2020">
        <f t="shared" si="5"/>
        <v>6.8999999999999999E-3</v>
      </c>
      <c r="O11" s="2020">
        <f t="shared" si="5"/>
        <v>5.3E-3</v>
      </c>
      <c r="P11" s="2020">
        <f t="shared" ref="P11:P18" si="25">M11</f>
        <v>1.1000000000000001E-3</v>
      </c>
      <c r="Q11" s="2887"/>
      <c r="R11" s="2019">
        <f>ROUND(IF(项目基本情况!$B$8="出让",SUMPRODUCT(PRODUCT(1+K11:$K$18)),SUMPRODUCT(PRODUCT(1+K11:$K$17))),4)</f>
        <v>1.0565</v>
      </c>
      <c r="S11" s="2019">
        <f>ROUND(IF(项目基本情况!$B$8="出让",SUMPRODUCT(PRODUCT(1+L11:$L$18)),SUMPRODUCT(PRODUCT(1+L11:$L$17))),4)</f>
        <v>1.0250999999999999</v>
      </c>
      <c r="T11" s="2019">
        <f>ROUND(IF(项目基本情况!$B$8="出让",SUMPRODUCT(PRODUCT(1+M11:$M$18)),SUMPRODUCT(PRODUCT(1+M11:$M$17))),4)</f>
        <v>1.0145</v>
      </c>
      <c r="U11" s="2019">
        <f>ROUND(IF(项目基本情况!$B$8="出让",SUMPRODUCT(PRODUCT(1+N11:$N$18)),SUMPRODUCT(PRODUCT(1+N11:$N$17))),4)</f>
        <v>1.0618000000000001</v>
      </c>
      <c r="V11" s="2019">
        <f>ROUND(IF(项目基本情况!$B$8="出让",SUMPRODUCT(PRODUCT(1+O11:$O$18)),SUMPRODUCT(PRODUCT(1+O11:$O$17))),4)</f>
        <v>1.0502</v>
      </c>
      <c r="W11" s="2019">
        <f t="shared" si="24"/>
        <v>1.0145</v>
      </c>
      <c r="X11" s="2887"/>
      <c r="Y11" s="2020">
        <f>IF(D11=0,0,ROUND(AVERAGE(D11:D19)/100,4))</f>
        <v>8.0999999999999996E-3</v>
      </c>
      <c r="Z11" s="2020">
        <f t="shared" ref="Z11:AC11" si="26">IF(E11=0,0,ROUND(AVERAGE(E11:E18)/100,4))</f>
        <v>3.3E-3</v>
      </c>
      <c r="AA11" s="2020">
        <f t="shared" si="26"/>
        <v>1.5E-3</v>
      </c>
      <c r="AB11" s="2020">
        <f t="shared" si="26"/>
        <v>8.8999999999999999E-3</v>
      </c>
      <c r="AC11" s="2020">
        <f t="shared" si="26"/>
        <v>6.6E-3</v>
      </c>
      <c r="AD11" s="2020">
        <f t="shared" si="7"/>
        <v>1.5E-3</v>
      </c>
    </row>
    <row r="12" spans="1:30" s="2037" customFormat="1" ht="12.75">
      <c r="A12" s="2886" t="s">
        <v>3361</v>
      </c>
      <c r="B12" s="2023">
        <v>2022</v>
      </c>
      <c r="C12" s="2034">
        <v>3</v>
      </c>
      <c r="D12" s="1999">
        <v>0.66</v>
      </c>
      <c r="E12" s="1999">
        <v>0.32</v>
      </c>
      <c r="F12" s="1999">
        <v>0.23</v>
      </c>
      <c r="G12" s="1999">
        <v>0.72</v>
      </c>
      <c r="H12" s="2898">
        <v>0.63</v>
      </c>
      <c r="I12" s="2000">
        <f t="shared" si="4"/>
        <v>0.23</v>
      </c>
      <c r="J12" s="2887"/>
      <c r="K12" s="2035">
        <f t="shared" si="5"/>
        <v>6.6E-3</v>
      </c>
      <c r="L12" s="2020">
        <f t="shared" si="5"/>
        <v>3.2000000000000002E-3</v>
      </c>
      <c r="M12" s="2020">
        <f t="shared" si="5"/>
        <v>2.3E-3</v>
      </c>
      <c r="N12" s="2020">
        <f t="shared" si="5"/>
        <v>7.1999999999999998E-3</v>
      </c>
      <c r="O12" s="2020">
        <f t="shared" si="5"/>
        <v>6.3E-3</v>
      </c>
      <c r="P12" s="2020">
        <f t="shared" si="25"/>
        <v>2.3E-3</v>
      </c>
      <c r="Q12" s="2887"/>
      <c r="R12" s="2019">
        <f>ROUND(IF(项目基本情况!$B$8="出让",SUMPRODUCT(PRODUCT(1+K12:$K$18)),SUMPRODUCT(PRODUCT(1+K12:$K$17))),4)</f>
        <v>1.05</v>
      </c>
      <c r="S12" s="2019">
        <f>ROUND(IF(项目基本情况!$B$8="出让",SUMPRODUCT(PRODUCT(1+L12:$L$18)),SUMPRODUCT(PRODUCT(1+L12:$L$17))),4)</f>
        <v>1.0229999999999999</v>
      </c>
      <c r="T12" s="2019">
        <f>ROUND(IF(项目基本情况!$B$8="出让",SUMPRODUCT(PRODUCT(1+M12:$M$18)),SUMPRODUCT(PRODUCT(1+M12:$M$17))),4)</f>
        <v>1.0134000000000001</v>
      </c>
      <c r="U12" s="2019">
        <f>ROUND(IF(项目基本情况!$B$8="出让",SUMPRODUCT(PRODUCT(1+N12:$N$18)),SUMPRODUCT(PRODUCT(1+N12:$N$17))),4)</f>
        <v>1.0545</v>
      </c>
      <c r="V12" s="2019">
        <f>ROUND(IF(项目基本情况!$B$8="出让",SUMPRODUCT(PRODUCT(1+O12:$O$18)),SUMPRODUCT(PRODUCT(1+O12:$O$17))),4)</f>
        <v>1.0447</v>
      </c>
      <c r="W12" s="2019">
        <f t="shared" si="24"/>
        <v>1.0134000000000001</v>
      </c>
      <c r="X12" s="2887"/>
      <c r="Y12" s="2020">
        <f>IF(D12=0,0,ROUND(AVERAGE(D12:D18)/100,4))</f>
        <v>8.3999999999999995E-3</v>
      </c>
      <c r="Z12" s="2020">
        <f t="shared" ref="Z12:AC12" si="27">IF(E12=0,0,ROUND(AVERAGE(E12:E18)/100,4))</f>
        <v>3.5000000000000001E-3</v>
      </c>
      <c r="AA12" s="2020">
        <f t="shared" si="27"/>
        <v>1.5E-3</v>
      </c>
      <c r="AB12" s="2020">
        <f t="shared" si="27"/>
        <v>9.1999999999999998E-3</v>
      </c>
      <c r="AC12" s="2020">
        <f t="shared" si="27"/>
        <v>6.7999999999999996E-3</v>
      </c>
      <c r="AD12" s="2020">
        <f t="shared" si="7"/>
        <v>1.5E-3</v>
      </c>
    </row>
    <row r="13" spans="1:30" s="2037" customFormat="1" ht="12.75">
      <c r="A13" s="2886" t="s">
        <v>3352</v>
      </c>
      <c r="B13" s="2023">
        <v>2022</v>
      </c>
      <c r="C13" s="2034">
        <v>2</v>
      </c>
      <c r="D13" s="1999">
        <v>0.93</v>
      </c>
      <c r="E13" s="1999">
        <v>0.15</v>
      </c>
      <c r="F13" s="1999">
        <v>0.01</v>
      </c>
      <c r="G13" s="1999">
        <v>1.05</v>
      </c>
      <c r="H13" s="2898">
        <v>1.08</v>
      </c>
      <c r="I13" s="2000">
        <f t="shared" si="4"/>
        <v>0.01</v>
      </c>
      <c r="J13" s="2887"/>
      <c r="K13" s="2035">
        <f t="shared" si="5"/>
        <v>9.300000000000001E-3</v>
      </c>
      <c r="L13" s="2020">
        <f t="shared" si="5"/>
        <v>1.5E-3</v>
      </c>
      <c r="M13" s="2020">
        <f t="shared" si="5"/>
        <v>1E-4</v>
      </c>
      <c r="N13" s="2020">
        <f t="shared" si="5"/>
        <v>1.0500000000000001E-2</v>
      </c>
      <c r="O13" s="2020">
        <f t="shared" si="5"/>
        <v>1.0800000000000001E-2</v>
      </c>
      <c r="P13" s="2020">
        <f t="shared" si="25"/>
        <v>1E-4</v>
      </c>
      <c r="Q13" s="2887"/>
      <c r="R13" s="2019">
        <f>ROUND(IF(项目基本情况!$B$8="出让",SUMPRODUCT(PRODUCT(1+K13:$K$18)),SUMPRODUCT(PRODUCT(1+K13:$K$17))),4)</f>
        <v>1.0430999999999999</v>
      </c>
      <c r="S13" s="2019">
        <f>ROUND(IF(项目基本情况!$B$8="出让",SUMPRODUCT(PRODUCT(1+L13:$L$18)),SUMPRODUCT(PRODUCT(1+L13:$L$17))),4)</f>
        <v>1.0197000000000001</v>
      </c>
      <c r="T13" s="2019">
        <f>ROUND(IF(项目基本情况!$B$8="出让",SUMPRODUCT(PRODUCT(1+M13:$M$18)),SUMPRODUCT(PRODUCT(1+M13:$M$17))),4)</f>
        <v>1.0109999999999999</v>
      </c>
      <c r="U13" s="2019">
        <f>ROUND(IF(项目基本情况!$B$8="出让",SUMPRODUCT(PRODUCT(1+N13:$N$18)),SUMPRODUCT(PRODUCT(1+N13:$N$17))),4)</f>
        <v>1.0468999999999999</v>
      </c>
      <c r="V13" s="2019">
        <f>ROUND(IF(项目基本情况!$B$8="出让",SUMPRODUCT(PRODUCT(1+O13:$O$18)),SUMPRODUCT(PRODUCT(1+O13:$O$17))),4)</f>
        <v>1.0382</v>
      </c>
      <c r="W13" s="2019">
        <f t="shared" si="24"/>
        <v>1.0109999999999999</v>
      </c>
      <c r="X13" s="2887"/>
      <c r="Y13" s="2020">
        <f>IF(D13=0,0,ROUND(AVERAGE(D13:D18)/100,4))</f>
        <v>8.6999999999999994E-3</v>
      </c>
      <c r="Z13" s="2020">
        <f t="shared" ref="Z13:AC13" si="28">IF(E13=0,0,ROUND(AVERAGE(E13:E18)/100,4))</f>
        <v>3.5000000000000001E-3</v>
      </c>
      <c r="AA13" s="2020">
        <f t="shared" si="28"/>
        <v>1.4E-3</v>
      </c>
      <c r="AB13" s="2020">
        <f t="shared" si="28"/>
        <v>9.4999999999999998E-3</v>
      </c>
      <c r="AC13" s="2020">
        <f t="shared" si="28"/>
        <v>6.8999999999999999E-3</v>
      </c>
      <c r="AD13" s="2020">
        <f t="shared" si="7"/>
        <v>1.4E-3</v>
      </c>
    </row>
    <row r="14" spans="1:30" s="2037" customFormat="1" ht="12.75">
      <c r="A14" s="2886" t="s">
        <v>2818</v>
      </c>
      <c r="B14" s="2023">
        <v>2022</v>
      </c>
      <c r="C14" s="2034">
        <v>1</v>
      </c>
      <c r="D14" s="1999">
        <v>0.89</v>
      </c>
      <c r="E14" s="1999">
        <v>0.44</v>
      </c>
      <c r="F14" s="1999">
        <v>0.37</v>
      </c>
      <c r="G14" s="1999">
        <v>0.96</v>
      </c>
      <c r="H14" s="2898">
        <v>0.64</v>
      </c>
      <c r="I14" s="2000">
        <f t="shared" si="4"/>
        <v>0.37</v>
      </c>
      <c r="J14" s="2887"/>
      <c r="K14" s="2035">
        <f t="shared" si="5"/>
        <v>8.8999999999999999E-3</v>
      </c>
      <c r="L14" s="2020">
        <f t="shared" si="5"/>
        <v>4.4000000000000003E-3</v>
      </c>
      <c r="M14" s="2020">
        <f t="shared" si="5"/>
        <v>3.7000000000000002E-3</v>
      </c>
      <c r="N14" s="2020">
        <f t="shared" si="5"/>
        <v>9.5999999999999992E-3</v>
      </c>
      <c r="O14" s="2020">
        <f t="shared" si="5"/>
        <v>6.4000000000000003E-3</v>
      </c>
      <c r="P14" s="2020">
        <f t="shared" si="25"/>
        <v>3.7000000000000002E-3</v>
      </c>
      <c r="Q14" s="2887"/>
      <c r="R14" s="2019">
        <f>ROUND(IF(项目基本情况!$B$8="出让",SUMPRODUCT(PRODUCT(1+K14:$K$18)),SUMPRODUCT(PRODUCT(1+K14:$K$17))),4)</f>
        <v>1.0335000000000001</v>
      </c>
      <c r="S14" s="2019">
        <f>ROUND(IF(项目基本情况!$B$8="出让",SUMPRODUCT(PRODUCT(1+L14:$L$18)),SUMPRODUCT(PRODUCT(1+L14:$L$17))),4)</f>
        <v>1.0182</v>
      </c>
      <c r="T14" s="2019">
        <f>ROUND(IF(项目基本情况!$B$8="出让",SUMPRODUCT(PRODUCT(1+M14:$M$18)),SUMPRODUCT(PRODUCT(1+M14:$M$17))),4)</f>
        <v>1.0108999999999999</v>
      </c>
      <c r="U14" s="2019">
        <f>ROUND(IF(项目基本情况!$B$8="出让",SUMPRODUCT(PRODUCT(1+N14:$N$18)),SUMPRODUCT(PRODUCT(1+N14:$N$17))),4)</f>
        <v>1.0361</v>
      </c>
      <c r="V14" s="2019">
        <f>ROUND(IF(项目基本情况!$B$8="出让",SUMPRODUCT(PRODUCT(1+O14:$O$18)),SUMPRODUCT(PRODUCT(1+O14:$O$17))),4)</f>
        <v>1.0270999999999999</v>
      </c>
      <c r="W14" s="2019">
        <f t="shared" si="24"/>
        <v>1.0108999999999999</v>
      </c>
      <c r="X14" s="2887"/>
      <c r="Y14" s="2020">
        <f>IF(D14=0,0,ROUND(AVERAGE(D14:D18)/100,4))</f>
        <v>8.6E-3</v>
      </c>
      <c r="Z14" s="2020">
        <f t="shared" ref="Z14:AC14" si="29">IF(E14=0,0,ROUND(AVERAGE(E14:E18)/100,4))</f>
        <v>3.8999999999999998E-3</v>
      </c>
      <c r="AA14" s="2020">
        <f t="shared" si="29"/>
        <v>1.6999999999999999E-3</v>
      </c>
      <c r="AB14" s="2020">
        <f t="shared" si="29"/>
        <v>9.2999999999999992E-3</v>
      </c>
      <c r="AC14" s="2020">
        <f t="shared" si="29"/>
        <v>6.1000000000000004E-3</v>
      </c>
      <c r="AD14" s="2020">
        <f t="shared" si="7"/>
        <v>1.6999999999999999E-3</v>
      </c>
    </row>
    <row r="15" spans="1:30" s="2037" customFormat="1" ht="12.75">
      <c r="A15" s="2886" t="s">
        <v>2819</v>
      </c>
      <c r="B15" s="2023">
        <v>2021</v>
      </c>
      <c r="C15" s="2034">
        <v>4</v>
      </c>
      <c r="D15" s="1999">
        <v>1.03</v>
      </c>
      <c r="E15" s="1999">
        <v>0.24</v>
      </c>
      <c r="F15" s="1999">
        <v>7.0000000000000007E-2</v>
      </c>
      <c r="G15" s="1999">
        <v>1.17</v>
      </c>
      <c r="H15" s="2898">
        <v>0.55000000000000004</v>
      </c>
      <c r="I15" s="2000">
        <f t="shared" si="4"/>
        <v>7.0000000000000007E-2</v>
      </c>
      <c r="J15" s="2887"/>
      <c r="K15" s="2035">
        <f t="shared" si="5"/>
        <v>1.03E-2</v>
      </c>
      <c r="L15" s="2020">
        <f t="shared" si="5"/>
        <v>2.3999999999999998E-3</v>
      </c>
      <c r="M15" s="2020">
        <f t="shared" si="5"/>
        <v>7.000000000000001E-4</v>
      </c>
      <c r="N15" s="2020">
        <f t="shared" si="5"/>
        <v>1.1699999999999999E-2</v>
      </c>
      <c r="O15" s="2020">
        <f t="shared" si="5"/>
        <v>5.5000000000000005E-3</v>
      </c>
      <c r="P15" s="2020">
        <f t="shared" si="25"/>
        <v>7.000000000000001E-4</v>
      </c>
      <c r="Q15" s="2887"/>
      <c r="R15" s="2019">
        <f>ROUND(IF(项目基本情况!$B$8="出让",SUMPRODUCT(PRODUCT(1+K15:$K$18)),SUMPRODUCT(PRODUCT(1+K15:$K$17))),4)</f>
        <v>1.0244</v>
      </c>
      <c r="S15" s="2019">
        <f>ROUND(IF(项目基本情况!$B$8="出让",SUMPRODUCT(PRODUCT(1+L15:$L$18)),SUMPRODUCT(PRODUCT(1+L15:$L$17))),4)</f>
        <v>1.0138</v>
      </c>
      <c r="T15" s="2019">
        <f>ROUND(IF(项目基本情况!$B$8="出让",SUMPRODUCT(PRODUCT(1+M15:$M$18)),SUMPRODUCT(PRODUCT(1+M15:$M$17))),4)</f>
        <v>1.0072000000000001</v>
      </c>
      <c r="U15" s="2019">
        <f>ROUND(IF(项目基本情况!$B$8="出让",SUMPRODUCT(PRODUCT(1+N15:$N$18)),SUMPRODUCT(PRODUCT(1+N15:$N$17))),4)</f>
        <v>1.0262</v>
      </c>
      <c r="V15" s="2019">
        <f>ROUND(IF(项目基本情况!$B$8="出让",SUMPRODUCT(PRODUCT(1+O15:$O$18)),SUMPRODUCT(PRODUCT(1+O15:$O$17))),4)</f>
        <v>1.0205</v>
      </c>
      <c r="W15" s="2019">
        <f t="shared" si="24"/>
        <v>1.0072000000000001</v>
      </c>
      <c r="X15" s="2887"/>
      <c r="Y15" s="2020">
        <f>IF(D15=0,0,ROUND(AVERAGE(D15:D18)/100,4))</f>
        <v>8.5000000000000006E-3</v>
      </c>
      <c r="Z15" s="2020">
        <f t="shared" ref="Z15:AC15" si="30">IF(E15=0,0,ROUND(AVERAGE(E15:E18)/100,4))</f>
        <v>3.8E-3</v>
      </c>
      <c r="AA15" s="2020">
        <f t="shared" si="30"/>
        <v>1.1999999999999999E-3</v>
      </c>
      <c r="AB15" s="2020">
        <f t="shared" si="30"/>
        <v>9.2999999999999992E-3</v>
      </c>
      <c r="AC15" s="2020">
        <f t="shared" si="30"/>
        <v>6.0000000000000001E-3</v>
      </c>
      <c r="AD15" s="2020">
        <f t="shared" si="7"/>
        <v>1.1999999999999999E-3</v>
      </c>
    </row>
    <row r="16" spans="1:30" s="2037" customFormat="1" ht="12.75">
      <c r="A16" s="2886" t="s">
        <v>2820</v>
      </c>
      <c r="B16" s="2023">
        <v>2021</v>
      </c>
      <c r="C16" s="2034">
        <v>3</v>
      </c>
      <c r="D16" s="1999">
        <v>0.47</v>
      </c>
      <c r="E16" s="1999">
        <v>0.41</v>
      </c>
      <c r="F16" s="1999">
        <v>0.24</v>
      </c>
      <c r="G16" s="1999">
        <v>0.48</v>
      </c>
      <c r="H16" s="2898">
        <v>0.48</v>
      </c>
      <c r="I16" s="2000">
        <f t="shared" si="4"/>
        <v>0.24</v>
      </c>
      <c r="J16" s="2887"/>
      <c r="K16" s="2035">
        <f t="shared" si="5"/>
        <v>4.6999999999999993E-3</v>
      </c>
      <c r="L16" s="2020">
        <f t="shared" si="5"/>
        <v>4.0999999999999995E-3</v>
      </c>
      <c r="M16" s="2020">
        <f t="shared" si="5"/>
        <v>2.3999999999999998E-3</v>
      </c>
      <c r="N16" s="2020">
        <f t="shared" si="5"/>
        <v>4.7999999999999996E-3</v>
      </c>
      <c r="O16" s="2020">
        <f t="shared" si="5"/>
        <v>4.7999999999999996E-3</v>
      </c>
      <c r="P16" s="2020">
        <f t="shared" si="25"/>
        <v>2.3999999999999998E-3</v>
      </c>
      <c r="Q16" s="2887"/>
      <c r="R16" s="2019">
        <f>ROUND(IF(项目基本情况!$B$8="出让",SUMPRODUCT(PRODUCT(1+K16:$K$18)),SUMPRODUCT(PRODUCT(1+K16:$K$17))),4)</f>
        <v>1.0139</v>
      </c>
      <c r="S16" s="2019">
        <f>ROUND(IF(项目基本情况!$B$8="出让",SUMPRODUCT(PRODUCT(1+L16:$L$18)),SUMPRODUCT(PRODUCT(1+L16:$L$17))),4)</f>
        <v>1.0113000000000001</v>
      </c>
      <c r="T16" s="2019">
        <f>ROUND(IF(项目基本情况!$B$8="出让",SUMPRODUCT(PRODUCT(1+M16:$M$18)),SUMPRODUCT(PRODUCT(1+M16:$M$17))),4)</f>
        <v>1.0065</v>
      </c>
      <c r="U16" s="2019">
        <f>ROUND(IF(项目基本情况!$B$8="出让",SUMPRODUCT(PRODUCT(1+N16:$N$18)),SUMPRODUCT(PRODUCT(1+N16:$N$17))),4)</f>
        <v>1.0143</v>
      </c>
      <c r="V16" s="2019">
        <f>ROUND(IF(项目基本情况!$B$8="出让",SUMPRODUCT(PRODUCT(1+O16:$O$18)),SUMPRODUCT(PRODUCT(1+O16:$O$17))),4)</f>
        <v>1.0148999999999999</v>
      </c>
      <c r="W16" s="2019">
        <f t="shared" si="24"/>
        <v>1.0065</v>
      </c>
      <c r="X16" s="2887"/>
      <c r="Y16" s="2020">
        <f>IF(D16=0,0,ROUND(AVERAGE(D16:D18)/100,4))</f>
        <v>7.9000000000000008E-3</v>
      </c>
      <c r="Z16" s="2020">
        <f>IF(E16=0,0,ROUND(AVERAGE(E16:E18)/100,4))</f>
        <v>4.3E-3</v>
      </c>
      <c r="AA16" s="2020">
        <f>IF(F16=0,0,ROUND(AVERAGE(F16:F18)/100,4))</f>
        <v>1.2999999999999999E-3</v>
      </c>
      <c r="AB16" s="2020">
        <f>IF(G16=0,0,ROUND(AVERAGE(G16:G18)/100,4))</f>
        <v>8.5000000000000006E-3</v>
      </c>
      <c r="AC16" s="2020">
        <f>IF(H16=0,0,ROUND(AVERAGE(H16:H18)/100,4))</f>
        <v>6.1999999999999998E-3</v>
      </c>
      <c r="AD16" s="2020">
        <f t="shared" si="7"/>
        <v>1.2999999999999999E-3</v>
      </c>
    </row>
    <row r="17" spans="1:30" s="2037" customFormat="1" ht="12.75">
      <c r="A17" s="2886" t="s">
        <v>2821</v>
      </c>
      <c r="B17" s="2023">
        <v>2021</v>
      </c>
      <c r="C17" s="2034">
        <v>2</v>
      </c>
      <c r="D17" s="1999">
        <v>0.92</v>
      </c>
      <c r="E17" s="1999">
        <v>0.72</v>
      </c>
      <c r="F17" s="1999">
        <v>0.41</v>
      </c>
      <c r="G17" s="1999">
        <v>0.95</v>
      </c>
      <c r="H17" s="2898">
        <v>1.01</v>
      </c>
      <c r="I17" s="2000">
        <f t="shared" si="4"/>
        <v>0.41</v>
      </c>
      <c r="J17" s="2887"/>
      <c r="K17" s="2035">
        <f t="shared" si="5"/>
        <v>9.1999999999999998E-3</v>
      </c>
      <c r="L17" s="2020">
        <f t="shared" si="5"/>
        <v>7.1999999999999998E-3</v>
      </c>
      <c r="M17" s="2020">
        <f t="shared" si="5"/>
        <v>4.0999999999999995E-3</v>
      </c>
      <c r="N17" s="2020">
        <f t="shared" si="5"/>
        <v>9.4999999999999998E-3</v>
      </c>
      <c r="O17" s="2020">
        <f t="shared" si="5"/>
        <v>1.01E-2</v>
      </c>
      <c r="P17" s="2020">
        <f t="shared" si="25"/>
        <v>4.0999999999999995E-3</v>
      </c>
      <c r="Q17" s="2887"/>
      <c r="R17" s="2019">
        <f>ROUND(IF(项目基本情况!$B$8="出让",SUMPRODUCT(PRODUCT(1+K17:$K$18)),SUMPRODUCT(PRODUCT(1+K17:$K$17))),4)</f>
        <v>1.0092000000000001</v>
      </c>
      <c r="S17" s="2019">
        <f>ROUND(IF(项目基本情况!$B$8="出让",SUMPRODUCT(PRODUCT(1+L17:$L$18)),SUMPRODUCT(PRODUCT(1+L17:$L$17))),4)</f>
        <v>1.0072000000000001</v>
      </c>
      <c r="T17" s="2019">
        <f>ROUND(IF(项目基本情况!$B$8="出让",SUMPRODUCT(PRODUCT(1+M17:$M$18)),SUMPRODUCT(PRODUCT(1+M17:$M$17))),4)</f>
        <v>1.0041</v>
      </c>
      <c r="U17" s="2019">
        <f>ROUND(IF(项目基本情况!$B$8="出让",SUMPRODUCT(PRODUCT(1+N17:$N$18)),SUMPRODUCT(PRODUCT(1+N17:$N$17))),4)</f>
        <v>1.0095000000000001</v>
      </c>
      <c r="V17" s="2019">
        <f>ROUND(IF(项目基本情况!$B$8="出让",SUMPRODUCT(PRODUCT(1+O17:$O$18)),SUMPRODUCT(PRODUCT(1+O17:$O$17))),4)</f>
        <v>1.0101</v>
      </c>
      <c r="W17" s="2019">
        <f t="shared" si="24"/>
        <v>1.0041</v>
      </c>
      <c r="X17" s="2887"/>
      <c r="Y17" s="2020">
        <f>IF(D17=0,0,ROUND(AVERAGE(D17:D18)/100,4))</f>
        <v>9.4999999999999998E-3</v>
      </c>
      <c r="Z17" s="2020">
        <f>IF(E17=0,0,ROUND(AVERAGE(E17:E18)/100,4))</f>
        <v>4.4000000000000003E-3</v>
      </c>
      <c r="AA17" s="2020">
        <f>IF(F17=0,0,ROUND(AVERAGE(F17:F18)/100,4))</f>
        <v>8.0000000000000004E-4</v>
      </c>
      <c r="AB17" s="2020">
        <f>IF(G17=0,0,ROUND(AVERAGE(G17:G18)/100,4))</f>
        <v>1.03E-2</v>
      </c>
      <c r="AC17" s="2020">
        <f>IF(H17=0,0,ROUND(AVERAGE(H17:H18)/100,4))</f>
        <v>6.8999999999999999E-3</v>
      </c>
      <c r="AD17" s="2020">
        <f t="shared" si="7"/>
        <v>8.0000000000000004E-4</v>
      </c>
    </row>
    <row r="18" spans="1:30" s="2909" customFormat="1" thickBot="1">
      <c r="A18" s="2899" t="s">
        <v>2822</v>
      </c>
      <c r="B18" s="2900">
        <v>2021</v>
      </c>
      <c r="C18" s="2901">
        <v>1</v>
      </c>
      <c r="D18" s="2902">
        <v>0.97</v>
      </c>
      <c r="E18" s="2902">
        <v>0.16</v>
      </c>
      <c r="F18" s="2902">
        <v>-0.25</v>
      </c>
      <c r="G18" s="2902">
        <v>1.1100000000000001</v>
      </c>
      <c r="H18" s="2903">
        <v>0.36</v>
      </c>
      <c r="I18" s="2904">
        <f t="shared" si="4"/>
        <v>-0.25</v>
      </c>
      <c r="J18" s="2905"/>
      <c r="K18" s="2906">
        <f t="shared" si="5"/>
        <v>9.7000000000000003E-3</v>
      </c>
      <c r="L18" s="2907">
        <f t="shared" si="5"/>
        <v>1.6000000000000001E-3</v>
      </c>
      <c r="M18" s="2907">
        <f>F18/100</f>
        <v>-2.5000000000000001E-3</v>
      </c>
      <c r="N18" s="2907">
        <f t="shared" si="5"/>
        <v>1.11E-2</v>
      </c>
      <c r="O18" s="2907">
        <f t="shared" si="5"/>
        <v>3.5999999999999999E-3</v>
      </c>
      <c r="P18" s="2907">
        <f t="shared" si="25"/>
        <v>-2.5000000000000001E-3</v>
      </c>
      <c r="Q18" s="2905"/>
      <c r="R18" s="2908">
        <v>1</v>
      </c>
      <c r="S18" s="2908">
        <v>1</v>
      </c>
      <c r="T18" s="2908">
        <v>1</v>
      </c>
      <c r="U18" s="2908">
        <v>1</v>
      </c>
      <c r="V18" s="2908">
        <v>1</v>
      </c>
      <c r="W18" s="2908">
        <f t="shared" ref="W18" si="31">T18</f>
        <v>1</v>
      </c>
      <c r="X18" s="2905"/>
      <c r="Y18" s="2907">
        <f>IF(D18=0,0,ROUND(AVERAGE(D18:D18)/100,4))</f>
        <v>9.7000000000000003E-3</v>
      </c>
      <c r="Z18" s="2907">
        <f>IF(E18=0,0,ROUND(AVERAGE(E18:E18)/100,4))</f>
        <v>1.6000000000000001E-3</v>
      </c>
      <c r="AA18" s="2907">
        <f>IF(F18=0,0,ROUND(AVERAGE(F18:F18)/100,4))</f>
        <v>-2.5000000000000001E-3</v>
      </c>
      <c r="AB18" s="2907">
        <f>IF(G18=0,0,ROUND(AVERAGE(G18:G18)/100,4))</f>
        <v>1.11E-2</v>
      </c>
      <c r="AC18" s="2907">
        <f>IF(H18=0,0,ROUND(AVERAGE(H18:H18)/100,4))</f>
        <v>3.5999999999999999E-3</v>
      </c>
      <c r="AD18" s="2907">
        <f>AA18</f>
        <v>-2.5000000000000001E-3</v>
      </c>
    </row>
    <row r="19" spans="1:30" ht="14.25" thickTop="1"/>
    <row r="20" spans="1:30">
      <c r="A20" s="3121" t="s">
        <v>3363</v>
      </c>
    </row>
    <row r="21" spans="1:30">
      <c r="I21" s="1397" t="s">
        <v>2823</v>
      </c>
    </row>
    <row r="23" spans="1:30" s="2001" customFormat="1" ht="12.75">
      <c r="B23" s="2910" t="s">
        <v>3369</v>
      </c>
      <c r="C23" s="2911"/>
      <c r="D23" s="2911"/>
      <c r="E23" s="2911"/>
      <c r="F23" s="2911"/>
      <c r="G23" s="2911"/>
      <c r="H23" s="2911"/>
      <c r="I23" s="2911"/>
      <c r="J23" s="2877"/>
      <c r="K23" s="2911" t="s">
        <v>2824</v>
      </c>
      <c r="L23" s="2911"/>
      <c r="M23" s="2911"/>
      <c r="N23" s="2911"/>
      <c r="O23" s="2911"/>
      <c r="P23" s="2911"/>
      <c r="Q23" s="2877"/>
      <c r="R23" s="3606" t="s">
        <v>2825</v>
      </c>
      <c r="S23" s="3607"/>
      <c r="T23" s="3607"/>
      <c r="U23" s="3607"/>
      <c r="V23" s="3607"/>
      <c r="W23" s="3607"/>
      <c r="X23" s="2877"/>
      <c r="Y23" s="3606" t="s">
        <v>2826</v>
      </c>
      <c r="Z23" s="3607"/>
      <c r="AA23" s="3607"/>
      <c r="AB23" s="3607"/>
      <c r="AC23" s="3607"/>
      <c r="AD23" s="3607"/>
    </row>
    <row r="24" spans="1:30" s="2002" customFormat="1" ht="14.25" thickBot="1">
      <c r="B24" s="2862"/>
      <c r="C24" s="2863"/>
      <c r="D24" s="2003" t="s">
        <v>2827</v>
      </c>
      <c r="E24" s="2004" t="s">
        <v>2828</v>
      </c>
      <c r="F24" s="2004" t="s">
        <v>2829</v>
      </c>
      <c r="G24" s="2004" t="s">
        <v>2830</v>
      </c>
      <c r="H24" s="2004"/>
      <c r="I24" s="2004" t="s">
        <v>2831</v>
      </c>
      <c r="J24" s="2864"/>
      <c r="K24" s="2003" t="s">
        <v>2827</v>
      </c>
      <c r="L24" s="2004" t="s">
        <v>2828</v>
      </c>
      <c r="M24" s="2004" t="s">
        <v>2829</v>
      </c>
      <c r="N24" s="2004" t="s">
        <v>2830</v>
      </c>
      <c r="O24" s="2004"/>
      <c r="P24" s="2004" t="s">
        <v>2831</v>
      </c>
      <c r="Q24" s="2864"/>
      <c r="R24" s="2003" t="s">
        <v>2827</v>
      </c>
      <c r="S24" s="2004" t="s">
        <v>2828</v>
      </c>
      <c r="T24" s="2004" t="s">
        <v>2829</v>
      </c>
      <c r="U24" s="2004" t="s">
        <v>2830</v>
      </c>
      <c r="V24" s="2004"/>
      <c r="W24" s="2004" t="s">
        <v>2831</v>
      </c>
      <c r="X24" s="2864"/>
      <c r="Y24" s="2003" t="s">
        <v>2827</v>
      </c>
      <c r="Z24" s="2004" t="s">
        <v>2828</v>
      </c>
      <c r="AA24" s="2004" t="s">
        <v>2829</v>
      </c>
      <c r="AB24" s="2004" t="s">
        <v>2830</v>
      </c>
      <c r="AC24" s="2004"/>
      <c r="AD24" s="2004" t="s">
        <v>2831</v>
      </c>
    </row>
    <row r="25" spans="1:30" s="2867" customFormat="1" ht="12.75">
      <c r="A25" s="2865" t="s">
        <v>2832</v>
      </c>
      <c r="B25" s="2866"/>
      <c r="E25" s="2867">
        <f t="shared" ref="E25:G25" si="32">ROUND(AVERAGEIF(E26:E40,"&lt;&gt;0"),2)</f>
        <v>0.39</v>
      </c>
      <c r="F25" s="2867">
        <f t="shared" si="32"/>
        <v>0.28000000000000003</v>
      </c>
      <c r="G25" s="2867">
        <f t="shared" si="32"/>
        <v>0.67</v>
      </c>
      <c r="I25" s="2867">
        <f>F25</f>
        <v>0.28000000000000003</v>
      </c>
      <c r="J25" s="2868"/>
      <c r="K25" s="2869"/>
      <c r="L25" s="2870">
        <f t="shared" ref="L25:N25" si="33">ROUND(AVERAGEIF(L26:L40,"&lt;&gt;0"),4)</f>
        <v>3.8999999999999998E-3</v>
      </c>
      <c r="M25" s="2870">
        <f t="shared" si="33"/>
        <v>2.8E-3</v>
      </c>
      <c r="N25" s="2870">
        <f t="shared" si="33"/>
        <v>6.7000000000000002E-3</v>
      </c>
      <c r="O25" s="2870"/>
      <c r="P25" s="2870">
        <f>M25</f>
        <v>2.8E-3</v>
      </c>
      <c r="Q25" s="2868"/>
      <c r="R25" s="2871"/>
      <c r="S25" s="2872">
        <f>ROUND(SUMPRODUCT(PRODUCT(1+L26:L40)),4)</f>
        <v>1.0476000000000001</v>
      </c>
      <c r="T25" s="2872">
        <f t="shared" ref="T25:U25" si="34">ROUND(SUMPRODUCT(PRODUCT(1+M26:M40)),4)</f>
        <v>1.0346</v>
      </c>
      <c r="U25" s="2872">
        <f t="shared" si="34"/>
        <v>1.0831999999999999</v>
      </c>
      <c r="V25" s="2872"/>
      <c r="W25" s="2871">
        <f>T25</f>
        <v>1.0346</v>
      </c>
      <c r="X25" s="2868"/>
      <c r="Y25" s="2873"/>
      <c r="Z25" s="2874">
        <f t="shared" ref="Z25:AB25" si="35">ROUND(AVERAGEIF(Z26:Z40,"&lt;&gt;0"),4)</f>
        <v>4.3E-3</v>
      </c>
      <c r="AA25" s="2875">
        <f t="shared" si="35"/>
        <v>3.5999999999999999E-3</v>
      </c>
      <c r="AB25" s="2873">
        <f t="shared" si="35"/>
        <v>8.8999999999999999E-3</v>
      </c>
      <c r="AC25" s="2876"/>
      <c r="AD25" s="2873">
        <f>AA25</f>
        <v>3.5999999999999999E-3</v>
      </c>
    </row>
    <row r="26" spans="1:30" s="2001" customFormat="1" ht="12.75">
      <c r="B26" s="2017"/>
      <c r="J26" s="2877"/>
      <c r="K26" s="2878"/>
      <c r="L26" s="2879"/>
      <c r="M26" s="2879"/>
      <c r="N26" s="2879"/>
      <c r="O26" s="2879"/>
      <c r="P26" s="2879"/>
      <c r="Q26" s="2877"/>
      <c r="R26" s="2019"/>
      <c r="S26" s="2880"/>
      <c r="T26" s="2881"/>
      <c r="U26" s="2019"/>
      <c r="V26" s="2882"/>
      <c r="W26" s="2019"/>
      <c r="X26" s="2877"/>
      <c r="Y26" s="2020"/>
      <c r="Z26" s="2883"/>
      <c r="AA26" s="2884"/>
      <c r="AB26" s="2020"/>
      <c r="AC26" s="2885"/>
      <c r="AD26" s="2020"/>
    </row>
    <row r="27" spans="1:30" s="2037" customFormat="1" ht="12.75">
      <c r="A27" s="2032" t="s">
        <v>3371</v>
      </c>
      <c r="B27" s="2023">
        <v>2024</v>
      </c>
      <c r="C27" s="2034">
        <v>2</v>
      </c>
      <c r="D27" s="1999"/>
      <c r="E27" s="1999">
        <v>0</v>
      </c>
      <c r="F27" s="1999">
        <v>0</v>
      </c>
      <c r="G27" s="1999">
        <v>0</v>
      </c>
      <c r="H27" s="1999"/>
      <c r="I27" s="2000">
        <f t="shared" ref="I27:I40" si="36">F27</f>
        <v>0</v>
      </c>
      <c r="J27" s="2887"/>
      <c r="K27" s="2035"/>
      <c r="L27" s="2020">
        <f t="shared" ref="L27:N40" si="37">E27/100</f>
        <v>0</v>
      </c>
      <c r="M27" s="2020">
        <f t="shared" si="37"/>
        <v>0</v>
      </c>
      <c r="N27" s="2020">
        <f t="shared" si="37"/>
        <v>0</v>
      </c>
      <c r="O27" s="2020"/>
      <c r="P27" s="2020">
        <f>M27</f>
        <v>0</v>
      </c>
      <c r="Q27" s="2887"/>
      <c r="R27" s="2019"/>
      <c r="S27" s="2019">
        <f>ROUND(IF(项目基本情况!$B$8="出让",SUMPRODUCT(PRODUCT(1+L27:L$40)),SUMPRODUCT(PRODUCT(1+L27:L$39))),4)</f>
        <v>1.0439000000000001</v>
      </c>
      <c r="T27" s="2019">
        <f>ROUND(IF(项目基本情况!$B$8="出让",SUMPRODUCT(PRODUCT(1+M27:M$40)),SUMPRODUCT(PRODUCT(1+M27:M$39))),4)</f>
        <v>1.0297000000000001</v>
      </c>
      <c r="U27" s="2019">
        <f>ROUND(IF(项目基本情况!$B$8="出让",SUMPRODUCT(PRODUCT(1+N27:N$40)),SUMPRODUCT(PRODUCT(1+N27:N$39))),4)</f>
        <v>1.0727</v>
      </c>
      <c r="V27" s="2019"/>
      <c r="W27" s="2019">
        <f>T27</f>
        <v>1.0297000000000001</v>
      </c>
      <c r="X27" s="2887"/>
      <c r="Y27" s="2020"/>
      <c r="Z27" s="2883">
        <f>IF(E27=0,0,ROUND(AVERAGE(E27:E40)/100,4))</f>
        <v>0</v>
      </c>
      <c r="AA27" s="2883">
        <f>IF(F27=0,0,ROUND(AVERAGE(F27:F40)/100,4))</f>
        <v>0</v>
      </c>
      <c r="AB27" s="2883">
        <f>IF(G27=0,0,ROUND(AVERAGE(G27:G40)/100,4))</f>
        <v>0</v>
      </c>
      <c r="AC27" s="2885"/>
      <c r="AD27" s="2020">
        <f>IF(I27=0,0,ROUND(AVERAGE(I27:I40)/100,4))</f>
        <v>0</v>
      </c>
    </row>
    <row r="28" spans="1:30" s="2037" customFormat="1" ht="12.75">
      <c r="A28" s="2032" t="s">
        <v>3372</v>
      </c>
      <c r="B28" s="2023">
        <v>2024</v>
      </c>
      <c r="C28" s="2034">
        <v>1</v>
      </c>
      <c r="D28" s="1999"/>
      <c r="E28" s="1999">
        <v>0</v>
      </c>
      <c r="F28" s="1999">
        <v>0</v>
      </c>
      <c r="G28" s="1999">
        <v>0</v>
      </c>
      <c r="H28" s="1999"/>
      <c r="I28" s="2000">
        <f t="shared" ref="I28:I29" si="38">F28</f>
        <v>0</v>
      </c>
      <c r="J28" s="2887"/>
      <c r="K28" s="2035"/>
      <c r="L28" s="2020">
        <f t="shared" ref="L28" si="39">E28/100</f>
        <v>0</v>
      </c>
      <c r="M28" s="2020">
        <f t="shared" ref="M28" si="40">F28/100</f>
        <v>0</v>
      </c>
      <c r="N28" s="2020">
        <f t="shared" ref="N28" si="41">G28/100</f>
        <v>0</v>
      </c>
      <c r="O28" s="2020"/>
      <c r="P28" s="2020">
        <f t="shared" ref="P28" si="42">M28</f>
        <v>0</v>
      </c>
      <c r="Q28" s="2887"/>
      <c r="R28" s="2019"/>
      <c r="S28" s="2019">
        <f>ROUND(IF(项目基本情况!$B$8="出让",SUMPRODUCT(PRODUCT(1+L28:L$40)),SUMPRODUCT(PRODUCT(1+L28:L$39))),4)</f>
        <v>1.0439000000000001</v>
      </c>
      <c r="T28" s="2019">
        <f>ROUND(IF(项目基本情况!$B$8="出让",SUMPRODUCT(PRODUCT(1+M28:M$40)),SUMPRODUCT(PRODUCT(1+M28:M$39))),4)</f>
        <v>1.0297000000000001</v>
      </c>
      <c r="U28" s="2019">
        <f>ROUND(IF(项目基本情况!$B$8="出让",SUMPRODUCT(PRODUCT(1+N28:N$40)),SUMPRODUCT(PRODUCT(1+N28:N$39))),4)</f>
        <v>1.0727</v>
      </c>
      <c r="V28" s="2019"/>
      <c r="W28" s="2019">
        <f t="shared" ref="W28" si="43">T28</f>
        <v>1.0297000000000001</v>
      </c>
      <c r="X28" s="2887"/>
      <c r="Y28" s="2020"/>
      <c r="Z28" s="2883"/>
      <c r="AA28" s="2884"/>
      <c r="AB28" s="2020"/>
      <c r="AC28" s="2885"/>
      <c r="AD28" s="2020"/>
    </row>
    <row r="29" spans="1:30" s="2897" customFormat="1" ht="12.75">
      <c r="A29" s="2888" t="s">
        <v>3376</v>
      </c>
      <c r="B29" s="2889">
        <v>2023</v>
      </c>
      <c r="C29" s="2890">
        <v>4</v>
      </c>
      <c r="D29" s="2891"/>
      <c r="E29" s="2891">
        <v>7.0000000000000007E-2</v>
      </c>
      <c r="F29" s="2891">
        <v>0.09</v>
      </c>
      <c r="G29" s="2891">
        <v>0.03</v>
      </c>
      <c r="H29" s="2892"/>
      <c r="I29" s="2893">
        <f t="shared" si="38"/>
        <v>0.09</v>
      </c>
      <c r="J29" s="2894"/>
      <c r="K29" s="2895"/>
      <c r="L29" s="2896">
        <f t="shared" si="37"/>
        <v>7.000000000000001E-4</v>
      </c>
      <c r="M29" s="2896">
        <f t="shared" si="37"/>
        <v>8.9999999999999998E-4</v>
      </c>
      <c r="N29" s="2896">
        <f t="shared" si="37"/>
        <v>2.9999999999999997E-4</v>
      </c>
      <c r="O29" s="2896"/>
      <c r="P29" s="2896">
        <f t="shared" ref="P29" si="44">M29</f>
        <v>8.9999999999999998E-4</v>
      </c>
      <c r="Q29" s="2894"/>
      <c r="R29" s="2894"/>
      <c r="S29" s="2894">
        <f>ROUND(IF(项目基本情况!$B$8="出让",SUMPRODUCT(PRODUCT(1+L29:L$40)),SUMPRODUCT(PRODUCT(1+L29:L$39))),4)</f>
        <v>1.0439000000000001</v>
      </c>
      <c r="T29" s="2894">
        <f>ROUND(IF(项目基本情况!$B$8="出让",SUMPRODUCT(PRODUCT(1+M29:M$40)),SUMPRODUCT(PRODUCT(1+M29:M$39))),4)</f>
        <v>1.0297000000000001</v>
      </c>
      <c r="U29" s="2894">
        <f>ROUND(IF(项目基本情况!$B$8="出让",SUMPRODUCT(PRODUCT(1+N29:N$40)),SUMPRODUCT(PRODUCT(1+N29:N$39))),4)</f>
        <v>1.0727</v>
      </c>
      <c r="V29" s="2894"/>
      <c r="W29" s="2894">
        <f t="shared" ref="W29" si="45">T29</f>
        <v>1.0297000000000001</v>
      </c>
      <c r="X29" s="2894"/>
      <c r="Y29" s="2896"/>
      <c r="Z29" s="2912"/>
      <c r="AA29" s="2913"/>
      <c r="AB29" s="2896"/>
      <c r="AC29" s="2914"/>
      <c r="AD29" s="2896"/>
    </row>
    <row r="30" spans="1:30" s="2037" customFormat="1" ht="12.75">
      <c r="A30" s="2886" t="s">
        <v>3375</v>
      </c>
      <c r="B30" s="2023">
        <v>2023</v>
      </c>
      <c r="C30" s="2034">
        <v>3</v>
      </c>
      <c r="D30" s="1999"/>
      <c r="E30" s="1999">
        <v>0.35</v>
      </c>
      <c r="F30" s="1999">
        <v>0.17</v>
      </c>
      <c r="G30" s="1999">
        <v>0.52</v>
      </c>
      <c r="H30" s="2898"/>
      <c r="I30" s="2000">
        <f t="shared" si="36"/>
        <v>0.17</v>
      </c>
      <c r="J30" s="2887"/>
      <c r="K30" s="2035"/>
      <c r="L30" s="2020">
        <f t="shared" ref="L30:L32" si="46">E30/100</f>
        <v>3.4999999999999996E-3</v>
      </c>
      <c r="M30" s="2020">
        <f t="shared" ref="M30:M32" si="47">F30/100</f>
        <v>1.7000000000000001E-3</v>
      </c>
      <c r="N30" s="2020">
        <f t="shared" ref="N30:N32" si="48">G30/100</f>
        <v>5.1999999999999998E-3</v>
      </c>
      <c r="O30" s="2020"/>
      <c r="P30" s="2020">
        <f t="shared" ref="P30:P32" si="49">M30</f>
        <v>1.7000000000000001E-3</v>
      </c>
      <c r="Q30" s="2887"/>
      <c r="R30" s="2019"/>
      <c r="S30" s="2019">
        <f>ROUND(IF(项目基本情况!$B$8="出让",SUMPRODUCT(PRODUCT(1+L30:L$40)),SUMPRODUCT(PRODUCT(1+L30:L$39))),4)</f>
        <v>1.0431999999999999</v>
      </c>
      <c r="T30" s="2019">
        <f>ROUND(IF(项目基本情况!$B$8="出让",SUMPRODUCT(PRODUCT(1+M30:M$40)),SUMPRODUCT(PRODUCT(1+M30:M$39))),4)</f>
        <v>1.0286999999999999</v>
      </c>
      <c r="U30" s="2019">
        <f>ROUND(IF(项目基本情况!$B$8="出让",SUMPRODUCT(PRODUCT(1+N30:N$40)),SUMPRODUCT(PRODUCT(1+N30:N$39))),4)</f>
        <v>1.0723</v>
      </c>
      <c r="V30" s="2019"/>
      <c r="W30" s="2019">
        <f t="shared" ref="W30:W32" si="50">T30</f>
        <v>1.0286999999999999</v>
      </c>
      <c r="X30" s="2887"/>
      <c r="Y30" s="2020"/>
      <c r="Z30" s="2883"/>
      <c r="AA30" s="2884"/>
      <c r="AB30" s="2020"/>
      <c r="AC30" s="2885"/>
      <c r="AD30" s="2020"/>
    </row>
    <row r="31" spans="1:30" s="2037" customFormat="1" ht="12.75">
      <c r="A31" s="2886" t="s">
        <v>3370</v>
      </c>
      <c r="B31" s="2023">
        <v>2023</v>
      </c>
      <c r="C31" s="2034">
        <v>2</v>
      </c>
      <c r="D31" s="1999"/>
      <c r="E31" s="1999">
        <v>0.5</v>
      </c>
      <c r="F31" s="1999">
        <v>0.45</v>
      </c>
      <c r="G31" s="1999">
        <v>0.89</v>
      </c>
      <c r="H31" s="2898"/>
      <c r="I31" s="2000">
        <f t="shared" si="36"/>
        <v>0.45</v>
      </c>
      <c r="J31" s="2887"/>
      <c r="K31" s="2035"/>
      <c r="L31" s="2020">
        <f t="shared" si="46"/>
        <v>5.0000000000000001E-3</v>
      </c>
      <c r="M31" s="2020">
        <f t="shared" si="47"/>
        <v>4.5000000000000005E-3</v>
      </c>
      <c r="N31" s="2020">
        <f t="shared" si="48"/>
        <v>8.8999999999999999E-3</v>
      </c>
      <c r="O31" s="2020"/>
      <c r="P31" s="2020">
        <f t="shared" si="49"/>
        <v>4.5000000000000005E-3</v>
      </c>
      <c r="Q31" s="2887"/>
      <c r="R31" s="2019"/>
      <c r="S31" s="2019">
        <f>ROUND(IF(项目基本情况!$B$8="出让",SUMPRODUCT(PRODUCT(1+L31:L$40)),SUMPRODUCT(PRODUCT(1+L31:L$39))),4)</f>
        <v>1.0396000000000001</v>
      </c>
      <c r="T31" s="2019">
        <f>ROUND(IF(项目基本情况!$B$8="出让",SUMPRODUCT(PRODUCT(1+M31:M$40)),SUMPRODUCT(PRODUCT(1+M31:M$39))),4)</f>
        <v>1.0269999999999999</v>
      </c>
      <c r="U31" s="2019">
        <f>ROUND(IF(项目基本情况!$B$8="出让",SUMPRODUCT(PRODUCT(1+N31:N$40)),SUMPRODUCT(PRODUCT(1+N31:N$39))),4)</f>
        <v>1.0668</v>
      </c>
      <c r="V31" s="2019"/>
      <c r="W31" s="2019">
        <f t="shared" si="50"/>
        <v>1.0269999999999999</v>
      </c>
      <c r="X31" s="2887"/>
      <c r="Y31" s="2020"/>
      <c r="Z31" s="2883"/>
      <c r="AA31" s="2884"/>
      <c r="AB31" s="2020"/>
      <c r="AC31" s="2885"/>
      <c r="AD31" s="2020"/>
    </row>
    <row r="32" spans="1:30" s="2037" customFormat="1" ht="12.75">
      <c r="A32" s="2886" t="s">
        <v>3366</v>
      </c>
      <c r="B32" s="2023">
        <v>2023</v>
      </c>
      <c r="C32" s="2034">
        <v>1</v>
      </c>
      <c r="D32" s="1999"/>
      <c r="E32" s="1999">
        <v>0.55000000000000004</v>
      </c>
      <c r="F32" s="1999">
        <v>0.59</v>
      </c>
      <c r="G32" s="1999">
        <v>0.64</v>
      </c>
      <c r="H32" s="2898"/>
      <c r="I32" s="2000">
        <f t="shared" si="36"/>
        <v>0.59</v>
      </c>
      <c r="J32" s="2887"/>
      <c r="K32" s="2035"/>
      <c r="L32" s="2020">
        <f t="shared" si="46"/>
        <v>5.5000000000000005E-3</v>
      </c>
      <c r="M32" s="2020">
        <f t="shared" si="47"/>
        <v>5.8999999999999999E-3</v>
      </c>
      <c r="N32" s="2020">
        <f t="shared" si="48"/>
        <v>6.4000000000000003E-3</v>
      </c>
      <c r="O32" s="2020"/>
      <c r="P32" s="2020">
        <f t="shared" si="49"/>
        <v>5.8999999999999999E-3</v>
      </c>
      <c r="Q32" s="2887"/>
      <c r="R32" s="2019"/>
      <c r="S32" s="2019">
        <f>ROUND(IF(项目基本情况!$B$8="出让",SUMPRODUCT(PRODUCT(1+L32:L$40)),SUMPRODUCT(PRODUCT(1+L32:L$39))),4)</f>
        <v>1.0344</v>
      </c>
      <c r="T32" s="2019">
        <f>ROUND(IF(项目基本情况!$B$8="出让",SUMPRODUCT(PRODUCT(1+M32:M$40)),SUMPRODUCT(PRODUCT(1+M32:M$39))),4)</f>
        <v>1.0224</v>
      </c>
      <c r="U32" s="2019">
        <f>ROUND(IF(项目基本情况!$B$8="出让",SUMPRODUCT(PRODUCT(1+N32:N$40)),SUMPRODUCT(PRODUCT(1+N32:N$39))),4)</f>
        <v>1.0573999999999999</v>
      </c>
      <c r="V32" s="2019"/>
      <c r="W32" s="2019">
        <f t="shared" si="50"/>
        <v>1.0224</v>
      </c>
      <c r="X32" s="2887"/>
      <c r="Y32" s="2020"/>
      <c r="Z32" s="2883"/>
      <c r="AA32" s="2884"/>
      <c r="AB32" s="2020"/>
      <c r="AC32" s="2885"/>
      <c r="AD32" s="2020"/>
    </row>
    <row r="33" spans="1:30" s="2037" customFormat="1" ht="12.75">
      <c r="A33" s="2886" t="s">
        <v>3365</v>
      </c>
      <c r="B33" s="2023">
        <v>2022</v>
      </c>
      <c r="C33" s="2034">
        <v>4</v>
      </c>
      <c r="D33" s="1999"/>
      <c r="E33" s="1999">
        <v>0.45</v>
      </c>
      <c r="F33" s="1999">
        <v>0.2</v>
      </c>
      <c r="G33" s="1999">
        <v>0.38</v>
      </c>
      <c r="H33" s="2898"/>
      <c r="I33" s="2000">
        <f t="shared" si="36"/>
        <v>0.2</v>
      </c>
      <c r="J33" s="2887"/>
      <c r="K33" s="2035"/>
      <c r="L33" s="2020">
        <f t="shared" si="37"/>
        <v>4.5000000000000005E-3</v>
      </c>
      <c r="M33" s="2020">
        <f t="shared" si="37"/>
        <v>2E-3</v>
      </c>
      <c r="N33" s="2020">
        <f t="shared" si="37"/>
        <v>3.8E-3</v>
      </c>
      <c r="O33" s="2020"/>
      <c r="P33" s="2020">
        <f t="shared" ref="P33:P40" si="51">M33</f>
        <v>2E-3</v>
      </c>
      <c r="Q33" s="2887"/>
      <c r="R33" s="2019"/>
      <c r="S33" s="2019">
        <f>ROUND(IF(项目基本情况!$B$8="出让",SUMPRODUCT(PRODUCT(1+L33:L$40)),SUMPRODUCT(PRODUCT(1+L33:L$39))),4)</f>
        <v>1.0286999999999999</v>
      </c>
      <c r="T33" s="2019">
        <f>ROUND(IF(项目基本情况!$B$8="出让",SUMPRODUCT(PRODUCT(1+M33:M$40)),SUMPRODUCT(PRODUCT(1+M33:M$39))),4)</f>
        <v>1.0164</v>
      </c>
      <c r="U33" s="2019">
        <f>ROUND(IF(项目基本情况!$B$8="出让",SUMPRODUCT(PRODUCT(1+N33:N$40)),SUMPRODUCT(PRODUCT(1+N33:N$39))),4)</f>
        <v>1.0506</v>
      </c>
      <c r="V33" s="2019"/>
      <c r="W33" s="2019">
        <f t="shared" ref="W33:W40" si="52">T33</f>
        <v>1.0164</v>
      </c>
      <c r="X33" s="2887"/>
      <c r="Y33" s="2020"/>
      <c r="Z33" s="2883">
        <f t="shared" ref="Z33:AD40" si="53">IF(E33=0,0,ROUND(AVERAGE(E33:E41)/100,4))</f>
        <v>4.0000000000000001E-3</v>
      </c>
      <c r="AA33" s="2884">
        <f t="shared" si="53"/>
        <v>2.5999999999999999E-3</v>
      </c>
      <c r="AB33" s="2020">
        <f t="shared" si="53"/>
        <v>7.4000000000000003E-3</v>
      </c>
      <c r="AC33" s="2885"/>
      <c r="AD33" s="2020">
        <f t="shared" si="53"/>
        <v>2.5999999999999999E-3</v>
      </c>
    </row>
    <row r="34" spans="1:30" s="2037" customFormat="1" ht="12.75">
      <c r="A34" s="2886" t="s">
        <v>3362</v>
      </c>
      <c r="B34" s="2023">
        <v>2022</v>
      </c>
      <c r="C34" s="2034">
        <v>3</v>
      </c>
      <c r="D34" s="1999"/>
      <c r="E34" s="1999">
        <v>0.3</v>
      </c>
      <c r="F34" s="1999">
        <v>0.28999999999999998</v>
      </c>
      <c r="G34" s="1999">
        <v>0.83</v>
      </c>
      <c r="H34" s="2898"/>
      <c r="I34" s="2000">
        <f t="shared" si="36"/>
        <v>0.28999999999999998</v>
      </c>
      <c r="J34" s="2887"/>
      <c r="K34" s="2035"/>
      <c r="L34" s="2020">
        <f t="shared" si="37"/>
        <v>3.0000000000000001E-3</v>
      </c>
      <c r="M34" s="2020">
        <f t="shared" si="37"/>
        <v>2.8999999999999998E-3</v>
      </c>
      <c r="N34" s="2020">
        <f t="shared" si="37"/>
        <v>8.3000000000000001E-3</v>
      </c>
      <c r="O34" s="2020"/>
      <c r="P34" s="2020">
        <f t="shared" si="51"/>
        <v>2.8999999999999998E-3</v>
      </c>
      <c r="Q34" s="2887"/>
      <c r="R34" s="2019"/>
      <c r="S34" s="2019">
        <f>ROUND(IF(项目基本情况!$B$8="出让",SUMPRODUCT(PRODUCT(1+L34:L$40)),SUMPRODUCT(PRODUCT(1+L34:L$39))),4)</f>
        <v>1.0241</v>
      </c>
      <c r="T34" s="2019">
        <f>ROUND(IF(项目基本情况!$B$8="出让",SUMPRODUCT(PRODUCT(1+M34:M$40)),SUMPRODUCT(PRODUCT(1+M34:M$39))),4)</f>
        <v>1.0144</v>
      </c>
      <c r="U34" s="2019">
        <f>ROUND(IF(项目基本情况!$B$8="出让",SUMPRODUCT(PRODUCT(1+N34:N$40)),SUMPRODUCT(PRODUCT(1+N34:N$39))),4)</f>
        <v>1.0467</v>
      </c>
      <c r="V34" s="2019"/>
      <c r="W34" s="2019">
        <f t="shared" si="52"/>
        <v>1.0144</v>
      </c>
      <c r="X34" s="2887"/>
      <c r="Y34" s="2020"/>
      <c r="Z34" s="2883">
        <f t="shared" si="53"/>
        <v>3.8999999999999998E-3</v>
      </c>
      <c r="AA34" s="2884">
        <f t="shared" si="53"/>
        <v>2.7000000000000001E-3</v>
      </c>
      <c r="AB34" s="2020">
        <f t="shared" si="53"/>
        <v>7.9000000000000008E-3</v>
      </c>
      <c r="AC34" s="2885"/>
      <c r="AD34" s="2020">
        <f t="shared" si="53"/>
        <v>2.7000000000000001E-3</v>
      </c>
    </row>
    <row r="35" spans="1:30" s="2037" customFormat="1" ht="12.75">
      <c r="A35" s="2886" t="s">
        <v>3352</v>
      </c>
      <c r="B35" s="2023">
        <v>2022</v>
      </c>
      <c r="C35" s="2034">
        <v>2</v>
      </c>
      <c r="D35" s="1999"/>
      <c r="E35" s="1999">
        <v>-0.11</v>
      </c>
      <c r="F35" s="1999">
        <v>-0.13</v>
      </c>
      <c r="G35" s="1999">
        <v>0.53</v>
      </c>
      <c r="H35" s="2898"/>
      <c r="I35" s="2000">
        <f t="shared" si="36"/>
        <v>-0.13</v>
      </c>
      <c r="J35" s="2887"/>
      <c r="K35" s="2035"/>
      <c r="L35" s="2020">
        <f t="shared" si="37"/>
        <v>-1.1000000000000001E-3</v>
      </c>
      <c r="M35" s="2020">
        <f t="shared" si="37"/>
        <v>-1.2999999999999999E-3</v>
      </c>
      <c r="N35" s="2020">
        <f t="shared" si="37"/>
        <v>5.3E-3</v>
      </c>
      <c r="O35" s="2020"/>
      <c r="P35" s="2020">
        <f t="shared" si="51"/>
        <v>-1.2999999999999999E-3</v>
      </c>
      <c r="Q35" s="2887"/>
      <c r="R35" s="2019"/>
      <c r="S35" s="2019">
        <f>ROUND(IF(项目基本情况!$B$8="出让",SUMPRODUCT(PRODUCT(1+L35:L$40)),SUMPRODUCT(PRODUCT(1+L35:L$39))),4)</f>
        <v>1.0210999999999999</v>
      </c>
      <c r="T35" s="2019">
        <f>ROUND(IF(项目基本情况!$B$8="出让",SUMPRODUCT(PRODUCT(1+M35:M$40)),SUMPRODUCT(PRODUCT(1+M35:M$39))),4)</f>
        <v>1.0114000000000001</v>
      </c>
      <c r="U35" s="2019">
        <f>ROUND(IF(项目基本情况!$B$8="出让",SUMPRODUCT(PRODUCT(1+N35:N$40)),SUMPRODUCT(PRODUCT(1+N35:N$39))),4)</f>
        <v>1.0381</v>
      </c>
      <c r="V35" s="2019"/>
      <c r="W35" s="2019">
        <f t="shared" si="52"/>
        <v>1.0114000000000001</v>
      </c>
      <c r="X35" s="2887"/>
      <c r="Y35" s="2020"/>
      <c r="Z35" s="2883">
        <f t="shared" si="53"/>
        <v>4.1000000000000003E-3</v>
      </c>
      <c r="AA35" s="2884">
        <f t="shared" si="53"/>
        <v>2.7000000000000001E-3</v>
      </c>
      <c r="AB35" s="2020">
        <f t="shared" si="53"/>
        <v>7.9000000000000008E-3</v>
      </c>
      <c r="AC35" s="2885"/>
      <c r="AD35" s="2020">
        <f t="shared" si="53"/>
        <v>2.7000000000000001E-3</v>
      </c>
    </row>
    <row r="36" spans="1:30" s="2037" customFormat="1" ht="12.75">
      <c r="A36" s="2886" t="s">
        <v>2833</v>
      </c>
      <c r="B36" s="2023">
        <v>2022</v>
      </c>
      <c r="C36" s="2034">
        <v>1</v>
      </c>
      <c r="D36" s="1999"/>
      <c r="E36" s="1999">
        <v>0.6</v>
      </c>
      <c r="F36" s="1999">
        <v>0.45</v>
      </c>
      <c r="G36" s="1999">
        <v>0.53</v>
      </c>
      <c r="H36" s="2898"/>
      <c r="I36" s="2000">
        <f t="shared" si="36"/>
        <v>0.45</v>
      </c>
      <c r="J36" s="2887"/>
      <c r="K36" s="2035"/>
      <c r="L36" s="2020">
        <f t="shared" si="37"/>
        <v>6.0000000000000001E-3</v>
      </c>
      <c r="M36" s="2020">
        <f t="shared" si="37"/>
        <v>4.5000000000000005E-3</v>
      </c>
      <c r="N36" s="2020">
        <f t="shared" si="37"/>
        <v>5.3E-3</v>
      </c>
      <c r="O36" s="2020"/>
      <c r="P36" s="2020">
        <f t="shared" si="51"/>
        <v>4.5000000000000005E-3</v>
      </c>
      <c r="Q36" s="2887"/>
      <c r="R36" s="2019"/>
      <c r="S36" s="2019">
        <f>ROUND(IF(项目基本情况!$B$8="出让",SUMPRODUCT(PRODUCT(1+L36:L$40)),SUMPRODUCT(PRODUCT(1+L36:L$39))),4)</f>
        <v>1.0222</v>
      </c>
      <c r="T36" s="2019">
        <f>ROUND(IF(项目基本情况!$B$8="出让",SUMPRODUCT(PRODUCT(1+M36:M$40)),SUMPRODUCT(PRODUCT(1+M36:M$39))),4)</f>
        <v>1.0127999999999999</v>
      </c>
      <c r="U36" s="2019">
        <f>ROUND(IF(项目基本情况!$B$8="出让",SUMPRODUCT(PRODUCT(1+N36:N$40)),SUMPRODUCT(PRODUCT(1+N36:N$39))),4)</f>
        <v>1.0326</v>
      </c>
      <c r="V36" s="2019"/>
      <c r="W36" s="2019">
        <f t="shared" si="52"/>
        <v>1.0127999999999999</v>
      </c>
      <c r="X36" s="2887"/>
      <c r="Y36" s="2020"/>
      <c r="Z36" s="2883">
        <f t="shared" si="53"/>
        <v>5.1000000000000004E-3</v>
      </c>
      <c r="AA36" s="2884">
        <f t="shared" si="53"/>
        <v>3.5000000000000001E-3</v>
      </c>
      <c r="AB36" s="2020">
        <f t="shared" si="53"/>
        <v>8.3999999999999995E-3</v>
      </c>
      <c r="AC36" s="2885"/>
      <c r="AD36" s="2020">
        <f t="shared" si="53"/>
        <v>3.5000000000000001E-3</v>
      </c>
    </row>
    <row r="37" spans="1:30" s="2037" customFormat="1" ht="12.75">
      <c r="A37" s="2886" t="s">
        <v>2834</v>
      </c>
      <c r="B37" s="2023">
        <v>2021</v>
      </c>
      <c r="C37" s="2034">
        <v>4</v>
      </c>
      <c r="D37" s="1999"/>
      <c r="E37" s="1999">
        <v>0.57999999999999996</v>
      </c>
      <c r="F37" s="1999">
        <v>0.08</v>
      </c>
      <c r="G37" s="1999">
        <v>0.68</v>
      </c>
      <c r="H37" s="2898"/>
      <c r="I37" s="2000">
        <f t="shared" si="36"/>
        <v>0.08</v>
      </c>
      <c r="J37" s="2887"/>
      <c r="K37" s="2035"/>
      <c r="L37" s="2020">
        <f t="shared" si="37"/>
        <v>5.7999999999999996E-3</v>
      </c>
      <c r="M37" s="2020">
        <f t="shared" si="37"/>
        <v>8.0000000000000004E-4</v>
      </c>
      <c r="N37" s="2020">
        <f t="shared" si="37"/>
        <v>6.8000000000000005E-3</v>
      </c>
      <c r="O37" s="2020"/>
      <c r="P37" s="2020">
        <f t="shared" si="51"/>
        <v>8.0000000000000004E-4</v>
      </c>
      <c r="Q37" s="2887"/>
      <c r="R37" s="2019"/>
      <c r="S37" s="2019">
        <f>ROUND(IF(项目基本情况!$B$8="出让",SUMPRODUCT(PRODUCT(1+L37:L$40)),SUMPRODUCT(PRODUCT(1+L37:L$39))),4)</f>
        <v>1.0161</v>
      </c>
      <c r="T37" s="2019">
        <f>ROUND(IF(项目基本情况!$B$8="出让",SUMPRODUCT(PRODUCT(1+M37:M$40)),SUMPRODUCT(PRODUCT(1+M37:M$39))),4)</f>
        <v>1.0082</v>
      </c>
      <c r="U37" s="2019">
        <f>ROUND(IF(项目基本情况!$B$8="出让",SUMPRODUCT(PRODUCT(1+N37:N$40)),SUMPRODUCT(PRODUCT(1+N37:N$39))),4)</f>
        <v>1.0270999999999999</v>
      </c>
      <c r="V37" s="2019"/>
      <c r="W37" s="2019">
        <f t="shared" si="52"/>
        <v>1.0082</v>
      </c>
      <c r="X37" s="2887"/>
      <c r="Y37" s="2020"/>
      <c r="Z37" s="2883">
        <f t="shared" si="53"/>
        <v>4.8999999999999998E-3</v>
      </c>
      <c r="AA37" s="2884">
        <f t="shared" si="53"/>
        <v>3.3E-3</v>
      </c>
      <c r="AB37" s="2020">
        <f t="shared" si="53"/>
        <v>9.1999999999999998E-3</v>
      </c>
      <c r="AC37" s="2885"/>
      <c r="AD37" s="2020">
        <f t="shared" si="53"/>
        <v>3.3E-3</v>
      </c>
    </row>
    <row r="38" spans="1:30" s="2037" customFormat="1" ht="12.75">
      <c r="A38" s="2886" t="s">
        <v>2835</v>
      </c>
      <c r="B38" s="2023">
        <v>2021</v>
      </c>
      <c r="C38" s="2034">
        <v>3</v>
      </c>
      <c r="D38" s="1999"/>
      <c r="E38" s="1999">
        <v>0.47</v>
      </c>
      <c r="F38" s="1999">
        <v>0.28000000000000003</v>
      </c>
      <c r="G38" s="1999">
        <v>0.91</v>
      </c>
      <c r="H38" s="2898"/>
      <c r="I38" s="2000">
        <f t="shared" si="36"/>
        <v>0.28000000000000003</v>
      </c>
      <c r="J38" s="2887"/>
      <c r="K38" s="2035"/>
      <c r="L38" s="2020">
        <f t="shared" si="37"/>
        <v>4.6999999999999993E-3</v>
      </c>
      <c r="M38" s="2020">
        <f t="shared" si="37"/>
        <v>2.8000000000000004E-3</v>
      </c>
      <c r="N38" s="2020">
        <f t="shared" si="37"/>
        <v>9.1000000000000004E-3</v>
      </c>
      <c r="O38" s="2020"/>
      <c r="P38" s="2020">
        <f t="shared" si="51"/>
        <v>2.8000000000000004E-3</v>
      </c>
      <c r="Q38" s="2887"/>
      <c r="R38" s="2019"/>
      <c r="S38" s="2019">
        <f>ROUND(IF(项目基本情况!$B$8="出让",SUMPRODUCT(PRODUCT(1+L38:L$40)),SUMPRODUCT(PRODUCT(1+L38:L$39))),4)</f>
        <v>1.0102</v>
      </c>
      <c r="T38" s="2019">
        <f>ROUND(IF(项目基本情况!$B$8="出让",SUMPRODUCT(PRODUCT(1+M38:M$40)),SUMPRODUCT(PRODUCT(1+M38:M$39))),4)</f>
        <v>1.0074000000000001</v>
      </c>
      <c r="U38" s="2019">
        <f>ROUND(IF(项目基本情况!$B$8="出让",SUMPRODUCT(PRODUCT(1+N38:N$40)),SUMPRODUCT(PRODUCT(1+N38:N$39))),4)</f>
        <v>1.0202</v>
      </c>
      <c r="V38" s="2019"/>
      <c r="W38" s="2019">
        <f t="shared" si="52"/>
        <v>1.0074000000000001</v>
      </c>
      <c r="X38" s="2887"/>
      <c r="Y38" s="2020"/>
      <c r="Z38" s="2883">
        <f t="shared" si="53"/>
        <v>4.5999999999999999E-3</v>
      </c>
      <c r="AA38" s="2884">
        <f t="shared" si="53"/>
        <v>4.1000000000000003E-3</v>
      </c>
      <c r="AB38" s="2020">
        <f t="shared" si="53"/>
        <v>0.01</v>
      </c>
      <c r="AC38" s="2885"/>
      <c r="AD38" s="2020">
        <f t="shared" si="53"/>
        <v>4.1000000000000003E-3</v>
      </c>
    </row>
    <row r="39" spans="1:30" s="2037" customFormat="1" ht="12.75">
      <c r="A39" s="2886" t="s">
        <v>2836</v>
      </c>
      <c r="B39" s="2023">
        <v>2021</v>
      </c>
      <c r="C39" s="2034">
        <v>2</v>
      </c>
      <c r="D39" s="1999"/>
      <c r="E39" s="1999">
        <v>0.55000000000000004</v>
      </c>
      <c r="F39" s="1999">
        <v>0.46</v>
      </c>
      <c r="G39" s="1999">
        <v>1.1000000000000001</v>
      </c>
      <c r="H39" s="2898"/>
      <c r="I39" s="2000">
        <f t="shared" si="36"/>
        <v>0.46</v>
      </c>
      <c r="J39" s="2887"/>
      <c r="K39" s="2035"/>
      <c r="L39" s="2020">
        <f t="shared" si="37"/>
        <v>5.5000000000000005E-3</v>
      </c>
      <c r="M39" s="2020">
        <f t="shared" si="37"/>
        <v>4.5999999999999999E-3</v>
      </c>
      <c r="N39" s="2020">
        <f t="shared" si="37"/>
        <v>1.1000000000000001E-2</v>
      </c>
      <c r="O39" s="2020"/>
      <c r="P39" s="2020">
        <f t="shared" si="51"/>
        <v>4.5999999999999999E-3</v>
      </c>
      <c r="Q39" s="2887"/>
      <c r="R39" s="2019"/>
      <c r="S39" s="2019">
        <f>ROUND(IF(项目基本情况!$B$8="出让",SUMPRODUCT(PRODUCT(1+L39:L$40)),SUMPRODUCT(PRODUCT(1+L39:L$39))),4)</f>
        <v>1.0055000000000001</v>
      </c>
      <c r="T39" s="2019">
        <f>ROUND(IF(项目基本情况!$B$8="出让",SUMPRODUCT(PRODUCT(1+M39:M$40)),SUMPRODUCT(PRODUCT(1+M39:M$39))),4)</f>
        <v>1.0045999999999999</v>
      </c>
      <c r="U39" s="2019">
        <f>ROUND(IF(项目基本情况!$B$8="出让",SUMPRODUCT(PRODUCT(1+N39:N$40)),SUMPRODUCT(PRODUCT(1+N39:N$39))),4)</f>
        <v>1.0109999999999999</v>
      </c>
      <c r="V39" s="2019"/>
      <c r="W39" s="2019">
        <f t="shared" si="52"/>
        <v>1.0045999999999999</v>
      </c>
      <c r="X39" s="2887"/>
      <c r="Y39" s="2020"/>
      <c r="Z39" s="2883">
        <f t="shared" si="53"/>
        <v>4.4999999999999997E-3</v>
      </c>
      <c r="AA39" s="2884">
        <f t="shared" si="53"/>
        <v>4.7000000000000002E-3</v>
      </c>
      <c r="AB39" s="2020">
        <f t="shared" si="53"/>
        <v>1.04E-2</v>
      </c>
      <c r="AC39" s="2885"/>
      <c r="AD39" s="2020">
        <f t="shared" si="53"/>
        <v>4.7000000000000002E-3</v>
      </c>
    </row>
    <row r="40" spans="1:30" s="2909" customFormat="1" thickBot="1">
      <c r="A40" s="2899" t="s">
        <v>2822</v>
      </c>
      <c r="B40" s="2900">
        <v>2021</v>
      </c>
      <c r="C40" s="2901">
        <v>1</v>
      </c>
      <c r="D40" s="2902"/>
      <c r="E40" s="2902">
        <v>0.35</v>
      </c>
      <c r="F40" s="2902">
        <v>0.48</v>
      </c>
      <c r="G40" s="2902">
        <v>0.98</v>
      </c>
      <c r="H40" s="2903"/>
      <c r="I40" s="2904">
        <f t="shared" si="36"/>
        <v>0.48</v>
      </c>
      <c r="J40" s="2905"/>
      <c r="K40" s="2906"/>
      <c r="L40" s="2907">
        <f t="shared" si="37"/>
        <v>3.4999999999999996E-3</v>
      </c>
      <c r="M40" s="2907">
        <f>F40/100</f>
        <v>4.7999999999999996E-3</v>
      </c>
      <c r="N40" s="2907">
        <f t="shared" si="37"/>
        <v>9.7999999999999997E-3</v>
      </c>
      <c r="O40" s="2907"/>
      <c r="P40" s="2907">
        <f t="shared" si="51"/>
        <v>4.7999999999999996E-3</v>
      </c>
      <c r="Q40" s="2905"/>
      <c r="R40" s="2908"/>
      <c r="S40" s="2908">
        <v>1</v>
      </c>
      <c r="T40" s="2908">
        <v>1</v>
      </c>
      <c r="U40" s="2908">
        <v>1</v>
      </c>
      <c r="V40" s="2908"/>
      <c r="W40" s="2908">
        <f t="shared" si="52"/>
        <v>1</v>
      </c>
      <c r="X40" s="2905"/>
      <c r="Y40" s="2907"/>
      <c r="Z40" s="2915">
        <f t="shared" si="53"/>
        <v>3.5000000000000001E-3</v>
      </c>
      <c r="AA40" s="2916">
        <f t="shared" si="53"/>
        <v>4.7999999999999996E-3</v>
      </c>
      <c r="AB40" s="2907">
        <f t="shared" si="53"/>
        <v>9.7999999999999997E-3</v>
      </c>
      <c r="AC40" s="2917"/>
      <c r="AD40" s="2907">
        <f t="shared" si="53"/>
        <v>4.7999999999999996E-3</v>
      </c>
    </row>
    <row r="41" spans="1:30" ht="14.25" thickTop="1"/>
    <row r="42" spans="1:30">
      <c r="A42" s="3121"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611" t="s">
        <v>452</v>
      </c>
      <c r="C1" s="3611"/>
      <c r="D1" s="3611"/>
      <c r="E1" s="3611"/>
      <c r="F1" s="3611"/>
      <c r="G1" s="3607" t="s">
        <v>453</v>
      </c>
      <c r="H1" s="3607"/>
      <c r="I1" s="3607"/>
      <c r="J1" s="3607"/>
      <c r="K1" s="3607"/>
      <c r="L1" s="3607"/>
      <c r="N1" s="3607" t="s">
        <v>454</v>
      </c>
      <c r="O1" s="3607"/>
      <c r="P1" s="3607"/>
      <c r="Q1" s="3607"/>
      <c r="S1" s="3607" t="s">
        <v>455</v>
      </c>
      <c r="T1" s="3607"/>
      <c r="U1" s="3607"/>
      <c r="V1" s="3607"/>
      <c r="X1" s="3606" t="s">
        <v>456</v>
      </c>
      <c r="Y1" s="3607"/>
      <c r="Z1" s="3607"/>
      <c r="AA1" s="3607"/>
      <c r="AB1" s="3607"/>
      <c r="AD1" s="3606" t="s">
        <v>457</v>
      </c>
      <c r="AE1" s="3607"/>
      <c r="AF1" s="3607"/>
      <c r="AG1" s="3607"/>
      <c r="AH1" s="3607"/>
    </row>
    <row r="2" spans="1:34" s="2002" customFormat="1" ht="14.25" thickBot="1">
      <c r="B2" s="2003" t="s">
        <v>458</v>
      </c>
      <c r="C2" s="2003" t="s">
        <v>459</v>
      </c>
      <c r="D2" s="2004" t="s">
        <v>460</v>
      </c>
      <c r="E2" s="2004" t="s">
        <v>461</v>
      </c>
      <c r="F2" s="2003" t="s">
        <v>462</v>
      </c>
      <c r="G2" s="2005"/>
      <c r="I2" s="2003" t="s">
        <v>458</v>
      </c>
      <c r="J2" s="2004" t="s">
        <v>673</v>
      </c>
      <c r="K2" s="2004" t="s">
        <v>308</v>
      </c>
      <c r="L2" s="2003" t="s">
        <v>462</v>
      </c>
      <c r="N2" s="2003" t="s">
        <v>458</v>
      </c>
      <c r="O2" s="2004" t="s">
        <v>673</v>
      </c>
      <c r="P2" s="2004" t="s">
        <v>308</v>
      </c>
      <c r="Q2" s="2003" t="s">
        <v>462</v>
      </c>
      <c r="S2" s="2003" t="s">
        <v>458</v>
      </c>
      <c r="T2" s="2004" t="s">
        <v>673</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2108</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3360</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3357</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2109</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3358</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3359</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2434</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2311</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2310</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2309</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2306</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2305</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2124</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2122</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2121</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2120</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2118</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2117</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2119</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609">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2115</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609"/>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2114</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609"/>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2107</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616"/>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2105</v>
      </c>
      <c r="B25" s="2041">
        <v>439</v>
      </c>
      <c r="C25" s="2041">
        <v>327</v>
      </c>
      <c r="D25" s="2041">
        <f>C25</f>
        <v>327</v>
      </c>
      <c r="E25" s="2041">
        <v>627</v>
      </c>
      <c r="F25" s="2042">
        <v>283</v>
      </c>
      <c r="G25" s="3612">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2106</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609"/>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674</v>
      </c>
      <c r="B27" s="2033">
        <f t="shared" si="232"/>
        <v>419.31181600000002</v>
      </c>
      <c r="C27" s="2033">
        <f t="shared" si="233"/>
        <v>313.95436800000004</v>
      </c>
      <c r="D27" s="2033">
        <f t="shared" si="234"/>
        <v>313.95436800000004</v>
      </c>
      <c r="E27" s="2033">
        <f t="shared" si="235"/>
        <v>596.63028431999999</v>
      </c>
      <c r="F27" s="2033">
        <f t="shared" si="236"/>
        <v>274.74220703999998</v>
      </c>
      <c r="G27" s="3609"/>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616"/>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612">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609"/>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609"/>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610"/>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608">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609"/>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609"/>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610"/>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608">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609"/>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609"/>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610"/>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613">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614"/>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614"/>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615"/>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608">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609"/>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609"/>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610"/>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608">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609">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609">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610">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608">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609">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609">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610">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608">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609">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609">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610">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608">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609">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609">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610">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608">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609">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609">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610">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608">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609">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609">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610">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608">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609">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609">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610">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608">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609">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609">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610">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608">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609">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609">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610">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608">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609">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609">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610">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294" t="str">
        <f>IF(项目基本情况!B9="房地产市场价值","估价结果一览表","结果表-2")</f>
        <v>结果表-2</v>
      </c>
      <c r="B1" s="3294"/>
      <c r="C1" s="3294"/>
      <c r="D1" s="3294"/>
      <c r="E1" s="3294"/>
      <c r="F1" s="3294"/>
      <c r="G1" s="3294"/>
      <c r="H1" s="3294"/>
      <c r="I1" s="3294"/>
    </row>
    <row r="2" spans="1:9" ht="30" customHeight="1" thickTop="1">
      <c r="A2" s="3295" t="s">
        <v>925</v>
      </c>
      <c r="B2" s="3295" t="s">
        <v>926</v>
      </c>
      <c r="C2" s="3295" t="s">
        <v>927</v>
      </c>
      <c r="D2" s="3295" t="str">
        <f>结果表!D116</f>
        <v>出让国有建设用地使用权价值</v>
      </c>
      <c r="E2" s="3295"/>
      <c r="F2" s="3295" t="str">
        <f>结果表!F116</f>
        <v>建筑物价值</v>
      </c>
      <c r="G2" s="3295"/>
      <c r="H2" s="3295" t="str">
        <f>IF(项目基本情况!B9="房地产市场价值","房地产市场价值","房地产价值")</f>
        <v>房地产价值</v>
      </c>
      <c r="I2" s="3295"/>
    </row>
    <row r="3" spans="1:9" ht="15">
      <c r="A3" s="3290"/>
      <c r="B3" s="3290"/>
      <c r="C3" s="3290"/>
      <c r="D3" s="794" t="s">
        <v>922</v>
      </c>
      <c r="E3" s="794" t="s">
        <v>928</v>
      </c>
      <c r="F3" s="794" t="s">
        <v>922</v>
      </c>
      <c r="G3" s="794" t="s">
        <v>923</v>
      </c>
      <c r="H3" s="794" t="s">
        <v>922</v>
      </c>
      <c r="I3" s="794" t="s">
        <v>923</v>
      </c>
    </row>
    <row r="4" spans="1:9" ht="45">
      <c r="A4" s="1395" t="str">
        <f>项目基本情况!S2</f>
        <v>北京市朝阳区清林东路4号6号楼负2层B202、负3层B302商业用房房地产</v>
      </c>
      <c r="B4" s="794">
        <f>项目基本情况!C17</f>
        <v>5979.5300000000007</v>
      </c>
      <c r="C4" s="794">
        <f>项目基本情况!C18</f>
        <v>0</v>
      </c>
      <c r="D4" s="794">
        <f ca="1">结果表!D118</f>
        <v>2458</v>
      </c>
      <c r="E4" s="794">
        <f ca="1">结果表!E118</f>
        <v>8617</v>
      </c>
      <c r="F4" s="794">
        <f ca="1">结果表!F118</f>
        <v>2488</v>
      </c>
      <c r="G4" s="794">
        <f ca="1">结果表!G118</f>
        <v>8723</v>
      </c>
      <c r="H4" s="794">
        <f ca="1">结果表!H118</f>
        <v>4946</v>
      </c>
      <c r="I4" s="794">
        <f ca="1">结果表!I118</f>
        <v>17340</v>
      </c>
    </row>
    <row r="5" spans="1:9" ht="30" customHeight="1">
      <c r="A5" s="3290" t="s">
        <v>924</v>
      </c>
      <c r="B5" s="3290"/>
      <c r="C5" s="3290"/>
      <c r="D5" s="3290" t="str">
        <f ca="1">结果表!D119</f>
        <v>贰仟肆佰伍拾捌万元整</v>
      </c>
      <c r="E5" s="3290"/>
      <c r="F5" s="3290" t="str">
        <f ca="1">结果表!F119</f>
        <v>贰仟肆佰捌拾捌万元整</v>
      </c>
      <c r="G5" s="3290"/>
      <c r="H5" s="3290" t="str">
        <f ca="1">结果表!H119</f>
        <v>肆仟玖佰肆拾陆万元整</v>
      </c>
      <c r="I5" s="3290"/>
    </row>
    <row r="6" spans="1:9" ht="15.75">
      <c r="A6" s="3289" t="str">
        <f>结果表!A120</f>
        <v>估价师知悉的法定优先受偿款</v>
      </c>
      <c r="B6" s="3289"/>
      <c r="C6" s="3289"/>
      <c r="D6" s="3289">
        <f>结果表!D120</f>
        <v>0</v>
      </c>
      <c r="E6" s="3289"/>
      <c r="F6" s="3289"/>
      <c r="G6" s="3289"/>
      <c r="H6" s="3289"/>
      <c r="I6" s="3289"/>
    </row>
    <row r="7" spans="1:9" ht="15">
      <c r="A7" s="3290" t="s">
        <v>924</v>
      </c>
      <c r="B7" s="3290"/>
      <c r="C7" s="3290"/>
      <c r="D7" s="3291" t="str">
        <f>结果表!D121</f>
        <v>零元整</v>
      </c>
      <c r="E7" s="3292"/>
      <c r="F7" s="3292"/>
      <c r="G7" s="3292"/>
      <c r="H7" s="3292"/>
      <c r="I7" s="3293"/>
    </row>
    <row r="8" spans="1:9" ht="15.75">
      <c r="A8" s="3289" t="str">
        <f>结果表!A122</f>
        <v>房地产抵押价值</v>
      </c>
      <c r="B8" s="3289"/>
      <c r="C8" s="3289"/>
      <c r="D8" s="3289">
        <f ca="1">结果表!D122</f>
        <v>4946</v>
      </c>
      <c r="E8" s="3289"/>
      <c r="F8" s="3289"/>
      <c r="G8" s="3289"/>
      <c r="H8" s="3289"/>
      <c r="I8" s="3289"/>
    </row>
    <row r="9" spans="1:9" ht="15">
      <c r="A9" s="3290" t="s">
        <v>924</v>
      </c>
      <c r="B9" s="3290"/>
      <c r="C9" s="3290"/>
      <c r="D9" s="3290" t="str">
        <f ca="1">结果表!D123</f>
        <v>肆仟玖佰肆拾陆万元整</v>
      </c>
      <c r="E9" s="3290"/>
      <c r="F9" s="3290"/>
      <c r="G9" s="3290"/>
      <c r="H9" s="3290"/>
      <c r="I9" s="3290"/>
    </row>
    <row r="10" spans="1:9" ht="15.75">
      <c r="A10" s="3289" t="str">
        <f>结果表!A124</f>
        <v/>
      </c>
      <c r="B10" s="3289"/>
      <c r="C10" s="3289"/>
      <c r="D10" s="3289" t="str">
        <f>结果表!D124</f>
        <v>——</v>
      </c>
      <c r="E10" s="3289"/>
      <c r="F10" s="3289"/>
      <c r="G10" s="3289"/>
      <c r="H10" s="3289"/>
      <c r="I10" s="3289"/>
    </row>
    <row r="11" spans="1:9" ht="15">
      <c r="A11" s="3290" t="s">
        <v>924</v>
      </c>
      <c r="B11" s="3290"/>
      <c r="C11" s="3290"/>
      <c r="D11" s="3290" t="e">
        <f>结果表!D125</f>
        <v>#VALUE!</v>
      </c>
      <c r="E11" s="3290"/>
      <c r="F11" s="3290"/>
      <c r="G11" s="3290"/>
      <c r="H11" s="3290"/>
      <c r="I11" s="3290"/>
    </row>
    <row r="12" spans="1:9" ht="15.75">
      <c r="A12" s="3289" t="str">
        <f>结果表!A126</f>
        <v/>
      </c>
      <c r="B12" s="3289"/>
      <c r="C12" s="3289"/>
      <c r="D12" s="3289" t="str">
        <f>结果表!D126</f>
        <v>——</v>
      </c>
      <c r="E12" s="3289"/>
      <c r="F12" s="3289"/>
      <c r="G12" s="3289"/>
      <c r="H12" s="3289"/>
      <c r="I12" s="3289"/>
    </row>
    <row r="13" spans="1:9" ht="15.75" thickBot="1">
      <c r="A13" s="3287" t="s">
        <v>924</v>
      </c>
      <c r="B13" s="3287"/>
      <c r="C13" s="3287"/>
      <c r="D13" s="3287" t="e">
        <f>结果表!D127</f>
        <v>#VALUE!</v>
      </c>
      <c r="E13" s="3287"/>
      <c r="F13" s="3287"/>
      <c r="G13" s="3287"/>
      <c r="H13" s="3287"/>
      <c r="I13" s="3287"/>
    </row>
    <row r="14" spans="1:9" ht="15" thickTop="1">
      <c r="A14" s="3288" t="s">
        <v>929</v>
      </c>
      <c r="B14" s="3288"/>
      <c r="C14" s="3288"/>
      <c r="D14" s="3288"/>
      <c r="E14" s="3288"/>
      <c r="F14" s="3288"/>
      <c r="G14" s="3288"/>
      <c r="H14" s="3288"/>
      <c r="I14" s="3288"/>
    </row>
    <row r="16" spans="1:9" ht="18.75">
      <c r="A16" s="1396" t="s">
        <v>912</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2" customWidth="1"/>
    <col min="2" max="2" width="13.25" style="1158" customWidth="1"/>
    <col min="3" max="3" width="15.625" style="1158" customWidth="1"/>
    <col min="4" max="4" width="9.375" style="1158" bestFit="1" customWidth="1"/>
    <col min="5" max="5" width="13.5" style="1158" customWidth="1"/>
    <col min="6" max="6" width="9" style="1158"/>
    <col min="7" max="7" width="9.375" style="1158" bestFit="1" customWidth="1"/>
    <col min="8" max="8" width="12.25" style="1158" customWidth="1"/>
    <col min="9" max="9" width="9" style="1158"/>
    <col min="10" max="10" width="9.375" style="1158" bestFit="1" customWidth="1"/>
    <col min="11" max="11" width="4" style="1152" customWidth="1"/>
    <col min="12" max="12" width="5.125" style="1158" customWidth="1"/>
    <col min="13" max="13" width="13.75" style="1158" customWidth="1"/>
    <col min="14" max="256" width="9" style="1158"/>
    <col min="257" max="257" width="4.875" style="1149" customWidth="1"/>
    <col min="258" max="258" width="13.25" style="1149" customWidth="1"/>
    <col min="259" max="259" width="15.625" style="1149" customWidth="1"/>
    <col min="260" max="260" width="9.375" style="1149" bestFit="1" customWidth="1"/>
    <col min="261" max="261" width="13.5" style="1149" customWidth="1"/>
    <col min="262" max="262" width="9" style="1149"/>
    <col min="263" max="263" width="9.375" style="1149" bestFit="1" customWidth="1"/>
    <col min="264" max="265" width="9" style="1149"/>
    <col min="266" max="266" width="9.375" style="1149" bestFit="1" customWidth="1"/>
    <col min="267" max="267" width="4" style="1149" customWidth="1"/>
    <col min="268" max="268" width="5.125" style="1149" customWidth="1"/>
    <col min="269" max="269" width="13.75" style="1149" customWidth="1"/>
    <col min="270" max="512" width="9" style="1149"/>
    <col min="513" max="513" width="4.875" style="1149" customWidth="1"/>
    <col min="514" max="514" width="13.25" style="1149" customWidth="1"/>
    <col min="515" max="515" width="15.625" style="1149" customWidth="1"/>
    <col min="516" max="516" width="9.375" style="1149" bestFit="1" customWidth="1"/>
    <col min="517" max="517" width="13.5" style="1149" customWidth="1"/>
    <col min="518" max="518" width="9" style="1149"/>
    <col min="519" max="519" width="9.375" style="1149" bestFit="1" customWidth="1"/>
    <col min="520" max="521" width="9" style="1149"/>
    <col min="522" max="522" width="9.375" style="1149" bestFit="1" customWidth="1"/>
    <col min="523" max="523" width="4" style="1149" customWidth="1"/>
    <col min="524" max="524" width="5.125" style="1149" customWidth="1"/>
    <col min="525" max="525" width="13.75" style="1149" customWidth="1"/>
    <col min="526" max="768" width="9" style="1149"/>
    <col min="769" max="769" width="4.875" style="1149" customWidth="1"/>
    <col min="770" max="770" width="13.25" style="1149" customWidth="1"/>
    <col min="771" max="771" width="15.625" style="1149" customWidth="1"/>
    <col min="772" max="772" width="9.375" style="1149" bestFit="1" customWidth="1"/>
    <col min="773" max="773" width="13.5" style="1149" customWidth="1"/>
    <col min="774" max="774" width="9" style="1149"/>
    <col min="775" max="775" width="9.375" style="1149" bestFit="1" customWidth="1"/>
    <col min="776" max="777" width="9" style="1149"/>
    <col min="778" max="778" width="9.375" style="1149" bestFit="1" customWidth="1"/>
    <col min="779" max="779" width="4" style="1149" customWidth="1"/>
    <col min="780" max="780" width="5.125" style="1149" customWidth="1"/>
    <col min="781" max="781" width="13.75" style="1149" customWidth="1"/>
    <col min="782" max="1024" width="9" style="1149"/>
    <col min="1025" max="1025" width="4.875" style="1149" customWidth="1"/>
    <col min="1026" max="1026" width="13.25" style="1149" customWidth="1"/>
    <col min="1027" max="1027" width="15.625" style="1149" customWidth="1"/>
    <col min="1028" max="1028" width="9.375" style="1149" bestFit="1" customWidth="1"/>
    <col min="1029" max="1029" width="13.5" style="1149" customWidth="1"/>
    <col min="1030" max="1030" width="9" style="1149"/>
    <col min="1031" max="1031" width="9.375" style="1149" bestFit="1" customWidth="1"/>
    <col min="1032" max="1033" width="9" style="1149"/>
    <col min="1034" max="1034" width="9.375" style="1149" bestFit="1" customWidth="1"/>
    <col min="1035" max="1035" width="4" style="1149" customWidth="1"/>
    <col min="1036" max="1036" width="5.125" style="1149" customWidth="1"/>
    <col min="1037" max="1037" width="13.75" style="1149" customWidth="1"/>
    <col min="1038" max="1280" width="9" style="1149"/>
    <col min="1281" max="1281" width="4.875" style="1149" customWidth="1"/>
    <col min="1282" max="1282" width="13.25" style="1149" customWidth="1"/>
    <col min="1283" max="1283" width="15.625" style="1149" customWidth="1"/>
    <col min="1284" max="1284" width="9.375" style="1149" bestFit="1" customWidth="1"/>
    <col min="1285" max="1285" width="13.5" style="1149" customWidth="1"/>
    <col min="1286" max="1286" width="9" style="1149"/>
    <col min="1287" max="1287" width="9.375" style="1149" bestFit="1" customWidth="1"/>
    <col min="1288" max="1289" width="9" style="1149"/>
    <col min="1290" max="1290" width="9.375" style="1149" bestFit="1" customWidth="1"/>
    <col min="1291" max="1291" width="4" style="1149" customWidth="1"/>
    <col min="1292" max="1292" width="5.125" style="1149" customWidth="1"/>
    <col min="1293" max="1293" width="13.75" style="1149" customWidth="1"/>
    <col min="1294" max="1536" width="9" style="1149"/>
    <col min="1537" max="1537" width="4.875" style="1149" customWidth="1"/>
    <col min="1538" max="1538" width="13.25" style="1149" customWidth="1"/>
    <col min="1539" max="1539" width="15.625" style="1149" customWidth="1"/>
    <col min="1540" max="1540" width="9.375" style="1149" bestFit="1" customWidth="1"/>
    <col min="1541" max="1541" width="13.5" style="1149" customWidth="1"/>
    <col min="1542" max="1542" width="9" style="1149"/>
    <col min="1543" max="1543" width="9.375" style="1149" bestFit="1" customWidth="1"/>
    <col min="1544" max="1545" width="9" style="1149"/>
    <col min="1546" max="1546" width="9.375" style="1149" bestFit="1" customWidth="1"/>
    <col min="1547" max="1547" width="4" style="1149" customWidth="1"/>
    <col min="1548" max="1548" width="5.125" style="1149" customWidth="1"/>
    <col min="1549" max="1549" width="13.75" style="1149" customWidth="1"/>
    <col min="1550" max="1792" width="9" style="1149"/>
    <col min="1793" max="1793" width="4.875" style="1149" customWidth="1"/>
    <col min="1794" max="1794" width="13.25" style="1149" customWidth="1"/>
    <col min="1795" max="1795" width="15.625" style="1149" customWidth="1"/>
    <col min="1796" max="1796" width="9.375" style="1149" bestFit="1" customWidth="1"/>
    <col min="1797" max="1797" width="13.5" style="1149" customWidth="1"/>
    <col min="1798" max="1798" width="9" style="1149"/>
    <col min="1799" max="1799" width="9.375" style="1149" bestFit="1" customWidth="1"/>
    <col min="1800" max="1801" width="9" style="1149"/>
    <col min="1802" max="1802" width="9.375" style="1149" bestFit="1" customWidth="1"/>
    <col min="1803" max="1803" width="4" style="1149" customWidth="1"/>
    <col min="1804" max="1804" width="5.125" style="1149" customWidth="1"/>
    <col min="1805" max="1805" width="13.75" style="1149" customWidth="1"/>
    <col min="1806" max="2048" width="9" style="1149"/>
    <col min="2049" max="2049" width="4.875" style="1149" customWidth="1"/>
    <col min="2050" max="2050" width="13.25" style="1149" customWidth="1"/>
    <col min="2051" max="2051" width="15.625" style="1149" customWidth="1"/>
    <col min="2052" max="2052" width="9.375" style="1149" bestFit="1" customWidth="1"/>
    <col min="2053" max="2053" width="13.5" style="1149" customWidth="1"/>
    <col min="2054" max="2054" width="9" style="1149"/>
    <col min="2055" max="2055" width="9.375" style="1149" bestFit="1" customWidth="1"/>
    <col min="2056" max="2057" width="9" style="1149"/>
    <col min="2058" max="2058" width="9.375" style="1149" bestFit="1" customWidth="1"/>
    <col min="2059" max="2059" width="4" style="1149" customWidth="1"/>
    <col min="2060" max="2060" width="5.125" style="1149" customWidth="1"/>
    <col min="2061" max="2061" width="13.75" style="1149" customWidth="1"/>
    <col min="2062" max="2304" width="9" style="1149"/>
    <col min="2305" max="2305" width="4.875" style="1149" customWidth="1"/>
    <col min="2306" max="2306" width="13.25" style="1149" customWidth="1"/>
    <col min="2307" max="2307" width="15.625" style="1149" customWidth="1"/>
    <col min="2308" max="2308" width="9.375" style="1149" bestFit="1" customWidth="1"/>
    <col min="2309" max="2309" width="13.5" style="1149" customWidth="1"/>
    <col min="2310" max="2310" width="9" style="1149"/>
    <col min="2311" max="2311" width="9.375" style="1149" bestFit="1" customWidth="1"/>
    <col min="2312" max="2313" width="9" style="1149"/>
    <col min="2314" max="2314" width="9.375" style="1149" bestFit="1" customWidth="1"/>
    <col min="2315" max="2315" width="4" style="1149" customWidth="1"/>
    <col min="2316" max="2316" width="5.125" style="1149" customWidth="1"/>
    <col min="2317" max="2317" width="13.75" style="1149" customWidth="1"/>
    <col min="2318" max="2560" width="9" style="1149"/>
    <col min="2561" max="2561" width="4.875" style="1149" customWidth="1"/>
    <col min="2562" max="2562" width="13.25" style="1149" customWidth="1"/>
    <col min="2563" max="2563" width="15.625" style="1149" customWidth="1"/>
    <col min="2564" max="2564" width="9.375" style="1149" bestFit="1" customWidth="1"/>
    <col min="2565" max="2565" width="13.5" style="1149" customWidth="1"/>
    <col min="2566" max="2566" width="9" style="1149"/>
    <col min="2567" max="2567" width="9.375" style="1149" bestFit="1" customWidth="1"/>
    <col min="2568" max="2569" width="9" style="1149"/>
    <col min="2570" max="2570" width="9.375" style="1149" bestFit="1" customWidth="1"/>
    <col min="2571" max="2571" width="4" style="1149" customWidth="1"/>
    <col min="2572" max="2572" width="5.125" style="1149" customWidth="1"/>
    <col min="2573" max="2573" width="13.75" style="1149" customWidth="1"/>
    <col min="2574" max="2816" width="9" style="1149"/>
    <col min="2817" max="2817" width="4.875" style="1149" customWidth="1"/>
    <col min="2818" max="2818" width="13.25" style="1149" customWidth="1"/>
    <col min="2819" max="2819" width="15.625" style="1149" customWidth="1"/>
    <col min="2820" max="2820" width="9.375" style="1149" bestFit="1" customWidth="1"/>
    <col min="2821" max="2821" width="13.5" style="1149" customWidth="1"/>
    <col min="2822" max="2822" width="9" style="1149"/>
    <col min="2823" max="2823" width="9.375" style="1149" bestFit="1" customWidth="1"/>
    <col min="2824" max="2825" width="9" style="1149"/>
    <col min="2826" max="2826" width="9.375" style="1149" bestFit="1" customWidth="1"/>
    <col min="2827" max="2827" width="4" style="1149" customWidth="1"/>
    <col min="2828" max="2828" width="5.125" style="1149" customWidth="1"/>
    <col min="2829" max="2829" width="13.75" style="1149" customWidth="1"/>
    <col min="2830" max="3072" width="9" style="1149"/>
    <col min="3073" max="3073" width="4.875" style="1149" customWidth="1"/>
    <col min="3074" max="3074" width="13.25" style="1149" customWidth="1"/>
    <col min="3075" max="3075" width="15.625" style="1149" customWidth="1"/>
    <col min="3076" max="3076" width="9.375" style="1149" bestFit="1" customWidth="1"/>
    <col min="3077" max="3077" width="13.5" style="1149" customWidth="1"/>
    <col min="3078" max="3078" width="9" style="1149"/>
    <col min="3079" max="3079" width="9.375" style="1149" bestFit="1" customWidth="1"/>
    <col min="3080" max="3081" width="9" style="1149"/>
    <col min="3082" max="3082" width="9.375" style="1149" bestFit="1" customWidth="1"/>
    <col min="3083" max="3083" width="4" style="1149" customWidth="1"/>
    <col min="3084" max="3084" width="5.125" style="1149" customWidth="1"/>
    <col min="3085" max="3085" width="13.75" style="1149" customWidth="1"/>
    <col min="3086" max="3328" width="9" style="1149"/>
    <col min="3329" max="3329" width="4.875" style="1149" customWidth="1"/>
    <col min="3330" max="3330" width="13.25" style="1149" customWidth="1"/>
    <col min="3331" max="3331" width="15.625" style="1149" customWidth="1"/>
    <col min="3332" max="3332" width="9.375" style="1149" bestFit="1" customWidth="1"/>
    <col min="3333" max="3333" width="13.5" style="1149" customWidth="1"/>
    <col min="3334" max="3334" width="9" style="1149"/>
    <col min="3335" max="3335" width="9.375" style="1149" bestFit="1" customWidth="1"/>
    <col min="3336" max="3337" width="9" style="1149"/>
    <col min="3338" max="3338" width="9.375" style="1149" bestFit="1" customWidth="1"/>
    <col min="3339" max="3339" width="4" style="1149" customWidth="1"/>
    <col min="3340" max="3340" width="5.125" style="1149" customWidth="1"/>
    <col min="3341" max="3341" width="13.75" style="1149" customWidth="1"/>
    <col min="3342" max="3584" width="9" style="1149"/>
    <col min="3585" max="3585" width="4.875" style="1149" customWidth="1"/>
    <col min="3586" max="3586" width="13.25" style="1149" customWidth="1"/>
    <col min="3587" max="3587" width="15.625" style="1149" customWidth="1"/>
    <col min="3588" max="3588" width="9.375" style="1149" bestFit="1" customWidth="1"/>
    <col min="3589" max="3589" width="13.5" style="1149" customWidth="1"/>
    <col min="3590" max="3590" width="9" style="1149"/>
    <col min="3591" max="3591" width="9.375" style="1149" bestFit="1" customWidth="1"/>
    <col min="3592" max="3593" width="9" style="1149"/>
    <col min="3594" max="3594" width="9.375" style="1149" bestFit="1" customWidth="1"/>
    <col min="3595" max="3595" width="4" style="1149" customWidth="1"/>
    <col min="3596" max="3596" width="5.125" style="1149" customWidth="1"/>
    <col min="3597" max="3597" width="13.75" style="1149" customWidth="1"/>
    <col min="3598" max="3840" width="9" style="1149"/>
    <col min="3841" max="3841" width="4.875" style="1149" customWidth="1"/>
    <col min="3842" max="3842" width="13.25" style="1149" customWidth="1"/>
    <col min="3843" max="3843" width="15.625" style="1149" customWidth="1"/>
    <col min="3844" max="3844" width="9.375" style="1149" bestFit="1" customWidth="1"/>
    <col min="3845" max="3845" width="13.5" style="1149" customWidth="1"/>
    <col min="3846" max="3846" width="9" style="1149"/>
    <col min="3847" max="3847" width="9.375" style="1149" bestFit="1" customWidth="1"/>
    <col min="3848" max="3849" width="9" style="1149"/>
    <col min="3850" max="3850" width="9.375" style="1149" bestFit="1" customWidth="1"/>
    <col min="3851" max="3851" width="4" style="1149" customWidth="1"/>
    <col min="3852" max="3852" width="5.125" style="1149" customWidth="1"/>
    <col min="3853" max="3853" width="13.75" style="1149" customWidth="1"/>
    <col min="3854" max="4096" width="9" style="1149"/>
    <col min="4097" max="4097" width="4.875" style="1149" customWidth="1"/>
    <col min="4098" max="4098" width="13.25" style="1149" customWidth="1"/>
    <col min="4099" max="4099" width="15.625" style="1149" customWidth="1"/>
    <col min="4100" max="4100" width="9.375" style="1149" bestFit="1" customWidth="1"/>
    <col min="4101" max="4101" width="13.5" style="1149" customWidth="1"/>
    <col min="4102" max="4102" width="9" style="1149"/>
    <col min="4103" max="4103" width="9.375" style="1149" bestFit="1" customWidth="1"/>
    <col min="4104" max="4105" width="9" style="1149"/>
    <col min="4106" max="4106" width="9.375" style="1149" bestFit="1" customWidth="1"/>
    <col min="4107" max="4107" width="4" style="1149" customWidth="1"/>
    <col min="4108" max="4108" width="5.125" style="1149" customWidth="1"/>
    <col min="4109" max="4109" width="13.75" style="1149" customWidth="1"/>
    <col min="4110" max="4352" width="9" style="1149"/>
    <col min="4353" max="4353" width="4.875" style="1149" customWidth="1"/>
    <col min="4354" max="4354" width="13.25" style="1149" customWidth="1"/>
    <col min="4355" max="4355" width="15.625" style="1149" customWidth="1"/>
    <col min="4356" max="4356" width="9.375" style="1149" bestFit="1" customWidth="1"/>
    <col min="4357" max="4357" width="13.5" style="1149" customWidth="1"/>
    <col min="4358" max="4358" width="9" style="1149"/>
    <col min="4359" max="4359" width="9.375" style="1149" bestFit="1" customWidth="1"/>
    <col min="4360" max="4361" width="9" style="1149"/>
    <col min="4362" max="4362" width="9.375" style="1149" bestFit="1" customWidth="1"/>
    <col min="4363" max="4363" width="4" style="1149" customWidth="1"/>
    <col min="4364" max="4364" width="5.125" style="1149" customWidth="1"/>
    <col min="4365" max="4365" width="13.75" style="1149" customWidth="1"/>
    <col min="4366" max="4608" width="9" style="1149"/>
    <col min="4609" max="4609" width="4.875" style="1149" customWidth="1"/>
    <col min="4610" max="4610" width="13.25" style="1149" customWidth="1"/>
    <col min="4611" max="4611" width="15.625" style="1149" customWidth="1"/>
    <col min="4612" max="4612" width="9.375" style="1149" bestFit="1" customWidth="1"/>
    <col min="4613" max="4613" width="13.5" style="1149" customWidth="1"/>
    <col min="4614" max="4614" width="9" style="1149"/>
    <col min="4615" max="4615" width="9.375" style="1149" bestFit="1" customWidth="1"/>
    <col min="4616" max="4617" width="9" style="1149"/>
    <col min="4618" max="4618" width="9.375" style="1149" bestFit="1" customWidth="1"/>
    <col min="4619" max="4619" width="4" style="1149" customWidth="1"/>
    <col min="4620" max="4620" width="5.125" style="1149" customWidth="1"/>
    <col min="4621" max="4621" width="13.75" style="1149" customWidth="1"/>
    <col min="4622" max="4864" width="9" style="1149"/>
    <col min="4865" max="4865" width="4.875" style="1149" customWidth="1"/>
    <col min="4866" max="4866" width="13.25" style="1149" customWidth="1"/>
    <col min="4867" max="4867" width="15.625" style="1149" customWidth="1"/>
    <col min="4868" max="4868" width="9.375" style="1149" bestFit="1" customWidth="1"/>
    <col min="4869" max="4869" width="13.5" style="1149" customWidth="1"/>
    <col min="4870" max="4870" width="9" style="1149"/>
    <col min="4871" max="4871" width="9.375" style="1149" bestFit="1" customWidth="1"/>
    <col min="4872" max="4873" width="9" style="1149"/>
    <col min="4874" max="4874" width="9.375" style="1149" bestFit="1" customWidth="1"/>
    <col min="4875" max="4875" width="4" style="1149" customWidth="1"/>
    <col min="4876" max="4876" width="5.125" style="1149" customWidth="1"/>
    <col min="4877" max="4877" width="13.75" style="1149" customWidth="1"/>
    <col min="4878" max="5120" width="9" style="1149"/>
    <col min="5121" max="5121" width="4.875" style="1149" customWidth="1"/>
    <col min="5122" max="5122" width="13.25" style="1149" customWidth="1"/>
    <col min="5123" max="5123" width="15.625" style="1149" customWidth="1"/>
    <col min="5124" max="5124" width="9.375" style="1149" bestFit="1" customWidth="1"/>
    <col min="5125" max="5125" width="13.5" style="1149" customWidth="1"/>
    <col min="5126" max="5126" width="9" style="1149"/>
    <col min="5127" max="5127" width="9.375" style="1149" bestFit="1" customWidth="1"/>
    <col min="5128" max="5129" width="9" style="1149"/>
    <col min="5130" max="5130" width="9.375" style="1149" bestFit="1" customWidth="1"/>
    <col min="5131" max="5131" width="4" style="1149" customWidth="1"/>
    <col min="5132" max="5132" width="5.125" style="1149" customWidth="1"/>
    <col min="5133" max="5133" width="13.75" style="1149" customWidth="1"/>
    <col min="5134" max="5376" width="9" style="1149"/>
    <col min="5377" max="5377" width="4.875" style="1149" customWidth="1"/>
    <col min="5378" max="5378" width="13.25" style="1149" customWidth="1"/>
    <col min="5379" max="5379" width="15.625" style="1149" customWidth="1"/>
    <col min="5380" max="5380" width="9.375" style="1149" bestFit="1" customWidth="1"/>
    <col min="5381" max="5381" width="13.5" style="1149" customWidth="1"/>
    <col min="5382" max="5382" width="9" style="1149"/>
    <col min="5383" max="5383" width="9.375" style="1149" bestFit="1" customWidth="1"/>
    <col min="5384" max="5385" width="9" style="1149"/>
    <col min="5386" max="5386" width="9.375" style="1149" bestFit="1" customWidth="1"/>
    <col min="5387" max="5387" width="4" style="1149" customWidth="1"/>
    <col min="5388" max="5388" width="5.125" style="1149" customWidth="1"/>
    <col min="5389" max="5389" width="13.75" style="1149" customWidth="1"/>
    <col min="5390" max="5632" width="9" style="1149"/>
    <col min="5633" max="5633" width="4.875" style="1149" customWidth="1"/>
    <col min="5634" max="5634" width="13.25" style="1149" customWidth="1"/>
    <col min="5635" max="5635" width="15.625" style="1149" customWidth="1"/>
    <col min="5636" max="5636" width="9.375" style="1149" bestFit="1" customWidth="1"/>
    <col min="5637" max="5637" width="13.5" style="1149" customWidth="1"/>
    <col min="5638" max="5638" width="9" style="1149"/>
    <col min="5639" max="5639" width="9.375" style="1149" bestFit="1" customWidth="1"/>
    <col min="5640" max="5641" width="9" style="1149"/>
    <col min="5642" max="5642" width="9.375" style="1149" bestFit="1" customWidth="1"/>
    <col min="5643" max="5643" width="4" style="1149" customWidth="1"/>
    <col min="5644" max="5644" width="5.125" style="1149" customWidth="1"/>
    <col min="5645" max="5645" width="13.75" style="1149" customWidth="1"/>
    <col min="5646" max="5888" width="9" style="1149"/>
    <col min="5889" max="5889" width="4.875" style="1149" customWidth="1"/>
    <col min="5890" max="5890" width="13.25" style="1149" customWidth="1"/>
    <col min="5891" max="5891" width="15.625" style="1149" customWidth="1"/>
    <col min="5892" max="5892" width="9.375" style="1149" bestFit="1" customWidth="1"/>
    <col min="5893" max="5893" width="13.5" style="1149" customWidth="1"/>
    <col min="5894" max="5894" width="9" style="1149"/>
    <col min="5895" max="5895" width="9.375" style="1149" bestFit="1" customWidth="1"/>
    <col min="5896" max="5897" width="9" style="1149"/>
    <col min="5898" max="5898" width="9.375" style="1149" bestFit="1" customWidth="1"/>
    <col min="5899" max="5899" width="4" style="1149" customWidth="1"/>
    <col min="5900" max="5900" width="5.125" style="1149" customWidth="1"/>
    <col min="5901" max="5901" width="13.75" style="1149" customWidth="1"/>
    <col min="5902" max="6144" width="9" style="1149"/>
    <col min="6145" max="6145" width="4.875" style="1149" customWidth="1"/>
    <col min="6146" max="6146" width="13.25" style="1149" customWidth="1"/>
    <col min="6147" max="6147" width="15.625" style="1149" customWidth="1"/>
    <col min="6148" max="6148" width="9.375" style="1149" bestFit="1" customWidth="1"/>
    <col min="6149" max="6149" width="13.5" style="1149" customWidth="1"/>
    <col min="6150" max="6150" width="9" style="1149"/>
    <col min="6151" max="6151" width="9.375" style="1149" bestFit="1" customWidth="1"/>
    <col min="6152" max="6153" width="9" style="1149"/>
    <col min="6154" max="6154" width="9.375" style="1149" bestFit="1" customWidth="1"/>
    <col min="6155" max="6155" width="4" style="1149" customWidth="1"/>
    <col min="6156" max="6156" width="5.125" style="1149" customWidth="1"/>
    <col min="6157" max="6157" width="13.75" style="1149" customWidth="1"/>
    <col min="6158" max="6400" width="9" style="1149"/>
    <col min="6401" max="6401" width="4.875" style="1149" customWidth="1"/>
    <col min="6402" max="6402" width="13.25" style="1149" customWidth="1"/>
    <col min="6403" max="6403" width="15.625" style="1149" customWidth="1"/>
    <col min="6404" max="6404" width="9.375" style="1149" bestFit="1" customWidth="1"/>
    <col min="6405" max="6405" width="13.5" style="1149" customWidth="1"/>
    <col min="6406" max="6406" width="9" style="1149"/>
    <col min="6407" max="6407" width="9.375" style="1149" bestFit="1" customWidth="1"/>
    <col min="6408" max="6409" width="9" style="1149"/>
    <col min="6410" max="6410" width="9.375" style="1149" bestFit="1" customWidth="1"/>
    <col min="6411" max="6411" width="4" style="1149" customWidth="1"/>
    <col min="6412" max="6412" width="5.125" style="1149" customWidth="1"/>
    <col min="6413" max="6413" width="13.75" style="1149" customWidth="1"/>
    <col min="6414" max="6656" width="9" style="1149"/>
    <col min="6657" max="6657" width="4.875" style="1149" customWidth="1"/>
    <col min="6658" max="6658" width="13.25" style="1149" customWidth="1"/>
    <col min="6659" max="6659" width="15.625" style="1149" customWidth="1"/>
    <col min="6660" max="6660" width="9.375" style="1149" bestFit="1" customWidth="1"/>
    <col min="6661" max="6661" width="13.5" style="1149" customWidth="1"/>
    <col min="6662" max="6662" width="9" style="1149"/>
    <col min="6663" max="6663" width="9.375" style="1149" bestFit="1" customWidth="1"/>
    <col min="6664" max="6665" width="9" style="1149"/>
    <col min="6666" max="6666" width="9.375" style="1149" bestFit="1" customWidth="1"/>
    <col min="6667" max="6667" width="4" style="1149" customWidth="1"/>
    <col min="6668" max="6668" width="5.125" style="1149" customWidth="1"/>
    <col min="6669" max="6669" width="13.75" style="1149" customWidth="1"/>
    <col min="6670" max="6912" width="9" style="1149"/>
    <col min="6913" max="6913" width="4.875" style="1149" customWidth="1"/>
    <col min="6914" max="6914" width="13.25" style="1149" customWidth="1"/>
    <col min="6915" max="6915" width="15.625" style="1149" customWidth="1"/>
    <col min="6916" max="6916" width="9.375" style="1149" bestFit="1" customWidth="1"/>
    <col min="6917" max="6917" width="13.5" style="1149" customWidth="1"/>
    <col min="6918" max="6918" width="9" style="1149"/>
    <col min="6919" max="6919" width="9.375" style="1149" bestFit="1" customWidth="1"/>
    <col min="6920" max="6921" width="9" style="1149"/>
    <col min="6922" max="6922" width="9.375" style="1149" bestFit="1" customWidth="1"/>
    <col min="6923" max="6923" width="4" style="1149" customWidth="1"/>
    <col min="6924" max="6924" width="5.125" style="1149" customWidth="1"/>
    <col min="6925" max="6925" width="13.75" style="1149" customWidth="1"/>
    <col min="6926" max="7168" width="9" style="1149"/>
    <col min="7169" max="7169" width="4.875" style="1149" customWidth="1"/>
    <col min="7170" max="7170" width="13.25" style="1149" customWidth="1"/>
    <col min="7171" max="7171" width="15.625" style="1149" customWidth="1"/>
    <col min="7172" max="7172" width="9.375" style="1149" bestFit="1" customWidth="1"/>
    <col min="7173" max="7173" width="13.5" style="1149" customWidth="1"/>
    <col min="7174" max="7174" width="9" style="1149"/>
    <col min="7175" max="7175" width="9.375" style="1149" bestFit="1" customWidth="1"/>
    <col min="7176" max="7177" width="9" style="1149"/>
    <col min="7178" max="7178" width="9.375" style="1149" bestFit="1" customWidth="1"/>
    <col min="7179" max="7179" width="4" style="1149" customWidth="1"/>
    <col min="7180" max="7180" width="5.125" style="1149" customWidth="1"/>
    <col min="7181" max="7181" width="13.75" style="1149" customWidth="1"/>
    <col min="7182" max="7424" width="9" style="1149"/>
    <col min="7425" max="7425" width="4.875" style="1149" customWidth="1"/>
    <col min="7426" max="7426" width="13.25" style="1149" customWidth="1"/>
    <col min="7427" max="7427" width="15.625" style="1149" customWidth="1"/>
    <col min="7428" max="7428" width="9.375" style="1149" bestFit="1" customWidth="1"/>
    <col min="7429" max="7429" width="13.5" style="1149" customWidth="1"/>
    <col min="7430" max="7430" width="9" style="1149"/>
    <col min="7431" max="7431" width="9.375" style="1149" bestFit="1" customWidth="1"/>
    <col min="7432" max="7433" width="9" style="1149"/>
    <col min="7434" max="7434" width="9.375" style="1149" bestFit="1" customWidth="1"/>
    <col min="7435" max="7435" width="4" style="1149" customWidth="1"/>
    <col min="7436" max="7436" width="5.125" style="1149" customWidth="1"/>
    <col min="7437" max="7437" width="13.75" style="1149" customWidth="1"/>
    <col min="7438" max="7680" width="9" style="1149"/>
    <col min="7681" max="7681" width="4.875" style="1149" customWidth="1"/>
    <col min="7682" max="7682" width="13.25" style="1149" customWidth="1"/>
    <col min="7683" max="7683" width="15.625" style="1149" customWidth="1"/>
    <col min="7684" max="7684" width="9.375" style="1149" bestFit="1" customWidth="1"/>
    <col min="7685" max="7685" width="13.5" style="1149" customWidth="1"/>
    <col min="7686" max="7686" width="9" style="1149"/>
    <col min="7687" max="7687" width="9.375" style="1149" bestFit="1" customWidth="1"/>
    <col min="7688" max="7689" width="9" style="1149"/>
    <col min="7690" max="7690" width="9.375" style="1149" bestFit="1" customWidth="1"/>
    <col min="7691" max="7691" width="4" style="1149" customWidth="1"/>
    <col min="7692" max="7692" width="5.125" style="1149" customWidth="1"/>
    <col min="7693" max="7693" width="13.75" style="1149" customWidth="1"/>
    <col min="7694" max="7936" width="9" style="1149"/>
    <col min="7937" max="7937" width="4.875" style="1149" customWidth="1"/>
    <col min="7938" max="7938" width="13.25" style="1149" customWidth="1"/>
    <col min="7939" max="7939" width="15.625" style="1149" customWidth="1"/>
    <col min="7940" max="7940" width="9.375" style="1149" bestFit="1" customWidth="1"/>
    <col min="7941" max="7941" width="13.5" style="1149" customWidth="1"/>
    <col min="7942" max="7942" width="9" style="1149"/>
    <col min="7943" max="7943" width="9.375" style="1149" bestFit="1" customWidth="1"/>
    <col min="7944" max="7945" width="9" style="1149"/>
    <col min="7946" max="7946" width="9.375" style="1149" bestFit="1" customWidth="1"/>
    <col min="7947" max="7947" width="4" style="1149" customWidth="1"/>
    <col min="7948" max="7948" width="5.125" style="1149" customWidth="1"/>
    <col min="7949" max="7949" width="13.75" style="1149" customWidth="1"/>
    <col min="7950" max="8192" width="9" style="1149"/>
    <col min="8193" max="8193" width="4.875" style="1149" customWidth="1"/>
    <col min="8194" max="8194" width="13.25" style="1149" customWidth="1"/>
    <col min="8195" max="8195" width="15.625" style="1149" customWidth="1"/>
    <col min="8196" max="8196" width="9.375" style="1149" bestFit="1" customWidth="1"/>
    <col min="8197" max="8197" width="13.5" style="1149" customWidth="1"/>
    <col min="8198" max="8198" width="9" style="1149"/>
    <col min="8199" max="8199" width="9.375" style="1149" bestFit="1" customWidth="1"/>
    <col min="8200" max="8201" width="9" style="1149"/>
    <col min="8202" max="8202" width="9.375" style="1149" bestFit="1" customWidth="1"/>
    <col min="8203" max="8203" width="4" style="1149" customWidth="1"/>
    <col min="8204" max="8204" width="5.125" style="1149" customWidth="1"/>
    <col min="8205" max="8205" width="13.75" style="1149" customWidth="1"/>
    <col min="8206" max="8448" width="9" style="1149"/>
    <col min="8449" max="8449" width="4.875" style="1149" customWidth="1"/>
    <col min="8450" max="8450" width="13.25" style="1149" customWidth="1"/>
    <col min="8451" max="8451" width="15.625" style="1149" customWidth="1"/>
    <col min="8452" max="8452" width="9.375" style="1149" bestFit="1" customWidth="1"/>
    <col min="8453" max="8453" width="13.5" style="1149" customWidth="1"/>
    <col min="8454" max="8454" width="9" style="1149"/>
    <col min="8455" max="8455" width="9.375" style="1149" bestFit="1" customWidth="1"/>
    <col min="8456" max="8457" width="9" style="1149"/>
    <col min="8458" max="8458" width="9.375" style="1149" bestFit="1" customWidth="1"/>
    <col min="8459" max="8459" width="4" style="1149" customWidth="1"/>
    <col min="8460" max="8460" width="5.125" style="1149" customWidth="1"/>
    <col min="8461" max="8461" width="13.75" style="1149" customWidth="1"/>
    <col min="8462" max="8704" width="9" style="1149"/>
    <col min="8705" max="8705" width="4.875" style="1149" customWidth="1"/>
    <col min="8706" max="8706" width="13.25" style="1149" customWidth="1"/>
    <col min="8707" max="8707" width="15.625" style="1149" customWidth="1"/>
    <col min="8708" max="8708" width="9.375" style="1149" bestFit="1" customWidth="1"/>
    <col min="8709" max="8709" width="13.5" style="1149" customWidth="1"/>
    <col min="8710" max="8710" width="9" style="1149"/>
    <col min="8711" max="8711" width="9.375" style="1149" bestFit="1" customWidth="1"/>
    <col min="8712" max="8713" width="9" style="1149"/>
    <col min="8714" max="8714" width="9.375" style="1149" bestFit="1" customWidth="1"/>
    <col min="8715" max="8715" width="4" style="1149" customWidth="1"/>
    <col min="8716" max="8716" width="5.125" style="1149" customWidth="1"/>
    <col min="8717" max="8717" width="13.75" style="1149" customWidth="1"/>
    <col min="8718" max="8960" width="9" style="1149"/>
    <col min="8961" max="8961" width="4.875" style="1149" customWidth="1"/>
    <col min="8962" max="8962" width="13.25" style="1149" customWidth="1"/>
    <col min="8963" max="8963" width="15.625" style="1149" customWidth="1"/>
    <col min="8964" max="8964" width="9.375" style="1149" bestFit="1" customWidth="1"/>
    <col min="8965" max="8965" width="13.5" style="1149" customWidth="1"/>
    <col min="8966" max="8966" width="9" style="1149"/>
    <col min="8967" max="8967" width="9.375" style="1149" bestFit="1" customWidth="1"/>
    <col min="8968" max="8969" width="9" style="1149"/>
    <col min="8970" max="8970" width="9.375" style="1149" bestFit="1" customWidth="1"/>
    <col min="8971" max="8971" width="4" style="1149" customWidth="1"/>
    <col min="8972" max="8972" width="5.125" style="1149" customWidth="1"/>
    <col min="8973" max="8973" width="13.75" style="1149" customWidth="1"/>
    <col min="8974" max="9216" width="9" style="1149"/>
    <col min="9217" max="9217" width="4.875" style="1149" customWidth="1"/>
    <col min="9218" max="9218" width="13.25" style="1149" customWidth="1"/>
    <col min="9219" max="9219" width="15.625" style="1149" customWidth="1"/>
    <col min="9220" max="9220" width="9.375" style="1149" bestFit="1" customWidth="1"/>
    <col min="9221" max="9221" width="13.5" style="1149" customWidth="1"/>
    <col min="9222" max="9222" width="9" style="1149"/>
    <col min="9223" max="9223" width="9.375" style="1149" bestFit="1" customWidth="1"/>
    <col min="9224" max="9225" width="9" style="1149"/>
    <col min="9226" max="9226" width="9.375" style="1149" bestFit="1" customWidth="1"/>
    <col min="9227" max="9227" width="4" style="1149" customWidth="1"/>
    <col min="9228" max="9228" width="5.125" style="1149" customWidth="1"/>
    <col min="9229" max="9229" width="13.75" style="1149" customWidth="1"/>
    <col min="9230" max="9472" width="9" style="1149"/>
    <col min="9473" max="9473" width="4.875" style="1149" customWidth="1"/>
    <col min="9474" max="9474" width="13.25" style="1149" customWidth="1"/>
    <col min="9475" max="9475" width="15.625" style="1149" customWidth="1"/>
    <col min="9476" max="9476" width="9.375" style="1149" bestFit="1" customWidth="1"/>
    <col min="9477" max="9477" width="13.5" style="1149" customWidth="1"/>
    <col min="9478" max="9478" width="9" style="1149"/>
    <col min="9479" max="9479" width="9.375" style="1149" bestFit="1" customWidth="1"/>
    <col min="9480" max="9481" width="9" style="1149"/>
    <col min="9482" max="9482" width="9.375" style="1149" bestFit="1" customWidth="1"/>
    <col min="9483" max="9483" width="4" style="1149" customWidth="1"/>
    <col min="9484" max="9484" width="5.125" style="1149" customWidth="1"/>
    <col min="9485" max="9485" width="13.75" style="1149" customWidth="1"/>
    <col min="9486" max="9728" width="9" style="1149"/>
    <col min="9729" max="9729" width="4.875" style="1149" customWidth="1"/>
    <col min="9730" max="9730" width="13.25" style="1149" customWidth="1"/>
    <col min="9731" max="9731" width="15.625" style="1149" customWidth="1"/>
    <col min="9732" max="9732" width="9.375" style="1149" bestFit="1" customWidth="1"/>
    <col min="9733" max="9733" width="13.5" style="1149" customWidth="1"/>
    <col min="9734" max="9734" width="9" style="1149"/>
    <col min="9735" max="9735" width="9.375" style="1149" bestFit="1" customWidth="1"/>
    <col min="9736" max="9737" width="9" style="1149"/>
    <col min="9738" max="9738" width="9.375" style="1149" bestFit="1" customWidth="1"/>
    <col min="9739" max="9739" width="4" style="1149" customWidth="1"/>
    <col min="9740" max="9740" width="5.125" style="1149" customWidth="1"/>
    <col min="9741" max="9741" width="13.75" style="1149" customWidth="1"/>
    <col min="9742" max="9984" width="9" style="1149"/>
    <col min="9985" max="9985" width="4.875" style="1149" customWidth="1"/>
    <col min="9986" max="9986" width="13.25" style="1149" customWidth="1"/>
    <col min="9987" max="9987" width="15.625" style="1149" customWidth="1"/>
    <col min="9988" max="9988" width="9.375" style="1149" bestFit="1" customWidth="1"/>
    <col min="9989" max="9989" width="13.5" style="1149" customWidth="1"/>
    <col min="9990" max="9990" width="9" style="1149"/>
    <col min="9991" max="9991" width="9.375" style="1149" bestFit="1" customWidth="1"/>
    <col min="9992" max="9993" width="9" style="1149"/>
    <col min="9994" max="9994" width="9.375" style="1149" bestFit="1" customWidth="1"/>
    <col min="9995" max="9995" width="4" style="1149" customWidth="1"/>
    <col min="9996" max="9996" width="5.125" style="1149" customWidth="1"/>
    <col min="9997" max="9997" width="13.75" style="1149" customWidth="1"/>
    <col min="9998" max="10240" width="9" style="1149"/>
    <col min="10241" max="10241" width="4.875" style="1149" customWidth="1"/>
    <col min="10242" max="10242" width="13.25" style="1149" customWidth="1"/>
    <col min="10243" max="10243" width="15.625" style="1149" customWidth="1"/>
    <col min="10244" max="10244" width="9.375" style="1149" bestFit="1" customWidth="1"/>
    <col min="10245" max="10245" width="13.5" style="1149" customWidth="1"/>
    <col min="10246" max="10246" width="9" style="1149"/>
    <col min="10247" max="10247" width="9.375" style="1149" bestFit="1" customWidth="1"/>
    <col min="10248" max="10249" width="9" style="1149"/>
    <col min="10250" max="10250" width="9.375" style="1149" bestFit="1" customWidth="1"/>
    <col min="10251" max="10251" width="4" style="1149" customWidth="1"/>
    <col min="10252" max="10252" width="5.125" style="1149" customWidth="1"/>
    <col min="10253" max="10253" width="13.75" style="1149" customWidth="1"/>
    <col min="10254" max="10496" width="9" style="1149"/>
    <col min="10497" max="10497" width="4.875" style="1149" customWidth="1"/>
    <col min="10498" max="10498" width="13.25" style="1149" customWidth="1"/>
    <col min="10499" max="10499" width="15.625" style="1149" customWidth="1"/>
    <col min="10500" max="10500" width="9.375" style="1149" bestFit="1" customWidth="1"/>
    <col min="10501" max="10501" width="13.5" style="1149" customWidth="1"/>
    <col min="10502" max="10502" width="9" style="1149"/>
    <col min="10503" max="10503" width="9.375" style="1149" bestFit="1" customWidth="1"/>
    <col min="10504" max="10505" width="9" style="1149"/>
    <col min="10506" max="10506" width="9.375" style="1149" bestFit="1" customWidth="1"/>
    <col min="10507" max="10507" width="4" style="1149" customWidth="1"/>
    <col min="10508" max="10508" width="5.125" style="1149" customWidth="1"/>
    <col min="10509" max="10509" width="13.75" style="1149" customWidth="1"/>
    <col min="10510" max="10752" width="9" style="1149"/>
    <col min="10753" max="10753" width="4.875" style="1149" customWidth="1"/>
    <col min="10754" max="10754" width="13.25" style="1149" customWidth="1"/>
    <col min="10755" max="10755" width="15.625" style="1149" customWidth="1"/>
    <col min="10756" max="10756" width="9.375" style="1149" bestFit="1" customWidth="1"/>
    <col min="10757" max="10757" width="13.5" style="1149" customWidth="1"/>
    <col min="10758" max="10758" width="9" style="1149"/>
    <col min="10759" max="10759" width="9.375" style="1149" bestFit="1" customWidth="1"/>
    <col min="10760" max="10761" width="9" style="1149"/>
    <col min="10762" max="10762" width="9.375" style="1149" bestFit="1" customWidth="1"/>
    <col min="10763" max="10763" width="4" style="1149" customWidth="1"/>
    <col min="10764" max="10764" width="5.125" style="1149" customWidth="1"/>
    <col min="10765" max="10765" width="13.75" style="1149" customWidth="1"/>
    <col min="10766" max="11008" width="9" style="1149"/>
    <col min="11009" max="11009" width="4.875" style="1149" customWidth="1"/>
    <col min="11010" max="11010" width="13.25" style="1149" customWidth="1"/>
    <col min="11011" max="11011" width="15.625" style="1149" customWidth="1"/>
    <col min="11012" max="11012" width="9.375" style="1149" bestFit="1" customWidth="1"/>
    <col min="11013" max="11013" width="13.5" style="1149" customWidth="1"/>
    <col min="11014" max="11014" width="9" style="1149"/>
    <col min="11015" max="11015" width="9.375" style="1149" bestFit="1" customWidth="1"/>
    <col min="11016" max="11017" width="9" style="1149"/>
    <col min="11018" max="11018" width="9.375" style="1149" bestFit="1" customWidth="1"/>
    <col min="11019" max="11019" width="4" style="1149" customWidth="1"/>
    <col min="11020" max="11020" width="5.125" style="1149" customWidth="1"/>
    <col min="11021" max="11021" width="13.75" style="1149" customWidth="1"/>
    <col min="11022" max="11264" width="9" style="1149"/>
    <col min="11265" max="11265" width="4.875" style="1149" customWidth="1"/>
    <col min="11266" max="11266" width="13.25" style="1149" customWidth="1"/>
    <col min="11267" max="11267" width="15.625" style="1149" customWidth="1"/>
    <col min="11268" max="11268" width="9.375" style="1149" bestFit="1" customWidth="1"/>
    <col min="11269" max="11269" width="13.5" style="1149" customWidth="1"/>
    <col min="11270" max="11270" width="9" style="1149"/>
    <col min="11271" max="11271" width="9.375" style="1149" bestFit="1" customWidth="1"/>
    <col min="11272" max="11273" width="9" style="1149"/>
    <col min="11274" max="11274" width="9.375" style="1149" bestFit="1" customWidth="1"/>
    <col min="11275" max="11275" width="4" style="1149" customWidth="1"/>
    <col min="11276" max="11276" width="5.125" style="1149" customWidth="1"/>
    <col min="11277" max="11277" width="13.75" style="1149" customWidth="1"/>
    <col min="11278" max="11520" width="9" style="1149"/>
    <col min="11521" max="11521" width="4.875" style="1149" customWidth="1"/>
    <col min="11522" max="11522" width="13.25" style="1149" customWidth="1"/>
    <col min="11523" max="11523" width="15.625" style="1149" customWidth="1"/>
    <col min="11524" max="11524" width="9.375" style="1149" bestFit="1" customWidth="1"/>
    <col min="11525" max="11525" width="13.5" style="1149" customWidth="1"/>
    <col min="11526" max="11526" width="9" style="1149"/>
    <col min="11527" max="11527" width="9.375" style="1149" bestFit="1" customWidth="1"/>
    <col min="11528" max="11529" width="9" style="1149"/>
    <col min="11530" max="11530" width="9.375" style="1149" bestFit="1" customWidth="1"/>
    <col min="11531" max="11531" width="4" style="1149" customWidth="1"/>
    <col min="11532" max="11532" width="5.125" style="1149" customWidth="1"/>
    <col min="11533" max="11533" width="13.75" style="1149" customWidth="1"/>
    <col min="11534" max="11776" width="9" style="1149"/>
    <col min="11777" max="11777" width="4.875" style="1149" customWidth="1"/>
    <col min="11778" max="11778" width="13.25" style="1149" customWidth="1"/>
    <col min="11779" max="11779" width="15.625" style="1149" customWidth="1"/>
    <col min="11780" max="11780" width="9.375" style="1149" bestFit="1" customWidth="1"/>
    <col min="11781" max="11781" width="13.5" style="1149" customWidth="1"/>
    <col min="11782" max="11782" width="9" style="1149"/>
    <col min="11783" max="11783" width="9.375" style="1149" bestFit="1" customWidth="1"/>
    <col min="11784" max="11785" width="9" style="1149"/>
    <col min="11786" max="11786" width="9.375" style="1149" bestFit="1" customWidth="1"/>
    <col min="11787" max="11787" width="4" style="1149" customWidth="1"/>
    <col min="11788" max="11788" width="5.125" style="1149" customWidth="1"/>
    <col min="11789" max="11789" width="13.75" style="1149" customWidth="1"/>
    <col min="11790" max="12032" width="9" style="1149"/>
    <col min="12033" max="12033" width="4.875" style="1149" customWidth="1"/>
    <col min="12034" max="12034" width="13.25" style="1149" customWidth="1"/>
    <col min="12035" max="12035" width="15.625" style="1149" customWidth="1"/>
    <col min="12036" max="12036" width="9.375" style="1149" bestFit="1" customWidth="1"/>
    <col min="12037" max="12037" width="13.5" style="1149" customWidth="1"/>
    <col min="12038" max="12038" width="9" style="1149"/>
    <col min="12039" max="12039" width="9.375" style="1149" bestFit="1" customWidth="1"/>
    <col min="12040" max="12041" width="9" style="1149"/>
    <col min="12042" max="12042" width="9.375" style="1149" bestFit="1" customWidth="1"/>
    <col min="12043" max="12043" width="4" style="1149" customWidth="1"/>
    <col min="12044" max="12044" width="5.125" style="1149" customWidth="1"/>
    <col min="12045" max="12045" width="13.75" style="1149" customWidth="1"/>
    <col min="12046" max="12288" width="9" style="1149"/>
    <col min="12289" max="12289" width="4.875" style="1149" customWidth="1"/>
    <col min="12290" max="12290" width="13.25" style="1149" customWidth="1"/>
    <col min="12291" max="12291" width="15.625" style="1149" customWidth="1"/>
    <col min="12292" max="12292" width="9.375" style="1149" bestFit="1" customWidth="1"/>
    <col min="12293" max="12293" width="13.5" style="1149" customWidth="1"/>
    <col min="12294" max="12294" width="9" style="1149"/>
    <col min="12295" max="12295" width="9.375" style="1149" bestFit="1" customWidth="1"/>
    <col min="12296" max="12297" width="9" style="1149"/>
    <col min="12298" max="12298" width="9.375" style="1149" bestFit="1" customWidth="1"/>
    <col min="12299" max="12299" width="4" style="1149" customWidth="1"/>
    <col min="12300" max="12300" width="5.125" style="1149" customWidth="1"/>
    <col min="12301" max="12301" width="13.75" style="1149" customWidth="1"/>
    <col min="12302" max="12544" width="9" style="1149"/>
    <col min="12545" max="12545" width="4.875" style="1149" customWidth="1"/>
    <col min="12546" max="12546" width="13.25" style="1149" customWidth="1"/>
    <col min="12547" max="12547" width="15.625" style="1149" customWidth="1"/>
    <col min="12548" max="12548" width="9.375" style="1149" bestFit="1" customWidth="1"/>
    <col min="12549" max="12549" width="13.5" style="1149" customWidth="1"/>
    <col min="12550" max="12550" width="9" style="1149"/>
    <col min="12551" max="12551" width="9.375" style="1149" bestFit="1" customWidth="1"/>
    <col min="12552" max="12553" width="9" style="1149"/>
    <col min="12554" max="12554" width="9.375" style="1149" bestFit="1" customWidth="1"/>
    <col min="12555" max="12555" width="4" style="1149" customWidth="1"/>
    <col min="12556" max="12556" width="5.125" style="1149" customWidth="1"/>
    <col min="12557" max="12557" width="13.75" style="1149" customWidth="1"/>
    <col min="12558" max="12800" width="9" style="1149"/>
    <col min="12801" max="12801" width="4.875" style="1149" customWidth="1"/>
    <col min="12802" max="12802" width="13.25" style="1149" customWidth="1"/>
    <col min="12803" max="12803" width="15.625" style="1149" customWidth="1"/>
    <col min="12804" max="12804" width="9.375" style="1149" bestFit="1" customWidth="1"/>
    <col min="12805" max="12805" width="13.5" style="1149" customWidth="1"/>
    <col min="12806" max="12806" width="9" style="1149"/>
    <col min="12807" max="12807" width="9.375" style="1149" bestFit="1" customWidth="1"/>
    <col min="12808" max="12809" width="9" style="1149"/>
    <col min="12810" max="12810" width="9.375" style="1149" bestFit="1" customWidth="1"/>
    <col min="12811" max="12811" width="4" style="1149" customWidth="1"/>
    <col min="12812" max="12812" width="5.125" style="1149" customWidth="1"/>
    <col min="12813" max="12813" width="13.75" style="1149" customWidth="1"/>
    <col min="12814" max="13056" width="9" style="1149"/>
    <col min="13057" max="13057" width="4.875" style="1149" customWidth="1"/>
    <col min="13058" max="13058" width="13.25" style="1149" customWidth="1"/>
    <col min="13059" max="13059" width="15.625" style="1149" customWidth="1"/>
    <col min="13060" max="13060" width="9.375" style="1149" bestFit="1" customWidth="1"/>
    <col min="13061" max="13061" width="13.5" style="1149" customWidth="1"/>
    <col min="13062" max="13062" width="9" style="1149"/>
    <col min="13063" max="13063" width="9.375" style="1149" bestFit="1" customWidth="1"/>
    <col min="13064" max="13065" width="9" style="1149"/>
    <col min="13066" max="13066" width="9.375" style="1149" bestFit="1" customWidth="1"/>
    <col min="13067" max="13067" width="4" style="1149" customWidth="1"/>
    <col min="13068" max="13068" width="5.125" style="1149" customWidth="1"/>
    <col min="13069" max="13069" width="13.75" style="1149" customWidth="1"/>
    <col min="13070" max="13312" width="9" style="1149"/>
    <col min="13313" max="13313" width="4.875" style="1149" customWidth="1"/>
    <col min="13314" max="13314" width="13.25" style="1149" customWidth="1"/>
    <col min="13315" max="13315" width="15.625" style="1149" customWidth="1"/>
    <col min="13316" max="13316" width="9.375" style="1149" bestFit="1" customWidth="1"/>
    <col min="13317" max="13317" width="13.5" style="1149" customWidth="1"/>
    <col min="13318" max="13318" width="9" style="1149"/>
    <col min="13319" max="13319" width="9.375" style="1149" bestFit="1" customWidth="1"/>
    <col min="13320" max="13321" width="9" style="1149"/>
    <col min="13322" max="13322" width="9.375" style="1149" bestFit="1" customWidth="1"/>
    <col min="13323" max="13323" width="4" style="1149" customWidth="1"/>
    <col min="13324" max="13324" width="5.125" style="1149" customWidth="1"/>
    <col min="13325" max="13325" width="13.75" style="1149" customWidth="1"/>
    <col min="13326" max="13568" width="9" style="1149"/>
    <col min="13569" max="13569" width="4.875" style="1149" customWidth="1"/>
    <col min="13570" max="13570" width="13.25" style="1149" customWidth="1"/>
    <col min="13571" max="13571" width="15.625" style="1149" customWidth="1"/>
    <col min="13572" max="13572" width="9.375" style="1149" bestFit="1" customWidth="1"/>
    <col min="13573" max="13573" width="13.5" style="1149" customWidth="1"/>
    <col min="13574" max="13574" width="9" style="1149"/>
    <col min="13575" max="13575" width="9.375" style="1149" bestFit="1" customWidth="1"/>
    <col min="13576" max="13577" width="9" style="1149"/>
    <col min="13578" max="13578" width="9.375" style="1149" bestFit="1" customWidth="1"/>
    <col min="13579" max="13579" width="4" style="1149" customWidth="1"/>
    <col min="13580" max="13580" width="5.125" style="1149" customWidth="1"/>
    <col min="13581" max="13581" width="13.75" style="1149" customWidth="1"/>
    <col min="13582" max="13824" width="9" style="1149"/>
    <col min="13825" max="13825" width="4.875" style="1149" customWidth="1"/>
    <col min="13826" max="13826" width="13.25" style="1149" customWidth="1"/>
    <col min="13827" max="13827" width="15.625" style="1149" customWidth="1"/>
    <col min="13828" max="13828" width="9.375" style="1149" bestFit="1" customWidth="1"/>
    <col min="13829" max="13829" width="13.5" style="1149" customWidth="1"/>
    <col min="13830" max="13830" width="9" style="1149"/>
    <col min="13831" max="13831" width="9.375" style="1149" bestFit="1" customWidth="1"/>
    <col min="13832" max="13833" width="9" style="1149"/>
    <col min="13834" max="13834" width="9.375" style="1149" bestFit="1" customWidth="1"/>
    <col min="13835" max="13835" width="4" style="1149" customWidth="1"/>
    <col min="13836" max="13836" width="5.125" style="1149" customWidth="1"/>
    <col min="13837" max="13837" width="13.75" style="1149" customWidth="1"/>
    <col min="13838" max="14080" width="9" style="1149"/>
    <col min="14081" max="14081" width="4.875" style="1149" customWidth="1"/>
    <col min="14082" max="14082" width="13.25" style="1149" customWidth="1"/>
    <col min="14083" max="14083" width="15.625" style="1149" customWidth="1"/>
    <col min="14084" max="14084" width="9.375" style="1149" bestFit="1" customWidth="1"/>
    <col min="14085" max="14085" width="13.5" style="1149" customWidth="1"/>
    <col min="14086" max="14086" width="9" style="1149"/>
    <col min="14087" max="14087" width="9.375" style="1149" bestFit="1" customWidth="1"/>
    <col min="14088" max="14089" width="9" style="1149"/>
    <col min="14090" max="14090" width="9.375" style="1149" bestFit="1" customWidth="1"/>
    <col min="14091" max="14091" width="4" style="1149" customWidth="1"/>
    <col min="14092" max="14092" width="5.125" style="1149" customWidth="1"/>
    <col min="14093" max="14093" width="13.75" style="1149" customWidth="1"/>
    <col min="14094" max="14336" width="9" style="1149"/>
    <col min="14337" max="14337" width="4.875" style="1149" customWidth="1"/>
    <col min="14338" max="14338" width="13.25" style="1149" customWidth="1"/>
    <col min="14339" max="14339" width="15.625" style="1149" customWidth="1"/>
    <col min="14340" max="14340" width="9.375" style="1149" bestFit="1" customWidth="1"/>
    <col min="14341" max="14341" width="13.5" style="1149" customWidth="1"/>
    <col min="14342" max="14342" width="9" style="1149"/>
    <col min="14343" max="14343" width="9.375" style="1149" bestFit="1" customWidth="1"/>
    <col min="14344" max="14345" width="9" style="1149"/>
    <col min="14346" max="14346" width="9.375" style="1149" bestFit="1" customWidth="1"/>
    <col min="14347" max="14347" width="4" style="1149" customWidth="1"/>
    <col min="14348" max="14348" width="5.125" style="1149" customWidth="1"/>
    <col min="14349" max="14349" width="13.75" style="1149" customWidth="1"/>
    <col min="14350" max="14592" width="9" style="1149"/>
    <col min="14593" max="14593" width="4.875" style="1149" customWidth="1"/>
    <col min="14594" max="14594" width="13.25" style="1149" customWidth="1"/>
    <col min="14595" max="14595" width="15.625" style="1149" customWidth="1"/>
    <col min="14596" max="14596" width="9.375" style="1149" bestFit="1" customWidth="1"/>
    <col min="14597" max="14597" width="13.5" style="1149" customWidth="1"/>
    <col min="14598" max="14598" width="9" style="1149"/>
    <col min="14599" max="14599" width="9.375" style="1149" bestFit="1" customWidth="1"/>
    <col min="14600" max="14601" width="9" style="1149"/>
    <col min="14602" max="14602" width="9.375" style="1149" bestFit="1" customWidth="1"/>
    <col min="14603" max="14603" width="4" style="1149" customWidth="1"/>
    <col min="14604" max="14604" width="5.125" style="1149" customWidth="1"/>
    <col min="14605" max="14605" width="13.75" style="1149" customWidth="1"/>
    <col min="14606" max="14848" width="9" style="1149"/>
    <col min="14849" max="14849" width="4.875" style="1149" customWidth="1"/>
    <col min="14850" max="14850" width="13.25" style="1149" customWidth="1"/>
    <col min="14851" max="14851" width="15.625" style="1149" customWidth="1"/>
    <col min="14852" max="14852" width="9.375" style="1149" bestFit="1" customWidth="1"/>
    <col min="14853" max="14853" width="13.5" style="1149" customWidth="1"/>
    <col min="14854" max="14854" width="9" style="1149"/>
    <col min="14855" max="14855" width="9.375" style="1149" bestFit="1" customWidth="1"/>
    <col min="14856" max="14857" width="9" style="1149"/>
    <col min="14858" max="14858" width="9.375" style="1149" bestFit="1" customWidth="1"/>
    <col min="14859" max="14859" width="4" style="1149" customWidth="1"/>
    <col min="14860" max="14860" width="5.125" style="1149" customWidth="1"/>
    <col min="14861" max="14861" width="13.75" style="1149" customWidth="1"/>
    <col min="14862" max="15104" width="9" style="1149"/>
    <col min="15105" max="15105" width="4.875" style="1149" customWidth="1"/>
    <col min="15106" max="15106" width="13.25" style="1149" customWidth="1"/>
    <col min="15107" max="15107" width="15.625" style="1149" customWidth="1"/>
    <col min="15108" max="15108" width="9.375" style="1149" bestFit="1" customWidth="1"/>
    <col min="15109" max="15109" width="13.5" style="1149" customWidth="1"/>
    <col min="15110" max="15110" width="9" style="1149"/>
    <col min="15111" max="15111" width="9.375" style="1149" bestFit="1" customWidth="1"/>
    <col min="15112" max="15113" width="9" style="1149"/>
    <col min="15114" max="15114" width="9.375" style="1149" bestFit="1" customWidth="1"/>
    <col min="15115" max="15115" width="4" style="1149" customWidth="1"/>
    <col min="15116" max="15116" width="5.125" style="1149" customWidth="1"/>
    <col min="15117" max="15117" width="13.75" style="1149" customWidth="1"/>
    <col min="15118" max="15360" width="9" style="1149"/>
    <col min="15361" max="15361" width="4.875" style="1149" customWidth="1"/>
    <col min="15362" max="15362" width="13.25" style="1149" customWidth="1"/>
    <col min="15363" max="15363" width="15.625" style="1149" customWidth="1"/>
    <col min="15364" max="15364" width="9.375" style="1149" bestFit="1" customWidth="1"/>
    <col min="15365" max="15365" width="13.5" style="1149" customWidth="1"/>
    <col min="15366" max="15366" width="9" style="1149"/>
    <col min="15367" max="15367" width="9.375" style="1149" bestFit="1" customWidth="1"/>
    <col min="15368" max="15369" width="9" style="1149"/>
    <col min="15370" max="15370" width="9.375" style="1149" bestFit="1" customWidth="1"/>
    <col min="15371" max="15371" width="4" style="1149" customWidth="1"/>
    <col min="15372" max="15372" width="5.125" style="1149" customWidth="1"/>
    <col min="15373" max="15373" width="13.75" style="1149" customWidth="1"/>
    <col min="15374" max="15616" width="9" style="1149"/>
    <col min="15617" max="15617" width="4.875" style="1149" customWidth="1"/>
    <col min="15618" max="15618" width="13.25" style="1149" customWidth="1"/>
    <col min="15619" max="15619" width="15.625" style="1149" customWidth="1"/>
    <col min="15620" max="15620" width="9.375" style="1149" bestFit="1" customWidth="1"/>
    <col min="15621" max="15621" width="13.5" style="1149" customWidth="1"/>
    <col min="15622" max="15622" width="9" style="1149"/>
    <col min="15623" max="15623" width="9.375" style="1149" bestFit="1" customWidth="1"/>
    <col min="15624" max="15625" width="9" style="1149"/>
    <col min="15626" max="15626" width="9.375" style="1149" bestFit="1" customWidth="1"/>
    <col min="15627" max="15627" width="4" style="1149" customWidth="1"/>
    <col min="15628" max="15628" width="5.125" style="1149" customWidth="1"/>
    <col min="15629" max="15629" width="13.75" style="1149" customWidth="1"/>
    <col min="15630" max="15872" width="9" style="1149"/>
    <col min="15873" max="15873" width="4.875" style="1149" customWidth="1"/>
    <col min="15874" max="15874" width="13.25" style="1149" customWidth="1"/>
    <col min="15875" max="15875" width="15.625" style="1149" customWidth="1"/>
    <col min="15876" max="15876" width="9.375" style="1149" bestFit="1" customWidth="1"/>
    <col min="15877" max="15877" width="13.5" style="1149" customWidth="1"/>
    <col min="15878" max="15878" width="9" style="1149"/>
    <col min="15879" max="15879" width="9.375" style="1149" bestFit="1" customWidth="1"/>
    <col min="15880" max="15881" width="9" style="1149"/>
    <col min="15882" max="15882" width="9.375" style="1149" bestFit="1" customWidth="1"/>
    <col min="15883" max="15883" width="4" style="1149" customWidth="1"/>
    <col min="15884" max="15884" width="5.125" style="1149" customWidth="1"/>
    <col min="15885" max="15885" width="13.75" style="1149" customWidth="1"/>
    <col min="15886" max="16128" width="9" style="1149"/>
    <col min="16129" max="16129" width="4.875" style="1149" customWidth="1"/>
    <col min="16130" max="16130" width="13.25" style="1149" customWidth="1"/>
    <col min="16131" max="16131" width="15.625" style="1149" customWidth="1"/>
    <col min="16132" max="16132" width="9.375" style="1149" bestFit="1" customWidth="1"/>
    <col min="16133" max="16133" width="13.5" style="1149" customWidth="1"/>
    <col min="16134" max="16134" width="9" style="1149"/>
    <col min="16135" max="16135" width="9.375" style="1149" bestFit="1" customWidth="1"/>
    <col min="16136" max="16137" width="9" style="1149"/>
    <col min="16138" max="16138" width="9.375" style="1149" bestFit="1" customWidth="1"/>
    <col min="16139" max="16139" width="4" style="1149" customWidth="1"/>
    <col min="16140" max="16140" width="5.125" style="1149" customWidth="1"/>
    <col min="16141" max="16141" width="13.75" style="1149" customWidth="1"/>
    <col min="16142" max="16384" width="9" style="1149"/>
  </cols>
  <sheetData>
    <row r="1" spans="1:257" s="1209" customFormat="1" ht="14.25" thickBot="1">
      <c r="A1" s="1203"/>
      <c r="B1" s="1210" t="s">
        <v>602</v>
      </c>
      <c r="C1" s="1204">
        <f>项目基本情况!D3</f>
        <v>45418</v>
      </c>
      <c r="D1" s="1210" t="s">
        <v>603</v>
      </c>
      <c r="E1" s="1205">
        <f>'数据-取费表'!B22</f>
        <v>3</v>
      </c>
      <c r="F1" s="1210" t="s">
        <v>604</v>
      </c>
      <c r="G1" s="1206">
        <f ca="1">INDIRECT("d"&amp;$K$1)/100</f>
        <v>3.4500000000000003E-2</v>
      </c>
      <c r="H1" s="1210" t="s">
        <v>634</v>
      </c>
      <c r="I1" s="1206">
        <f ca="1">F4/100</f>
        <v>1.4999999999999999E-2</v>
      </c>
      <c r="J1" s="1211">
        <f>IF(C1&gt;C13,0,MATCH(C1,C$13:C$111,-1))+IF(SUMIF(C13:C111,C1,D13:D111)=0,13,12)</f>
        <v>13</v>
      </c>
      <c r="K1" s="1211">
        <f ca="1">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 thickTop="1" thickBot="1">
      <c r="A2" s="1150"/>
      <c r="B2" s="1150"/>
      <c r="C2" s="1150"/>
      <c r="D2" s="1150" t="s">
        <v>605</v>
      </c>
      <c r="E2" s="1150"/>
      <c r="F2" s="1150" t="s">
        <v>606</v>
      </c>
      <c r="G2" s="1151"/>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c r="CU2" s="1150"/>
      <c r="CV2" s="1150"/>
      <c r="CW2" s="1150"/>
      <c r="CX2" s="1150"/>
      <c r="CY2" s="1150"/>
      <c r="CZ2" s="1150"/>
      <c r="DA2" s="1150"/>
      <c r="DB2" s="1150"/>
      <c r="DC2" s="1150"/>
      <c r="DD2" s="1150"/>
      <c r="DE2" s="1150"/>
      <c r="DF2" s="1150"/>
      <c r="DG2" s="1150"/>
      <c r="DH2" s="1150"/>
      <c r="DI2" s="1150"/>
      <c r="DJ2" s="1150"/>
      <c r="DK2" s="1150"/>
      <c r="DL2" s="1150"/>
      <c r="DM2" s="1150"/>
      <c r="DN2" s="1150"/>
      <c r="DO2" s="1150"/>
      <c r="DP2" s="1150"/>
      <c r="DQ2" s="1150"/>
      <c r="DR2" s="1150"/>
      <c r="DS2" s="1150"/>
      <c r="DT2" s="1150"/>
      <c r="DU2" s="1150"/>
      <c r="DV2" s="1150"/>
      <c r="DW2" s="1150"/>
      <c r="DX2" s="1150"/>
      <c r="DY2" s="1150"/>
      <c r="DZ2" s="1150"/>
      <c r="EA2" s="1150"/>
      <c r="EB2" s="1150"/>
      <c r="EC2" s="1150"/>
      <c r="ED2" s="1150"/>
      <c r="EE2" s="1150"/>
      <c r="EF2" s="1150"/>
      <c r="EG2" s="1150"/>
      <c r="EH2" s="1150"/>
      <c r="EI2" s="1150"/>
      <c r="EJ2" s="1150"/>
      <c r="EK2" s="1150"/>
      <c r="EL2" s="1150"/>
      <c r="EM2" s="1150"/>
      <c r="EN2" s="1150"/>
      <c r="EO2" s="1150"/>
      <c r="EP2" s="1150"/>
      <c r="EQ2" s="1150"/>
      <c r="ER2" s="1150"/>
      <c r="ES2" s="1150"/>
      <c r="ET2" s="1150"/>
      <c r="EU2" s="1150"/>
      <c r="EV2" s="1150"/>
      <c r="EW2" s="1150"/>
      <c r="EX2" s="1150"/>
      <c r="EY2" s="1150"/>
      <c r="EZ2" s="1150"/>
      <c r="FA2" s="1150"/>
      <c r="FB2" s="1150"/>
      <c r="FC2" s="1150"/>
      <c r="FD2" s="1150"/>
      <c r="FE2" s="1150"/>
      <c r="FF2" s="1150"/>
      <c r="FG2" s="1150"/>
      <c r="FH2" s="1150"/>
      <c r="FI2" s="1150"/>
      <c r="FJ2" s="1150"/>
      <c r="FK2" s="1150"/>
      <c r="FL2" s="1150"/>
      <c r="FM2" s="1150"/>
      <c r="FN2" s="1150"/>
      <c r="FO2" s="1150"/>
      <c r="FP2" s="1150"/>
      <c r="FQ2" s="1150"/>
      <c r="FR2" s="1150"/>
      <c r="FS2" s="1150"/>
      <c r="FT2" s="1150"/>
      <c r="FU2" s="1150"/>
      <c r="FV2" s="1150"/>
      <c r="FW2" s="1150"/>
      <c r="FX2" s="1150"/>
      <c r="FY2" s="1150"/>
      <c r="FZ2" s="1150"/>
      <c r="GA2" s="1150"/>
      <c r="GB2" s="1150"/>
      <c r="GC2" s="1150"/>
      <c r="GD2" s="1150"/>
      <c r="GE2" s="1150"/>
      <c r="GF2" s="1150"/>
      <c r="GG2" s="1150"/>
      <c r="GH2" s="1150"/>
      <c r="GI2" s="1150"/>
      <c r="GJ2" s="1150"/>
      <c r="GK2" s="1150"/>
      <c r="GL2" s="1150"/>
      <c r="GM2" s="1150"/>
      <c r="GN2" s="1150"/>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c r="HO2" s="1150"/>
      <c r="HP2" s="1150"/>
      <c r="HQ2" s="1150"/>
      <c r="HR2" s="1150"/>
      <c r="HS2" s="1150"/>
      <c r="HT2" s="1150"/>
      <c r="HU2" s="1150"/>
      <c r="HV2" s="1150"/>
      <c r="HW2" s="1150"/>
      <c r="HX2" s="1150"/>
      <c r="HY2" s="1150"/>
      <c r="HZ2" s="1150"/>
      <c r="IA2" s="1150"/>
      <c r="IB2" s="1150"/>
      <c r="IC2" s="1150"/>
      <c r="ID2" s="1150"/>
      <c r="IE2" s="1150"/>
      <c r="IF2" s="1150"/>
      <c r="IG2" s="1150"/>
      <c r="IH2" s="1150"/>
      <c r="II2" s="1150"/>
      <c r="IJ2" s="1150"/>
      <c r="IK2" s="1150"/>
      <c r="IL2" s="1150"/>
      <c r="IM2" s="1150"/>
      <c r="IN2" s="1150"/>
      <c r="IO2" s="1150"/>
      <c r="IP2" s="1150"/>
      <c r="IQ2" s="1150"/>
      <c r="IR2" s="1150"/>
      <c r="IS2" s="1150"/>
      <c r="IT2" s="1150"/>
      <c r="IU2" s="1150"/>
      <c r="IV2" s="1150"/>
      <c r="IW2" s="1150"/>
    </row>
    <row r="3" spans="1:257">
      <c r="B3" s="1153" t="s">
        <v>607</v>
      </c>
      <c r="C3" s="1154">
        <v>0</v>
      </c>
      <c r="D3" s="1155">
        <f ca="1">INDIRECT("d"&amp;$J$1)</f>
        <v>3.45</v>
      </c>
      <c r="E3" s="1156">
        <v>0.5</v>
      </c>
      <c r="F3" s="1157">
        <f ca="1">INDIRECT("p"&amp;$L$1)</f>
        <v>1.3</v>
      </c>
      <c r="G3" s="1152"/>
      <c r="H3" s="1152"/>
      <c r="I3" s="1152"/>
      <c r="J3" s="1152"/>
      <c r="L3" s="1152"/>
      <c r="M3" s="1152"/>
      <c r="N3" s="1152"/>
      <c r="O3" s="1152"/>
      <c r="P3" s="1152"/>
      <c r="Q3" s="1152"/>
      <c r="R3" s="1152"/>
      <c r="S3" s="1152"/>
      <c r="T3" s="1152"/>
      <c r="U3" s="1152"/>
      <c r="V3" s="1152"/>
      <c r="W3" s="1152"/>
      <c r="X3" s="1152"/>
      <c r="Y3" s="1152"/>
      <c r="Z3" s="1152"/>
    </row>
    <row r="4" spans="1:257">
      <c r="B4" s="1159" t="s">
        <v>608</v>
      </c>
      <c r="C4" s="1160">
        <v>0.5</v>
      </c>
      <c r="D4" s="1161">
        <f ca="1">INDIRECT("e"&amp;$J$1)</f>
        <v>3.45</v>
      </c>
      <c r="E4" s="1162">
        <v>1</v>
      </c>
      <c r="F4" s="1163">
        <f ca="1">INDIRECT("q"&amp;$L$1)</f>
        <v>1.5</v>
      </c>
      <c r="G4" s="1152"/>
      <c r="H4" s="1152"/>
      <c r="I4" s="1152"/>
      <c r="J4" s="1152"/>
      <c r="L4" s="1152"/>
      <c r="M4" s="1152"/>
      <c r="N4" s="1152"/>
      <c r="O4" s="1152"/>
      <c r="P4" s="1152"/>
      <c r="Q4" s="1152"/>
      <c r="R4" s="1152"/>
      <c r="S4" s="1152"/>
      <c r="T4" s="1152"/>
      <c r="U4" s="1152"/>
      <c r="V4" s="1152"/>
      <c r="W4" s="1152"/>
      <c r="X4" s="1152"/>
      <c r="Y4" s="1152"/>
      <c r="Z4" s="1152"/>
    </row>
    <row r="5" spans="1:257">
      <c r="B5" s="1159" t="s">
        <v>609</v>
      </c>
      <c r="C5" s="1160">
        <v>1</v>
      </c>
      <c r="D5" s="1161">
        <f ca="1">INDIRECT("f"&amp;$J$1)</f>
        <v>3.45</v>
      </c>
      <c r="E5" s="1162">
        <v>2</v>
      </c>
      <c r="F5" s="1163">
        <f ca="1">INDIRECT("r"&amp;$L$1)</f>
        <v>2.1</v>
      </c>
      <c r="G5" s="1152"/>
      <c r="H5" s="1152"/>
      <c r="I5" s="1152"/>
      <c r="J5" s="1152"/>
      <c r="L5" s="1152"/>
      <c r="M5" s="1152"/>
      <c r="N5" s="1152"/>
      <c r="O5" s="1152"/>
      <c r="P5" s="1152"/>
      <c r="Q5" s="1152"/>
      <c r="R5" s="1152"/>
      <c r="S5" s="1152"/>
      <c r="T5" s="1152"/>
      <c r="U5" s="1152"/>
      <c r="V5" s="1152"/>
      <c r="W5" s="1152"/>
      <c r="X5" s="1152"/>
      <c r="Y5" s="1152"/>
      <c r="Z5" s="1152"/>
    </row>
    <row r="6" spans="1:257">
      <c r="B6" s="1159" t="s">
        <v>610</v>
      </c>
      <c r="C6" s="1160">
        <v>3</v>
      </c>
      <c r="D6" s="1161">
        <f ca="1">INDIRECT("g"&amp;$J$1)</f>
        <v>3.45</v>
      </c>
      <c r="E6" s="1162">
        <v>3</v>
      </c>
      <c r="F6" s="1163">
        <f ca="1">INDIRECT("s"&amp;$L$1)</f>
        <v>2.75</v>
      </c>
      <c r="G6" s="1152"/>
      <c r="H6" s="1152"/>
      <c r="I6" s="1152"/>
      <c r="J6" s="1152"/>
      <c r="L6" s="1152"/>
      <c r="M6" s="1152"/>
      <c r="N6" s="1152"/>
      <c r="O6" s="1152"/>
      <c r="P6" s="1152"/>
      <c r="Q6" s="1152"/>
      <c r="R6" s="1152"/>
      <c r="S6" s="1152"/>
      <c r="T6" s="1152"/>
      <c r="U6" s="1152"/>
      <c r="V6" s="1152"/>
      <c r="W6" s="1152"/>
      <c r="X6" s="1152"/>
      <c r="Y6" s="1152"/>
      <c r="Z6" s="1152"/>
    </row>
    <row r="7" spans="1:257" ht="14.25" thickBot="1">
      <c r="B7" s="1164" t="s">
        <v>611</v>
      </c>
      <c r="C7" s="1165">
        <v>5</v>
      </c>
      <c r="D7" s="1166">
        <f ca="1">INDIRECT("h"&amp;$J$1)</f>
        <v>4.2</v>
      </c>
      <c r="E7" s="1167">
        <v>5</v>
      </c>
      <c r="F7" s="1168">
        <f ca="1">INDIRECT("t"&amp;$L$1)</f>
        <v>0</v>
      </c>
      <c r="G7" s="1152"/>
      <c r="H7" s="1152"/>
      <c r="I7" s="1152"/>
      <c r="J7" s="1152"/>
      <c r="L7" s="1152"/>
      <c r="M7" s="1152"/>
      <c r="N7" s="1152"/>
      <c r="O7" s="1152"/>
      <c r="P7" s="1152"/>
      <c r="Q7" s="1152"/>
      <c r="R7" s="1152"/>
      <c r="S7" s="1152"/>
      <c r="T7" s="1152"/>
      <c r="U7" s="1152"/>
      <c r="V7" s="1152"/>
      <c r="W7" s="1152"/>
      <c r="X7" s="1152"/>
      <c r="Y7" s="1152"/>
      <c r="Z7" s="1152"/>
    </row>
    <row r="8" spans="1:257">
      <c r="A8" s="1169"/>
      <c r="B8" s="1170"/>
      <c r="C8" s="1171"/>
      <c r="D8" s="1152"/>
      <c r="E8" s="1152"/>
      <c r="F8" s="1152"/>
      <c r="G8" s="1152"/>
      <c r="H8" s="1152"/>
      <c r="I8" s="1152"/>
      <c r="J8" s="1152"/>
      <c r="L8" s="1152"/>
      <c r="M8" s="1152"/>
      <c r="N8" s="1152"/>
      <c r="O8" s="1152"/>
      <c r="P8" s="1152"/>
      <c r="Q8" s="1152"/>
      <c r="R8" s="1152"/>
      <c r="S8" s="1152"/>
      <c r="T8" s="1152"/>
      <c r="U8" s="1152"/>
      <c r="V8" s="1152"/>
      <c r="W8" s="1152"/>
      <c r="X8" s="1152"/>
      <c r="Y8" s="1152"/>
      <c r="Z8" s="1152"/>
    </row>
    <row r="9" spans="1:257" ht="20.25">
      <c r="A9" s="1172"/>
      <c r="B9" s="1173" t="s">
        <v>612</v>
      </c>
      <c r="C9" s="1174"/>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c r="IW9" s="1177"/>
    </row>
    <row r="10" spans="1:257" ht="22.5">
      <c r="A10" s="1178"/>
      <c r="B10" s="1179" t="s">
        <v>613</v>
      </c>
      <c r="C10" s="1178"/>
      <c r="D10" s="1178"/>
      <c r="E10" s="1178"/>
      <c r="F10" s="1178"/>
      <c r="G10" s="1178"/>
      <c r="H10" s="1178"/>
      <c r="I10" s="1152"/>
      <c r="J10" s="1152"/>
      <c r="K10" s="1178"/>
      <c r="L10" s="1179" t="s">
        <v>614</v>
      </c>
      <c r="M10" s="1178"/>
      <c r="N10" s="1178"/>
      <c r="O10" s="1178"/>
      <c r="P10" s="1178"/>
      <c r="Q10" s="1178"/>
      <c r="R10" s="1178"/>
      <c r="S10" s="1178"/>
      <c r="T10" s="1178"/>
      <c r="U10" s="1178"/>
      <c r="V10" s="1178"/>
      <c r="W10" s="1178"/>
      <c r="X10" s="1178"/>
      <c r="Y10" s="1178"/>
      <c r="Z10" s="1178"/>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c r="EX10" s="1180"/>
      <c r="EY10" s="1180"/>
      <c r="EZ10" s="1180"/>
      <c r="FA10" s="1180"/>
      <c r="FB10" s="1180"/>
      <c r="FC10" s="1180"/>
      <c r="FD10" s="1180"/>
      <c r="FE10" s="1180"/>
      <c r="FF10" s="1180"/>
      <c r="FG10" s="1180"/>
      <c r="FH10" s="1180"/>
      <c r="FI10" s="1180"/>
      <c r="FJ10" s="1180"/>
      <c r="FK10" s="1180"/>
      <c r="FL10" s="1180"/>
      <c r="FM10" s="1180"/>
      <c r="FN10" s="1180"/>
      <c r="FO10" s="1180"/>
      <c r="FP10" s="1180"/>
      <c r="FQ10" s="1180"/>
      <c r="FR10" s="1180"/>
      <c r="FS10" s="1180"/>
      <c r="FT10" s="1180"/>
      <c r="FU10" s="1180"/>
      <c r="FV10" s="1180"/>
      <c r="FW10" s="1180"/>
      <c r="FX10" s="1180"/>
      <c r="FY10" s="1180"/>
      <c r="FZ10" s="1180"/>
      <c r="GA10" s="1180"/>
      <c r="GB10" s="1180"/>
      <c r="GC10" s="1180"/>
      <c r="GD10" s="1180"/>
      <c r="GE10" s="1180"/>
      <c r="GF10" s="1180"/>
      <c r="GG10" s="1180"/>
      <c r="GH10" s="1180"/>
      <c r="GI10" s="1180"/>
      <c r="GJ10" s="1180"/>
      <c r="GK10" s="1180"/>
      <c r="GL10" s="1180"/>
      <c r="GM10" s="1180"/>
      <c r="GN10" s="1180"/>
      <c r="GO10" s="1180"/>
      <c r="GP10" s="1180"/>
      <c r="GQ10" s="1180"/>
      <c r="GR10" s="1180"/>
      <c r="GS10" s="1180"/>
      <c r="GT10" s="1180"/>
      <c r="GU10" s="1180"/>
      <c r="GV10" s="1180"/>
      <c r="GW10" s="1180"/>
      <c r="GX10" s="1180"/>
      <c r="GY10" s="1180"/>
      <c r="GZ10" s="1180"/>
      <c r="HA10" s="1180"/>
      <c r="HB10" s="1180"/>
      <c r="HC10" s="1180"/>
      <c r="HD10" s="1180"/>
      <c r="HE10" s="1180"/>
      <c r="HF10" s="1180"/>
      <c r="HG10" s="1180"/>
      <c r="HH10" s="1180"/>
      <c r="HI10" s="1180"/>
      <c r="HJ10" s="1180"/>
      <c r="HK10" s="1180"/>
      <c r="HL10" s="1180"/>
      <c r="HM10" s="1180"/>
      <c r="HN10" s="1180"/>
      <c r="HO10" s="1180"/>
      <c r="HP10" s="1180"/>
      <c r="HQ10" s="1180"/>
      <c r="HR10" s="1180"/>
      <c r="HS10" s="1180"/>
      <c r="HT10" s="1180"/>
      <c r="HU10" s="1180"/>
      <c r="HV10" s="1180"/>
      <c r="HW10" s="1180"/>
      <c r="HX10" s="1180"/>
      <c r="HY10" s="1180"/>
      <c r="HZ10" s="1180"/>
      <c r="IA10" s="1180"/>
      <c r="IB10" s="1180"/>
      <c r="IC10" s="1180"/>
      <c r="ID10" s="1180"/>
      <c r="IE10" s="1180"/>
      <c r="IF10" s="1180"/>
      <c r="IG10" s="1180"/>
      <c r="IH10" s="1180"/>
      <c r="II10" s="1180"/>
      <c r="IJ10" s="1180"/>
      <c r="IK10" s="1180"/>
      <c r="IL10" s="1180"/>
      <c r="IM10" s="1180"/>
      <c r="IN10" s="1180"/>
      <c r="IO10" s="1180"/>
      <c r="IP10" s="1180"/>
      <c r="IQ10" s="1180"/>
      <c r="IR10" s="1180"/>
      <c r="IS10" s="1180"/>
      <c r="IT10" s="1180"/>
      <c r="IU10" s="1180"/>
      <c r="IV10" s="1180"/>
    </row>
    <row r="11" spans="1:257">
      <c r="A11" s="1181"/>
      <c r="B11" s="1182" t="s">
        <v>615</v>
      </c>
      <c r="C11" s="1183" t="s">
        <v>616</v>
      </c>
      <c r="D11" s="1184" t="s">
        <v>617</v>
      </c>
      <c r="E11" s="1185"/>
      <c r="F11" s="1184" t="s">
        <v>618</v>
      </c>
      <c r="G11" s="1186"/>
      <c r="H11" s="1185"/>
      <c r="I11" s="1184" t="s">
        <v>619</v>
      </c>
      <c r="J11" s="1185"/>
      <c r="K11" s="1181"/>
      <c r="L11" s="1182" t="s">
        <v>615</v>
      </c>
      <c r="M11" s="1183" t="s">
        <v>616</v>
      </c>
      <c r="N11" s="1182" t="s">
        <v>620</v>
      </c>
      <c r="O11" s="1184" t="s">
        <v>621</v>
      </c>
      <c r="P11" s="1186"/>
      <c r="Q11" s="1186"/>
      <c r="R11" s="1186"/>
      <c r="S11" s="1186"/>
      <c r="T11" s="1185"/>
      <c r="U11" s="1184" t="s">
        <v>622</v>
      </c>
      <c r="V11" s="1186"/>
      <c r="W11" s="1185"/>
      <c r="X11" s="1182" t="s">
        <v>623</v>
      </c>
      <c r="Y11" s="1182" t="s">
        <v>624</v>
      </c>
      <c r="Z11" s="1182" t="s">
        <v>625</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7">
      <c r="A12" s="1181"/>
      <c r="B12" s="1188"/>
      <c r="C12" s="1189"/>
      <c r="D12" s="1190" t="s">
        <v>626</v>
      </c>
      <c r="E12" s="1190" t="s">
        <v>627</v>
      </c>
      <c r="F12" s="1190" t="s">
        <v>628</v>
      </c>
      <c r="G12" s="1190" t="s">
        <v>629</v>
      </c>
      <c r="H12" s="1190" t="s">
        <v>611</v>
      </c>
      <c r="I12" s="1191" t="s">
        <v>630</v>
      </c>
      <c r="J12" s="1191" t="s">
        <v>630</v>
      </c>
      <c r="K12" s="1181"/>
      <c r="L12" s="1188"/>
      <c r="M12" s="1189"/>
      <c r="N12" s="1188"/>
      <c r="O12" s="1191" t="s">
        <v>631</v>
      </c>
      <c r="P12" s="1191">
        <v>0.5</v>
      </c>
      <c r="Q12" s="1191">
        <v>1</v>
      </c>
      <c r="R12" s="1191">
        <v>2</v>
      </c>
      <c r="S12" s="1191">
        <v>3</v>
      </c>
      <c r="T12" s="1191">
        <v>5</v>
      </c>
      <c r="U12" s="1191">
        <v>1</v>
      </c>
      <c r="V12" s="1191">
        <v>3</v>
      </c>
      <c r="W12" s="1191">
        <v>5</v>
      </c>
      <c r="X12" s="1188"/>
      <c r="Y12" s="1188"/>
      <c r="Z12" s="1188"/>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c r="GD12" s="1187"/>
      <c r="GE12" s="1187"/>
      <c r="GF12" s="1187"/>
      <c r="GG12" s="1187"/>
      <c r="GH12" s="1187"/>
      <c r="GI12" s="1187"/>
      <c r="GJ12" s="1187"/>
      <c r="GK12" s="1187"/>
      <c r="GL12" s="1187"/>
      <c r="GM12" s="1187"/>
      <c r="GN12" s="1187"/>
      <c r="GO12" s="1187"/>
      <c r="GP12" s="1187"/>
      <c r="GQ12" s="1187"/>
      <c r="GR12" s="1187"/>
      <c r="GS12" s="1187"/>
      <c r="GT12" s="1187"/>
      <c r="GU12" s="1187"/>
      <c r="GV12" s="1187"/>
      <c r="GW12" s="1187"/>
      <c r="GX12" s="1187"/>
      <c r="GY12" s="1187"/>
      <c r="GZ12" s="1187"/>
      <c r="HA12" s="1187"/>
      <c r="HB12" s="1187"/>
      <c r="HC12" s="1187"/>
      <c r="HD12" s="1187"/>
      <c r="HE12" s="1187"/>
      <c r="HF12" s="1187"/>
      <c r="HG12" s="1187"/>
      <c r="HH12" s="1187"/>
      <c r="HI12" s="1187"/>
      <c r="HJ12" s="1187"/>
      <c r="HK12" s="1187"/>
      <c r="HL12" s="1187"/>
      <c r="HM12" s="1187"/>
      <c r="HN12" s="1187"/>
      <c r="HO12" s="1187"/>
      <c r="HP12" s="1187"/>
      <c r="HQ12" s="1187"/>
      <c r="HR12" s="1187"/>
      <c r="HS12" s="1187"/>
      <c r="HT12" s="1187"/>
      <c r="HU12" s="1187"/>
      <c r="HV12" s="1187"/>
      <c r="HW12" s="1187"/>
      <c r="HX12" s="1187"/>
      <c r="HY12" s="1187"/>
      <c r="HZ12" s="1187"/>
      <c r="IA12" s="1187"/>
      <c r="IB12" s="1187"/>
      <c r="IC12" s="1187"/>
      <c r="ID12" s="1187"/>
      <c r="IE12" s="1187"/>
      <c r="IF12" s="1187"/>
      <c r="IG12" s="1187"/>
      <c r="IH12" s="1187"/>
      <c r="II12" s="1187"/>
      <c r="IJ12" s="1187"/>
      <c r="IK12" s="1187"/>
      <c r="IL12" s="1187"/>
      <c r="IM12" s="1187"/>
      <c r="IN12" s="1187"/>
      <c r="IO12" s="1187"/>
      <c r="IP12" s="1187"/>
      <c r="IQ12" s="1187"/>
      <c r="IR12" s="1187"/>
      <c r="IS12" s="1187"/>
      <c r="IT12" s="1187"/>
      <c r="IU12" s="1187"/>
      <c r="IV12" s="1187"/>
    </row>
    <row r="13" spans="1:257" ht="14.25">
      <c r="A13" s="1192"/>
      <c r="B13" s="1193" t="s">
        <v>632</v>
      </c>
      <c r="C13" s="2556">
        <v>45159</v>
      </c>
      <c r="D13" s="1194">
        <v>3.45</v>
      </c>
      <c r="E13" s="1194">
        <f>D13</f>
        <v>3.45</v>
      </c>
      <c r="F13" s="1194">
        <f>D13</f>
        <v>3.45</v>
      </c>
      <c r="G13" s="1194">
        <f>D13</f>
        <v>3.45</v>
      </c>
      <c r="H13" s="1194">
        <v>4.2</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4.25">
      <c r="A14" s="1192"/>
      <c r="B14" s="1193"/>
      <c r="C14" s="1199">
        <v>45097</v>
      </c>
      <c r="D14" s="1198">
        <v>3.55</v>
      </c>
      <c r="E14" s="1198">
        <f>D14</f>
        <v>3.55</v>
      </c>
      <c r="F14" s="1198">
        <f>D14</f>
        <v>3.55</v>
      </c>
      <c r="G14" s="1198">
        <f>D14</f>
        <v>3.55</v>
      </c>
      <c r="H14" s="1198">
        <v>4.2</v>
      </c>
      <c r="I14" s="1194"/>
      <c r="J14" s="1194"/>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4.25">
      <c r="A15" s="1192"/>
      <c r="B15" s="1193"/>
      <c r="C15" s="1199">
        <v>44795</v>
      </c>
      <c r="D15" s="1198">
        <v>3.65</v>
      </c>
      <c r="E15" s="1198">
        <v>3.65</v>
      </c>
      <c r="F15" s="1198">
        <v>3.65</v>
      </c>
      <c r="G15" s="1198">
        <v>3.65</v>
      </c>
      <c r="H15" s="1198">
        <v>4.3</v>
      </c>
      <c r="I15" s="1194"/>
      <c r="J15" s="1194"/>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4.25">
      <c r="A16" s="1192"/>
      <c r="B16" s="1193"/>
      <c r="C16" s="1199">
        <v>44701</v>
      </c>
      <c r="D16" s="1198">
        <v>3.7</v>
      </c>
      <c r="E16" s="1198">
        <f>D16</f>
        <v>3.7</v>
      </c>
      <c r="F16" s="1198">
        <f>D16</f>
        <v>3.7</v>
      </c>
      <c r="G16" s="1198">
        <f>D16</f>
        <v>3.7</v>
      </c>
      <c r="H16" s="1198">
        <v>4.45</v>
      </c>
      <c r="I16" s="1194"/>
      <c r="J16" s="1194"/>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4.25">
      <c r="A17" s="1192"/>
      <c r="B17" s="1193"/>
      <c r="C17" s="1199">
        <v>44581</v>
      </c>
      <c r="D17" s="1198">
        <v>3.7</v>
      </c>
      <c r="E17" s="1198">
        <f>D17</f>
        <v>3.7</v>
      </c>
      <c r="F17" s="1198">
        <f>D17</f>
        <v>3.7</v>
      </c>
      <c r="G17" s="1198">
        <f>D17</f>
        <v>3.7</v>
      </c>
      <c r="H17" s="1198">
        <v>4.5999999999999996</v>
      </c>
      <c r="I17" s="1194"/>
      <c r="J17" s="1194"/>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5">
      <c r="A18" s="1192"/>
      <c r="B18" s="1198"/>
      <c r="C18" s="1199">
        <v>44550</v>
      </c>
      <c r="D18" s="1198">
        <v>3.8</v>
      </c>
      <c r="E18" s="1198">
        <f>D18</f>
        <v>3.8</v>
      </c>
      <c r="F18" s="1198">
        <f>D18</f>
        <v>3.8</v>
      </c>
      <c r="G18" s="1198">
        <f>D18</f>
        <v>3.8</v>
      </c>
      <c r="H18" s="1198">
        <v>4.6500000000000004</v>
      </c>
      <c r="I18" s="1198"/>
      <c r="J18" s="1194"/>
      <c r="L18" s="2560"/>
      <c r="M18" s="2559">
        <v>41965</v>
      </c>
      <c r="N18" s="2560">
        <v>0.35</v>
      </c>
      <c r="O18" s="2560">
        <v>2.35</v>
      </c>
      <c r="P18" s="2560">
        <v>2.5499999999999998</v>
      </c>
      <c r="Q18" s="2560">
        <v>2.75</v>
      </c>
      <c r="R18" s="2560">
        <v>3.35</v>
      </c>
      <c r="S18" s="2560">
        <v>4</v>
      </c>
      <c r="T18" s="2560">
        <v>4.75</v>
      </c>
      <c r="U18" s="2561">
        <v>2.35</v>
      </c>
      <c r="V18" s="2561">
        <v>2.5499999999999998</v>
      </c>
      <c r="W18" s="2561">
        <v>2.75</v>
      </c>
      <c r="X18" s="2560"/>
      <c r="Y18" s="2561">
        <v>0.8</v>
      </c>
      <c r="Z18" s="2561">
        <v>1.35</v>
      </c>
    </row>
    <row r="19" spans="1:256" s="2562" customFormat="1" ht="14.25">
      <c r="A19" s="1192"/>
      <c r="B19" s="1198"/>
      <c r="C19" s="1199">
        <v>43941</v>
      </c>
      <c r="D19" s="1198">
        <v>3.85</v>
      </c>
      <c r="E19" s="1198">
        <v>3.85</v>
      </c>
      <c r="F19" s="1198">
        <v>3.85</v>
      </c>
      <c r="G19" s="1198">
        <v>3.85</v>
      </c>
      <c r="H19" s="1198">
        <v>4.6500000000000004</v>
      </c>
      <c r="I19" s="1198"/>
      <c r="J19" s="1198"/>
      <c r="K19" s="1152"/>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ht="14.25">
      <c r="A20" s="1192"/>
      <c r="B20" s="1198"/>
      <c r="C20" s="1199">
        <v>43881</v>
      </c>
      <c r="D20" s="1198">
        <v>4.05</v>
      </c>
      <c r="E20" s="1198">
        <v>4.05</v>
      </c>
      <c r="F20" s="1198">
        <v>4.05</v>
      </c>
      <c r="G20" s="1198">
        <v>4.05</v>
      </c>
      <c r="H20" s="1198">
        <v>4.75</v>
      </c>
      <c r="I20" s="1198"/>
      <c r="J20" s="1198"/>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4.25">
      <c r="A21" s="1192"/>
      <c r="B21" s="1198"/>
      <c r="C21" s="1199">
        <v>43789</v>
      </c>
      <c r="D21" s="1198">
        <v>4.1500000000000004</v>
      </c>
      <c r="E21" s="1198">
        <v>4.1500000000000004</v>
      </c>
      <c r="F21" s="1198">
        <v>4.1500000000000004</v>
      </c>
      <c r="G21" s="1198">
        <v>4.1500000000000004</v>
      </c>
      <c r="H21" s="1198">
        <v>4.8</v>
      </c>
      <c r="I21" s="1198"/>
      <c r="J21" s="1198"/>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4.25">
      <c r="A22" s="1192"/>
      <c r="B22" s="1198"/>
      <c r="C22" s="1199">
        <v>43728</v>
      </c>
      <c r="D22" s="1198">
        <v>4.2</v>
      </c>
      <c r="E22" s="1198">
        <v>4.2</v>
      </c>
      <c r="F22" s="1198">
        <v>4.2</v>
      </c>
      <c r="G22" s="1198">
        <v>4.2</v>
      </c>
      <c r="H22" s="1198">
        <v>4.8499999999999996</v>
      </c>
      <c r="I22" s="1198"/>
      <c r="J22" s="1198"/>
      <c r="K22" s="1181"/>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4.25">
      <c r="A23" s="2557"/>
      <c r="B23" s="1193" t="s">
        <v>2307</v>
      </c>
      <c r="C23" s="1200">
        <v>43697</v>
      </c>
      <c r="D23" s="2555">
        <v>4.25</v>
      </c>
      <c r="E23" s="2555">
        <v>4.25</v>
      </c>
      <c r="F23" s="2555">
        <v>4.25</v>
      </c>
      <c r="G23" s="2555">
        <v>4.25</v>
      </c>
      <c r="H23" s="2555">
        <v>4.8499999999999996</v>
      </c>
      <c r="I23" s="2555"/>
      <c r="J23" s="2555"/>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ht="14.25">
      <c r="B24" s="2558"/>
      <c r="C24" s="2559">
        <v>42301</v>
      </c>
      <c r="D24" s="2560">
        <v>4.3499999999999996</v>
      </c>
      <c r="E24" s="2560">
        <v>4.3499999999999996</v>
      </c>
      <c r="F24" s="2560">
        <v>4.75</v>
      </c>
      <c r="G24" s="2560">
        <v>4.75</v>
      </c>
      <c r="H24" s="2560">
        <v>4.9000000000000004</v>
      </c>
      <c r="I24" s="2560"/>
      <c r="J24" s="2560"/>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42242</v>
      </c>
      <c r="D25" s="1198">
        <v>4.5999999999999996</v>
      </c>
      <c r="E25" s="1198">
        <v>4.5999999999999996</v>
      </c>
      <c r="F25" s="1198">
        <v>5</v>
      </c>
      <c r="G25" s="1198">
        <v>5</v>
      </c>
      <c r="H25" s="1198">
        <v>5.15</v>
      </c>
      <c r="I25" s="1198">
        <v>2.75</v>
      </c>
      <c r="J25" s="1198">
        <v>3.25</v>
      </c>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c r="B26" s="1198"/>
      <c r="C26" s="1199">
        <v>42183</v>
      </c>
      <c r="D26" s="1198">
        <v>4.8499999999999996</v>
      </c>
      <c r="E26" s="1198">
        <v>4.8499999999999996</v>
      </c>
      <c r="F26" s="1198">
        <v>5.25</v>
      </c>
      <c r="G26" s="1198">
        <v>5.25</v>
      </c>
      <c r="H26" s="1198">
        <v>5.4</v>
      </c>
      <c r="I26" s="1198">
        <v>3</v>
      </c>
      <c r="J26" s="1198">
        <v>3.5</v>
      </c>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c r="B27" s="1198"/>
      <c r="C27" s="1199">
        <v>42135</v>
      </c>
      <c r="D27" s="1198">
        <v>5.0999999999999996</v>
      </c>
      <c r="E27" s="1198">
        <v>5.0999999999999996</v>
      </c>
      <c r="F27" s="1198">
        <v>5.5</v>
      </c>
      <c r="G27" s="1198">
        <v>5.5</v>
      </c>
      <c r="H27" s="1198">
        <v>5.65</v>
      </c>
      <c r="I27" s="1198">
        <v>3.25</v>
      </c>
      <c r="J27" s="1198">
        <v>3.75</v>
      </c>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42064</v>
      </c>
      <c r="D28" s="1198">
        <v>5.35</v>
      </c>
      <c r="E28" s="1198">
        <v>5.35</v>
      </c>
      <c r="F28" s="1198">
        <v>5.75</v>
      </c>
      <c r="G28" s="1198">
        <v>5.75</v>
      </c>
      <c r="H28" s="1198">
        <v>5.9</v>
      </c>
      <c r="I28" s="1198"/>
      <c r="J28" s="1198"/>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41965</v>
      </c>
      <c r="D29" s="1198">
        <v>5.6</v>
      </c>
      <c r="E29" s="1198">
        <v>5.6</v>
      </c>
      <c r="F29" s="1198">
        <v>6</v>
      </c>
      <c r="G29" s="1198">
        <v>6</v>
      </c>
      <c r="H29" s="1198">
        <v>6.15</v>
      </c>
      <c r="I29" s="1198"/>
      <c r="J29" s="1198"/>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41096</v>
      </c>
      <c r="D30" s="1198">
        <v>5.6</v>
      </c>
      <c r="E30" s="1198">
        <v>6</v>
      </c>
      <c r="F30" s="1198">
        <v>6.15</v>
      </c>
      <c r="G30" s="1198">
        <v>6.4</v>
      </c>
      <c r="H30" s="1198">
        <v>6.55</v>
      </c>
      <c r="I30" s="1198">
        <v>4</v>
      </c>
      <c r="J30" s="1198">
        <v>4.5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41068</v>
      </c>
      <c r="D31" s="1198">
        <v>5.85</v>
      </c>
      <c r="E31" s="1198">
        <v>6.31</v>
      </c>
      <c r="F31" s="1198">
        <v>6.4</v>
      </c>
      <c r="G31" s="1198">
        <v>6.65</v>
      </c>
      <c r="H31" s="1198">
        <v>6.8</v>
      </c>
      <c r="I31" s="1198">
        <v>4.2</v>
      </c>
      <c r="J31" s="1198">
        <v>4.7</v>
      </c>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40731</v>
      </c>
      <c r="D32" s="1198">
        <v>6.1</v>
      </c>
      <c r="E32" s="1198">
        <v>6.56</v>
      </c>
      <c r="F32" s="1198">
        <v>6.65</v>
      </c>
      <c r="G32" s="1198">
        <v>6.9</v>
      </c>
      <c r="H32" s="1198">
        <v>7.05</v>
      </c>
      <c r="I32" s="1198">
        <v>4.45</v>
      </c>
      <c r="J32" s="1198">
        <v>4.9000000000000004</v>
      </c>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40639</v>
      </c>
      <c r="D33" s="1198">
        <v>5.85</v>
      </c>
      <c r="E33" s="1198">
        <v>6.31</v>
      </c>
      <c r="F33" s="1198">
        <v>6.4</v>
      </c>
      <c r="G33" s="1198">
        <v>6.65</v>
      </c>
      <c r="H33" s="1198">
        <v>6.8</v>
      </c>
      <c r="I33" s="1198">
        <v>4.2</v>
      </c>
      <c r="J33" s="1198">
        <v>4.7</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40583</v>
      </c>
      <c r="D34" s="1198">
        <v>5.6</v>
      </c>
      <c r="E34" s="1198">
        <v>6.06</v>
      </c>
      <c r="F34" s="1198">
        <v>6.1</v>
      </c>
      <c r="G34" s="1198">
        <v>6.45</v>
      </c>
      <c r="H34" s="1198">
        <v>6.6</v>
      </c>
      <c r="I34" s="1198">
        <v>4</v>
      </c>
      <c r="J34" s="1198">
        <v>4.5</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40538</v>
      </c>
      <c r="D35" s="1198">
        <v>5.35</v>
      </c>
      <c r="E35" s="1198">
        <v>5.81</v>
      </c>
      <c r="F35" s="1198">
        <v>5.85</v>
      </c>
      <c r="G35" s="1198">
        <v>6.22</v>
      </c>
      <c r="H35" s="1198">
        <v>6.4</v>
      </c>
      <c r="I35" s="1198">
        <v>3.75</v>
      </c>
      <c r="J35" s="1198">
        <v>4.3</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40471</v>
      </c>
      <c r="D36" s="1198">
        <v>5.0999999999999996</v>
      </c>
      <c r="E36" s="1198">
        <v>5.56</v>
      </c>
      <c r="F36" s="1198">
        <v>5.6</v>
      </c>
      <c r="G36" s="1198">
        <v>5.96</v>
      </c>
      <c r="H36" s="1198">
        <v>6.14</v>
      </c>
      <c r="I36" s="1198">
        <v>3.5</v>
      </c>
      <c r="J36" s="1198">
        <v>4.05</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39805</v>
      </c>
      <c r="D37" s="1198">
        <v>4.8600000000000003</v>
      </c>
      <c r="E37" s="1198">
        <v>5.31</v>
      </c>
      <c r="F37" s="1198">
        <v>5.4</v>
      </c>
      <c r="G37" s="1198">
        <v>5.76</v>
      </c>
      <c r="H37" s="1198">
        <v>5.94</v>
      </c>
      <c r="I37" s="1198">
        <v>3.33</v>
      </c>
      <c r="J37" s="1198">
        <v>3.87</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39779</v>
      </c>
      <c r="D38" s="1198">
        <v>5.04</v>
      </c>
      <c r="E38" s="1198">
        <v>5.58</v>
      </c>
      <c r="F38" s="1198">
        <v>5.67</v>
      </c>
      <c r="G38" s="1198">
        <v>5.94</v>
      </c>
      <c r="H38" s="1198">
        <v>6.12</v>
      </c>
      <c r="I38" s="1198">
        <v>3.51</v>
      </c>
      <c r="J38" s="1198">
        <v>4.05</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39751</v>
      </c>
      <c r="D39" s="1198">
        <v>6.03</v>
      </c>
      <c r="E39" s="1198">
        <v>6.66</v>
      </c>
      <c r="F39" s="1198">
        <v>6.75</v>
      </c>
      <c r="G39" s="1198">
        <v>7.02</v>
      </c>
      <c r="H39" s="1198">
        <v>7.2</v>
      </c>
      <c r="I39" s="1198">
        <v>4.05</v>
      </c>
      <c r="J39" s="1198">
        <v>4.59</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200">
        <v>39748</v>
      </c>
      <c r="D40" s="1198">
        <v>6.12</v>
      </c>
      <c r="E40" s="1198">
        <v>6.93</v>
      </c>
      <c r="F40" s="1198">
        <v>7.02</v>
      </c>
      <c r="G40" s="1198">
        <v>7.29</v>
      </c>
      <c r="H40" s="1198">
        <v>7.47</v>
      </c>
      <c r="I40" s="1198">
        <v>4.05</v>
      </c>
      <c r="J40" s="1198">
        <v>4.59</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39730</v>
      </c>
      <c r="D41" s="1198">
        <v>6.12</v>
      </c>
      <c r="E41" s="1198">
        <v>6.93</v>
      </c>
      <c r="F41" s="1198">
        <v>7.02</v>
      </c>
      <c r="G41" s="1198">
        <v>7.29</v>
      </c>
      <c r="H41" s="1198">
        <v>7.47</v>
      </c>
      <c r="I41" s="1198">
        <v>4.32</v>
      </c>
      <c r="J41" s="1198">
        <v>4.8600000000000003</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39707</v>
      </c>
      <c r="D42" s="1198">
        <v>6.21</v>
      </c>
      <c r="E42" s="1198">
        <v>7.2</v>
      </c>
      <c r="F42" s="1198">
        <v>7.29</v>
      </c>
      <c r="G42" s="1198">
        <v>7.56</v>
      </c>
      <c r="H42" s="1198">
        <v>7.74</v>
      </c>
      <c r="I42" s="1198">
        <v>4.59</v>
      </c>
      <c r="J42" s="1198">
        <v>5.13</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199">
        <v>39437</v>
      </c>
      <c r="D43" s="1198">
        <v>6.57</v>
      </c>
      <c r="E43" s="1198">
        <v>7.47</v>
      </c>
      <c r="F43" s="1198">
        <v>7.56</v>
      </c>
      <c r="G43" s="1198">
        <v>7.74</v>
      </c>
      <c r="H43" s="1198">
        <v>7.83</v>
      </c>
      <c r="I43" s="1198">
        <v>4.7699999999999996</v>
      </c>
      <c r="J43" s="1198">
        <v>5.22</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39340</v>
      </c>
      <c r="D44" s="1198">
        <v>6.48</v>
      </c>
      <c r="E44" s="1198">
        <v>7.29</v>
      </c>
      <c r="F44" s="1198">
        <v>7.47</v>
      </c>
      <c r="G44" s="1198">
        <v>7.65</v>
      </c>
      <c r="H44" s="1198">
        <v>7.83</v>
      </c>
      <c r="I44" s="1198">
        <v>4.7699999999999996</v>
      </c>
      <c r="J44" s="1198">
        <v>5.22</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39316</v>
      </c>
      <c r="D45" s="1198">
        <v>6.21</v>
      </c>
      <c r="E45" s="1198">
        <v>7.02</v>
      </c>
      <c r="F45" s="1198">
        <v>7.2</v>
      </c>
      <c r="G45" s="1198">
        <v>7.38</v>
      </c>
      <c r="H45" s="1198">
        <v>7.56</v>
      </c>
      <c r="I45" s="1198">
        <v>4.59</v>
      </c>
      <c r="J45" s="1198">
        <v>5.04</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39284</v>
      </c>
      <c r="D46" s="1198">
        <v>6.03</v>
      </c>
      <c r="E46" s="1198">
        <v>6.84</v>
      </c>
      <c r="F46" s="1198">
        <v>7.02</v>
      </c>
      <c r="G46" s="1198">
        <v>7.2</v>
      </c>
      <c r="H46" s="1198">
        <v>7.38</v>
      </c>
      <c r="I46" s="1198">
        <v>4.5</v>
      </c>
      <c r="J46" s="1198">
        <v>4.95</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39221</v>
      </c>
      <c r="D47" s="1198">
        <v>5.85</v>
      </c>
      <c r="E47" s="1198">
        <v>6.57</v>
      </c>
      <c r="F47" s="1198">
        <v>6.75</v>
      </c>
      <c r="G47" s="1198">
        <v>6.93</v>
      </c>
      <c r="H47" s="1198">
        <v>7.2</v>
      </c>
      <c r="I47" s="1198">
        <v>4.41</v>
      </c>
      <c r="J47" s="1198">
        <v>4.8600000000000003</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39159</v>
      </c>
      <c r="D48" s="1198">
        <v>5.67</v>
      </c>
      <c r="E48" s="1198">
        <v>6.39</v>
      </c>
      <c r="F48" s="1198">
        <v>6.57</v>
      </c>
      <c r="G48" s="1198">
        <v>6.75</v>
      </c>
      <c r="H48" s="1198">
        <v>7.11</v>
      </c>
      <c r="I48" s="1198">
        <v>4.32</v>
      </c>
      <c r="J48" s="1198">
        <v>4.7699999999999996</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38948</v>
      </c>
      <c r="D49" s="1198">
        <v>5.58</v>
      </c>
      <c r="E49" s="1198">
        <v>6.12</v>
      </c>
      <c r="F49" s="1198">
        <v>6.3</v>
      </c>
      <c r="G49" s="1198">
        <v>6.48</v>
      </c>
      <c r="H49" s="1198">
        <v>6.84</v>
      </c>
      <c r="I49" s="1198">
        <v>4.1399999999999997</v>
      </c>
      <c r="J49" s="1198">
        <v>4.59</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38835</v>
      </c>
      <c r="D50" s="1198">
        <v>5.4</v>
      </c>
      <c r="E50" s="1198">
        <v>5.85</v>
      </c>
      <c r="F50" s="1198">
        <v>6.03</v>
      </c>
      <c r="G50" s="1198">
        <v>6.12</v>
      </c>
      <c r="H50" s="1198">
        <v>6.39</v>
      </c>
      <c r="I50" s="1198">
        <v>4.1399999999999997</v>
      </c>
      <c r="J50" s="1198">
        <v>4.59</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38428</v>
      </c>
      <c r="D51" s="1198">
        <v>5.22</v>
      </c>
      <c r="E51" s="1198">
        <v>5.58</v>
      </c>
      <c r="F51" s="1198">
        <v>5.76</v>
      </c>
      <c r="G51" s="1198">
        <v>5.85</v>
      </c>
      <c r="H51" s="1198">
        <v>6.12</v>
      </c>
      <c r="I51" s="1198">
        <v>3.96</v>
      </c>
      <c r="J51" s="1198">
        <v>4.41</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38289</v>
      </c>
      <c r="D52" s="1198">
        <v>5.22</v>
      </c>
      <c r="E52" s="1198">
        <v>5.58</v>
      </c>
      <c r="F52" s="1198">
        <v>5.76</v>
      </c>
      <c r="G52" s="1198">
        <v>5.85</v>
      </c>
      <c r="H52" s="1198">
        <v>6.12</v>
      </c>
      <c r="I52" s="1198">
        <v>3.78</v>
      </c>
      <c r="J52" s="1198">
        <v>4.2300000000000004</v>
      </c>
      <c r="L52" s="1198"/>
      <c r="M52" s="1199"/>
      <c r="N52" s="1198"/>
      <c r="O52" s="1198"/>
      <c r="P52" s="1198"/>
      <c r="Q52" s="1198"/>
      <c r="R52" s="1198"/>
      <c r="S52" s="1198"/>
      <c r="T52" s="1198"/>
      <c r="U52" s="1198"/>
      <c r="V52" s="1198"/>
      <c r="W52" s="1198"/>
      <c r="X52" s="1198"/>
      <c r="Y52" s="1198"/>
      <c r="Z52" s="1198"/>
    </row>
    <row r="53" spans="2:26">
      <c r="B53" s="1198"/>
      <c r="C53" s="1199">
        <v>37308</v>
      </c>
      <c r="D53" s="1198">
        <v>5.04</v>
      </c>
      <c r="E53" s="1198">
        <v>5.31</v>
      </c>
      <c r="F53" s="1198">
        <v>5.49</v>
      </c>
      <c r="G53" s="1198">
        <v>5.58</v>
      </c>
      <c r="H53" s="1198">
        <v>5.76</v>
      </c>
      <c r="I53" s="1198">
        <v>3.6</v>
      </c>
      <c r="J53" s="1198">
        <v>4.05</v>
      </c>
      <c r="L53" s="1198"/>
      <c r="M53" s="1199"/>
      <c r="N53" s="1198"/>
      <c r="O53" s="1198"/>
      <c r="P53" s="1198"/>
      <c r="Q53" s="1198"/>
      <c r="R53" s="1198"/>
      <c r="S53" s="1198"/>
      <c r="T53" s="1198"/>
      <c r="U53" s="1198"/>
      <c r="V53" s="1198"/>
      <c r="W53" s="1198"/>
      <c r="X53" s="1198"/>
      <c r="Y53" s="1198"/>
      <c r="Z53" s="1198"/>
    </row>
    <row r="54" spans="2:26">
      <c r="B54" s="1198"/>
      <c r="C54" s="1199">
        <v>36321</v>
      </c>
      <c r="D54" s="1198">
        <v>5.58</v>
      </c>
      <c r="E54" s="1198">
        <v>5.85</v>
      </c>
      <c r="F54" s="1198">
        <v>5.94</v>
      </c>
      <c r="G54" s="1198">
        <v>6.03</v>
      </c>
      <c r="H54" s="1198">
        <v>6.21</v>
      </c>
      <c r="I54" s="1198">
        <v>4.1399999999999997</v>
      </c>
      <c r="J54" s="1198">
        <v>4.59</v>
      </c>
      <c r="L54" s="1198"/>
      <c r="M54" s="1199"/>
      <c r="N54" s="1198"/>
      <c r="O54" s="1198"/>
      <c r="P54" s="1198"/>
      <c r="Q54" s="1198"/>
      <c r="R54" s="1198"/>
      <c r="S54" s="1198"/>
      <c r="T54" s="1198"/>
      <c r="U54" s="1198"/>
      <c r="V54" s="1198"/>
      <c r="W54" s="1198"/>
      <c r="X54" s="1198"/>
      <c r="Y54" s="1198"/>
      <c r="Z54" s="1198"/>
    </row>
    <row r="55" spans="2:26">
      <c r="B55" s="1198"/>
      <c r="C55" s="1199">
        <v>36136</v>
      </c>
      <c r="D55" s="1198">
        <v>6.12</v>
      </c>
      <c r="E55" s="1198">
        <v>6.39</v>
      </c>
      <c r="F55" s="1198">
        <v>6.66</v>
      </c>
      <c r="G55" s="1198">
        <v>7.2</v>
      </c>
      <c r="H55" s="1198">
        <v>7.56</v>
      </c>
      <c r="I55" s="1198">
        <v>0</v>
      </c>
      <c r="J55" s="1198">
        <v>0</v>
      </c>
      <c r="L55" s="1198"/>
      <c r="M55" s="1199"/>
      <c r="N55" s="1198"/>
      <c r="O55" s="1198"/>
      <c r="P55" s="1198"/>
      <c r="Q55" s="1198"/>
      <c r="R55" s="1198"/>
      <c r="S55" s="1198"/>
      <c r="T55" s="1198"/>
      <c r="U55" s="1198"/>
      <c r="V55" s="1198"/>
      <c r="W55" s="1198"/>
      <c r="X55" s="1198"/>
      <c r="Y55" s="1198"/>
      <c r="Z55" s="1198"/>
    </row>
    <row r="56" spans="2:26">
      <c r="B56" s="1198"/>
      <c r="C56" s="1199">
        <v>35977</v>
      </c>
      <c r="D56" s="1198">
        <v>6.57</v>
      </c>
      <c r="E56" s="1198">
        <v>6.93</v>
      </c>
      <c r="F56" s="1198">
        <v>7.11</v>
      </c>
      <c r="G56" s="1198">
        <v>7.65</v>
      </c>
      <c r="H56" s="1198">
        <v>8.01</v>
      </c>
      <c r="I56" s="1198">
        <v>0</v>
      </c>
      <c r="J56" s="1198">
        <v>0</v>
      </c>
      <c r="L56" s="1198"/>
      <c r="M56" s="1199"/>
      <c r="N56" s="1198"/>
      <c r="O56" s="1198"/>
      <c r="P56" s="1198"/>
      <c r="Q56" s="1198"/>
      <c r="R56" s="1198"/>
      <c r="S56" s="1198"/>
      <c r="T56" s="1198"/>
      <c r="U56" s="1198"/>
      <c r="V56" s="1198"/>
      <c r="W56" s="1198"/>
      <c r="X56" s="1198"/>
      <c r="Y56" s="1198"/>
      <c r="Z56" s="1198"/>
    </row>
    <row r="57" spans="2:26">
      <c r="B57" s="1198"/>
      <c r="C57" s="1199">
        <v>35879</v>
      </c>
      <c r="D57" s="1198">
        <v>7.02</v>
      </c>
      <c r="E57" s="1198">
        <v>7.92</v>
      </c>
      <c r="F57" s="1198">
        <v>9</v>
      </c>
      <c r="G57" s="1198">
        <v>9.7200000000000006</v>
      </c>
      <c r="H57" s="1198">
        <v>10.35</v>
      </c>
      <c r="I57" s="1198">
        <v>0</v>
      </c>
      <c r="J57" s="1198">
        <v>0</v>
      </c>
      <c r="L57" s="1198"/>
      <c r="M57" s="1199"/>
      <c r="N57" s="1198"/>
      <c r="O57" s="1198"/>
      <c r="P57" s="1198"/>
      <c r="Q57" s="1198"/>
      <c r="R57" s="1198"/>
      <c r="S57" s="1198"/>
      <c r="T57" s="1198"/>
      <c r="U57" s="1198"/>
      <c r="V57" s="1198"/>
      <c r="W57" s="1198"/>
      <c r="X57" s="1198"/>
      <c r="Y57" s="1198"/>
      <c r="Z57" s="1198"/>
    </row>
    <row r="58" spans="2:26">
      <c r="B58" s="1198"/>
      <c r="C58" s="1199">
        <v>35726</v>
      </c>
      <c r="D58" s="1198">
        <v>7.65</v>
      </c>
      <c r="E58" s="1198">
        <v>8.64</v>
      </c>
      <c r="F58" s="1198">
        <v>9.36</v>
      </c>
      <c r="G58" s="1198">
        <v>9.9</v>
      </c>
      <c r="H58" s="1198">
        <v>10.53</v>
      </c>
      <c r="I58" s="1198">
        <v>0</v>
      </c>
      <c r="J58" s="1198">
        <v>0</v>
      </c>
    </row>
    <row r="59" spans="2:26">
      <c r="B59" s="1198"/>
      <c r="C59" s="1199">
        <v>35300</v>
      </c>
      <c r="D59" s="1198">
        <v>9.18</v>
      </c>
      <c r="E59" s="1198">
        <v>10.08</v>
      </c>
      <c r="F59" s="1198">
        <v>10.98</v>
      </c>
      <c r="G59" s="1198">
        <v>11.7</v>
      </c>
      <c r="H59" s="1198">
        <v>12.42</v>
      </c>
      <c r="I59" s="1198">
        <v>0</v>
      </c>
      <c r="J59" s="1198">
        <v>0</v>
      </c>
    </row>
    <row r="60" spans="2:26">
      <c r="B60" s="1198"/>
      <c r="C60" s="1199">
        <v>35186</v>
      </c>
      <c r="D60" s="1198">
        <v>9.7200000000000006</v>
      </c>
      <c r="E60" s="1198">
        <v>10.98</v>
      </c>
      <c r="F60" s="1198">
        <v>13.14</v>
      </c>
      <c r="G60" s="1198">
        <v>14.94</v>
      </c>
      <c r="H60" s="1198">
        <v>15.12</v>
      </c>
      <c r="I60" s="1198">
        <v>0</v>
      </c>
      <c r="J60" s="1198">
        <v>0</v>
      </c>
    </row>
    <row r="61" spans="2:26">
      <c r="B61" s="1198"/>
      <c r="C61" s="1199">
        <v>34881</v>
      </c>
      <c r="D61" s="1198">
        <v>10.08</v>
      </c>
      <c r="E61" s="1198">
        <v>12.06</v>
      </c>
      <c r="F61" s="1198">
        <v>13.5</v>
      </c>
      <c r="G61" s="1198">
        <v>15.12</v>
      </c>
      <c r="H61" s="1198">
        <v>15.3</v>
      </c>
      <c r="I61" s="1198">
        <v>0</v>
      </c>
      <c r="J61" s="1198">
        <v>0</v>
      </c>
    </row>
    <row r="62" spans="2:26">
      <c r="B62" s="1198"/>
      <c r="C62" s="1199">
        <v>34700</v>
      </c>
      <c r="D62" s="1198">
        <v>9</v>
      </c>
      <c r="E62" s="1198">
        <v>10.98</v>
      </c>
      <c r="F62" s="1198">
        <v>12.96</v>
      </c>
      <c r="G62" s="1198">
        <v>14.58</v>
      </c>
      <c r="H62" s="1198">
        <v>14.76</v>
      </c>
      <c r="I62" s="1198">
        <v>0</v>
      </c>
      <c r="J62" s="1198">
        <v>0</v>
      </c>
    </row>
    <row r="63" spans="2:26">
      <c r="B63" s="1198"/>
      <c r="C63" s="1199">
        <v>34161</v>
      </c>
      <c r="D63" s="1198">
        <v>9</v>
      </c>
      <c r="E63" s="1198">
        <v>10.98</v>
      </c>
      <c r="F63" s="1198">
        <v>12.24</v>
      </c>
      <c r="G63" s="1198">
        <v>13.86</v>
      </c>
      <c r="H63" s="1198">
        <v>14.04</v>
      </c>
      <c r="I63" s="1198">
        <v>0</v>
      </c>
      <c r="J63" s="1198">
        <v>0</v>
      </c>
    </row>
    <row r="64" spans="2:26">
      <c r="B64" s="1198"/>
      <c r="C64" s="1199">
        <v>34104</v>
      </c>
      <c r="D64" s="1198">
        <v>8.82</v>
      </c>
      <c r="E64" s="1198">
        <v>9.36</v>
      </c>
      <c r="F64" s="1198">
        <v>10.8</v>
      </c>
      <c r="G64" s="1198">
        <v>12.06</v>
      </c>
      <c r="H64" s="1198">
        <v>12.24</v>
      </c>
      <c r="I64" s="1198">
        <v>0</v>
      </c>
      <c r="J64" s="1198">
        <v>0</v>
      </c>
    </row>
    <row r="65" spans="2:10">
      <c r="B65" s="1198"/>
      <c r="C65" s="1199">
        <v>33349</v>
      </c>
      <c r="D65" s="1198">
        <v>8.1</v>
      </c>
      <c r="E65" s="1198">
        <v>8.64</v>
      </c>
      <c r="F65" s="1198">
        <v>9</v>
      </c>
      <c r="G65" s="1198">
        <v>9.5399999999999991</v>
      </c>
      <c r="H65" s="1198">
        <v>9.7200000000000006</v>
      </c>
      <c r="I65" s="1198">
        <v>0</v>
      </c>
      <c r="J65" s="1198">
        <v>0</v>
      </c>
    </row>
    <row r="66" spans="2:10">
      <c r="B66" s="1198"/>
      <c r="C66" s="1199">
        <v>33318</v>
      </c>
      <c r="D66" s="1198">
        <v>9</v>
      </c>
      <c r="E66" s="1198">
        <v>10.08</v>
      </c>
      <c r="F66" s="1198">
        <v>10.8</v>
      </c>
      <c r="G66" s="1198">
        <v>11.52</v>
      </c>
      <c r="H66" s="1198">
        <v>11.88</v>
      </c>
      <c r="I66" s="1198" t="s">
        <v>633</v>
      </c>
      <c r="J66" s="1198" t="s">
        <v>633</v>
      </c>
    </row>
    <row r="67" spans="2:10">
      <c r="B67" s="1198"/>
      <c r="C67" s="1199">
        <v>33106</v>
      </c>
      <c r="D67" s="1198">
        <v>8.64</v>
      </c>
      <c r="E67" s="1198">
        <v>9.36</v>
      </c>
      <c r="F67" s="1198">
        <v>10.08</v>
      </c>
      <c r="G67" s="1198">
        <v>10.8</v>
      </c>
      <c r="H67" s="1198">
        <v>11.16</v>
      </c>
      <c r="I67" s="1198">
        <v>0</v>
      </c>
      <c r="J67" s="1198">
        <v>0</v>
      </c>
    </row>
    <row r="68" spans="2:10">
      <c r="B68" s="1198"/>
      <c r="C68" s="1199">
        <v>32540</v>
      </c>
      <c r="D68" s="1198">
        <v>11.34</v>
      </c>
      <c r="E68" s="1198">
        <v>11.34</v>
      </c>
      <c r="F68" s="1198">
        <v>12.78</v>
      </c>
      <c r="G68" s="1198">
        <v>14.4</v>
      </c>
      <c r="H68" s="1198">
        <v>19.260000000000002</v>
      </c>
      <c r="I68" s="1198">
        <v>0</v>
      </c>
      <c r="J68" s="1198">
        <v>0</v>
      </c>
    </row>
    <row r="69" spans="2:10">
      <c r="B69" s="1198"/>
      <c r="C69" s="1199"/>
      <c r="D69" s="1198"/>
      <c r="E69" s="1198"/>
      <c r="F69" s="1198"/>
      <c r="G69" s="1198"/>
      <c r="H69" s="1198"/>
      <c r="I69" s="1198"/>
      <c r="J69" s="1198"/>
    </row>
    <row r="70" spans="2:10">
      <c r="B70" s="1201"/>
      <c r="C70" s="1202"/>
      <c r="D70" s="1201"/>
      <c r="E70" s="1201"/>
      <c r="F70" s="1201"/>
      <c r="G70" s="1201"/>
      <c r="H70" s="1201"/>
      <c r="I70" s="1201"/>
      <c r="J70" s="1201"/>
    </row>
    <row r="71" spans="2:10">
      <c r="B71" s="1201"/>
      <c r="C71" s="1202"/>
      <c r="D71" s="1201"/>
      <c r="E71" s="1201"/>
      <c r="F71" s="1201"/>
      <c r="G71" s="1201"/>
      <c r="H71" s="1201"/>
      <c r="I71" s="1201"/>
      <c r="J71" s="1201"/>
    </row>
    <row r="72" spans="2:10">
      <c r="B72" s="1201"/>
      <c r="C72" s="1202"/>
      <c r="D72" s="1201"/>
      <c r="E72" s="1201"/>
      <c r="F72" s="1201"/>
      <c r="G72" s="1201"/>
      <c r="H72" s="1201"/>
      <c r="I72" s="1201"/>
      <c r="J72" s="1201"/>
    </row>
    <row r="73" spans="2:10">
      <c r="B73" s="1152"/>
      <c r="C73" s="1152"/>
      <c r="D73" s="1152"/>
      <c r="E73" s="1152"/>
      <c r="F73" s="1152"/>
      <c r="G73" s="1152"/>
      <c r="H73" s="1152"/>
      <c r="I73" s="1152"/>
      <c r="J73" s="1152"/>
    </row>
    <row r="74" spans="2:10">
      <c r="B74" s="1152"/>
      <c r="C74" s="1152"/>
      <c r="D74" s="1152"/>
      <c r="E74" s="1152"/>
      <c r="F74" s="1152"/>
      <c r="G74" s="1152"/>
      <c r="H74" s="1152"/>
      <c r="I74" s="1152"/>
      <c r="J74" s="115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view="pageBreakPreview" zoomScale="80" zoomScaleNormal="70" zoomScaleSheetLayoutView="80" workbookViewId="0">
      <selection activeCell="J52" sqref="J52"/>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874</v>
      </c>
      <c r="B1" s="655"/>
      <c r="C1" s="1279" t="s">
        <v>3742</v>
      </c>
      <c r="D1" s="1263" t="s">
        <v>43</v>
      </c>
      <c r="E1" s="1264" t="s">
        <v>675</v>
      </c>
      <c r="F1" s="992">
        <f ca="1">J53</f>
        <v>26.67</v>
      </c>
      <c r="G1" s="1278">
        <f>MATCH(C1,'数据-取费表'!A6:A16,0)+5</f>
        <v>7</v>
      </c>
      <c r="H1" s="2446"/>
      <c r="I1" s="2447"/>
      <c r="J1" s="2447"/>
      <c r="K1" s="2448"/>
      <c r="L1" s="2447"/>
      <c r="M1" s="2447"/>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801</v>
      </c>
      <c r="B2" s="1286">
        <f ca="1">C40+J29+L46</f>
        <v>4219</v>
      </c>
      <c r="C2" s="1281" t="s">
        <v>802</v>
      </c>
      <c r="D2" s="1281"/>
      <c r="E2" s="1287"/>
      <c r="F2" s="1288"/>
      <c r="G2" s="2459"/>
      <c r="H2" s="2449"/>
      <c r="I2" s="2449"/>
      <c r="J2" s="2449"/>
      <c r="K2" s="2450"/>
      <c r="L2" s="2449"/>
      <c r="M2" s="2449"/>
    </row>
    <row r="3" spans="1:37" ht="18" customHeight="1" thickBot="1">
      <c r="A3" s="1289" t="s">
        <v>803</v>
      </c>
      <c r="B3" s="1290">
        <f ca="1">IF(ISERROR(B2*10000/F43),0,ROUND(B2*10000/F43,0))</f>
        <v>13492</v>
      </c>
      <c r="C3" s="1281" t="s">
        <v>804</v>
      </c>
      <c r="D3" s="1281"/>
      <c r="E3" s="1287"/>
      <c r="F3" s="1288"/>
      <c r="G3" s="2459"/>
      <c r="H3" s="641" t="s">
        <v>873</v>
      </c>
      <c r="I3" s="1282"/>
      <c r="J3" s="1282"/>
      <c r="K3" s="1283"/>
      <c r="L3" s="1282"/>
      <c r="M3" s="1282"/>
    </row>
    <row r="4" spans="1:37" ht="18" customHeight="1">
      <c r="A4" s="281" t="s">
        <v>684</v>
      </c>
      <c r="B4" s="282" t="s">
        <v>685</v>
      </c>
      <c r="C4" s="282" t="s">
        <v>686</v>
      </c>
      <c r="D4" s="282" t="s">
        <v>687</v>
      </c>
      <c r="E4" s="283" t="s">
        <v>688</v>
      </c>
      <c r="F4" s="284"/>
      <c r="G4" s="1284"/>
      <c r="H4" s="281" t="s">
        <v>684</v>
      </c>
      <c r="I4" s="282" t="s">
        <v>685</v>
      </c>
      <c r="J4" s="282" t="s">
        <v>686</v>
      </c>
      <c r="K4" s="282" t="s">
        <v>687</v>
      </c>
      <c r="L4" s="283" t="s">
        <v>688</v>
      </c>
      <c r="M4" s="284"/>
    </row>
    <row r="5" spans="1:37" ht="18" customHeight="1">
      <c r="A5" s="285">
        <v>1</v>
      </c>
      <c r="B5" s="286" t="s">
        <v>689</v>
      </c>
      <c r="C5" s="1000">
        <f ca="1">C6+C10+C12</f>
        <v>309</v>
      </c>
      <c r="D5" s="1265" t="s">
        <v>690</v>
      </c>
      <c r="E5" s="1001"/>
      <c r="F5" s="1002"/>
      <c r="G5" s="1284"/>
      <c r="H5" s="285">
        <v>1</v>
      </c>
      <c r="I5" s="286" t="s">
        <v>689</v>
      </c>
      <c r="J5" s="1000">
        <f ca="1">J6+J10+J12</f>
        <v>0</v>
      </c>
      <c r="K5" s="1265" t="s">
        <v>690</v>
      </c>
      <c r="L5" s="1001"/>
      <c r="M5" s="1002"/>
    </row>
    <row r="6" spans="1:37" ht="18" customHeight="1">
      <c r="A6" s="999" t="s">
        <v>398</v>
      </c>
      <c r="B6" s="3488" t="s">
        <v>691</v>
      </c>
      <c r="C6" s="1004">
        <f ca="1">ROUND(F6*F8*F7*(1-F9)/10000,0)</f>
        <v>308</v>
      </c>
      <c r="D6" s="141" t="s">
        <v>2103</v>
      </c>
      <c r="E6" s="288" t="s">
        <v>693</v>
      </c>
      <c r="F6" s="289">
        <f ca="1">INDIRECT("'数据-取费表'!u"&amp;$G$1)</f>
        <v>3</v>
      </c>
      <c r="G6" s="1284"/>
      <c r="H6" s="999" t="s">
        <v>398</v>
      </c>
      <c r="I6" s="3488" t="s">
        <v>691</v>
      </c>
      <c r="J6" s="287">
        <f ca="1">ROUND(M6*M8*M7*(1-M9)/10000,0)</f>
        <v>0</v>
      </c>
      <c r="K6" s="141" t="s">
        <v>2102</v>
      </c>
      <c r="L6" s="288" t="s">
        <v>693</v>
      </c>
      <c r="M6" s="289">
        <f ca="1">INDIRECT("'数据-取费表'!z"&amp;$G$1)</f>
        <v>0</v>
      </c>
    </row>
    <row r="7" spans="1:37" ht="18" customHeight="1">
      <c r="A7" s="1003"/>
      <c r="B7" s="3489"/>
      <c r="C7" s="1005"/>
      <c r="D7" s="293"/>
      <c r="E7" s="1006" t="s">
        <v>694</v>
      </c>
      <c r="F7" s="289">
        <f ca="1">IF(INDIRECT("'数据-取费表'!ah"&amp;$G$1)="",INDIRECT("'数据-取费表'!k"&amp;$G$1),INDIRECT("'数据-取费表'!ah"&amp;$G$1))</f>
        <v>3127.15</v>
      </c>
      <c r="G7" s="1284"/>
      <c r="H7" s="290"/>
      <c r="I7" s="3489"/>
      <c r="J7" s="292"/>
      <c r="K7" s="293"/>
      <c r="L7" s="288" t="s">
        <v>694</v>
      </c>
      <c r="M7" s="289">
        <f ca="1">F7</f>
        <v>3127.15</v>
      </c>
    </row>
    <row r="8" spans="1:37" ht="18" customHeight="1">
      <c r="A8" s="290"/>
      <c r="B8" s="3489"/>
      <c r="C8" s="292"/>
      <c r="D8" s="293"/>
      <c r="E8" s="288" t="s">
        <v>695</v>
      </c>
      <c r="F8" s="289">
        <f ca="1">INDIRECT("'数据-取费表'!ai"&amp;$G$1)</f>
        <v>365</v>
      </c>
      <c r="G8" s="1284"/>
      <c r="H8" s="290"/>
      <c r="I8" s="3489"/>
      <c r="J8" s="292"/>
      <c r="K8" s="293"/>
      <c r="L8" s="288" t="s">
        <v>695</v>
      </c>
      <c r="M8" s="289">
        <f ca="1">INDIRECT("'数据-取费表'!ai"&amp;$G$1)</f>
        <v>365</v>
      </c>
    </row>
    <row r="9" spans="1:37" ht="18" customHeight="1">
      <c r="A9" s="290"/>
      <c r="B9" s="3490"/>
      <c r="C9" s="292"/>
      <c r="D9" s="293"/>
      <c r="E9" s="288" t="s">
        <v>696</v>
      </c>
      <c r="F9" s="298">
        <f ca="1">INDIRECT("'数据-取费表'!w"&amp;$G$1)</f>
        <v>0.1</v>
      </c>
      <c r="G9" s="1284"/>
      <c r="H9" s="290"/>
      <c r="I9" s="3490"/>
      <c r="J9" s="292"/>
      <c r="K9" s="293"/>
      <c r="L9" s="299" t="s">
        <v>696</v>
      </c>
      <c r="M9" s="300">
        <f ca="1">INDIRECT("'数据-取费表'!ab"&amp;$G$1)</f>
        <v>0</v>
      </c>
    </row>
    <row r="10" spans="1:37" ht="18" customHeight="1">
      <c r="A10" s="999" t="s">
        <v>402</v>
      </c>
      <c r="B10" s="1266" t="s">
        <v>697</v>
      </c>
      <c r="C10" s="302">
        <f ca="1">ROUND(IF(F10="押一",C6/12*F11,IF(F10="押二",C6/12*2*F11,IF(F10="押三",C6/12*3*F11,C11*F11))),0)</f>
        <v>1</v>
      </c>
      <c r="D10" s="144" t="s">
        <v>2111</v>
      </c>
      <c r="E10" s="299" t="s">
        <v>698</v>
      </c>
      <c r="F10" s="1046" t="s">
        <v>3743</v>
      </c>
      <c r="G10" s="1284"/>
      <c r="H10" s="999" t="s">
        <v>402</v>
      </c>
      <c r="I10" s="1266" t="s">
        <v>697</v>
      </c>
      <c r="J10" s="287">
        <f ca="1">ROUND(IF(M10="押一",J6/12*M11,IF(M10="押二",J6/12*2*M11,IF(M10="押三",J6/12*3*M11,J11*M11))),0)</f>
        <v>0</v>
      </c>
      <c r="K10" s="144" t="s">
        <v>2110</v>
      </c>
      <c r="L10" s="299" t="s">
        <v>698</v>
      </c>
      <c r="M10" s="1046"/>
    </row>
    <row r="11" spans="1:37" ht="18" customHeight="1">
      <c r="A11" s="294"/>
      <c r="B11" s="1267" t="s">
        <v>676</v>
      </c>
      <c r="C11" s="898"/>
      <c r="D11" s="1268"/>
      <c r="E11" s="299" t="s">
        <v>699</v>
      </c>
      <c r="F11" s="300">
        <f ca="1">'数据-取费表'!B39</f>
        <v>1.4999999999999999E-2</v>
      </c>
      <c r="G11" s="1284"/>
      <c r="H11" s="1007"/>
      <c r="I11" s="1267" t="s">
        <v>676</v>
      </c>
      <c r="J11" s="898"/>
      <c r="K11" s="638"/>
      <c r="L11" s="299" t="s">
        <v>699</v>
      </c>
      <c r="M11" s="802">
        <f ca="1">'数据-取费表'!B39</f>
        <v>1.4999999999999999E-2</v>
      </c>
    </row>
    <row r="12" spans="1:37" ht="18" customHeight="1" thickBot="1">
      <c r="A12" s="1013" t="s">
        <v>437</v>
      </c>
      <c r="B12" s="1269" t="s">
        <v>700</v>
      </c>
      <c r="C12" s="1014"/>
      <c r="D12" s="1015"/>
      <c r="E12" s="1020"/>
      <c r="F12" s="1016"/>
      <c r="G12" s="1284"/>
      <c r="H12" s="1013" t="s">
        <v>437</v>
      </c>
      <c r="I12" s="1269" t="s">
        <v>700</v>
      </c>
      <c r="J12" s="1014"/>
      <c r="K12" s="1028"/>
      <c r="L12" s="1020"/>
      <c r="M12" s="1029"/>
    </row>
    <row r="13" spans="1:37" ht="18" customHeight="1" thickTop="1">
      <c r="A13" s="1009">
        <v>2</v>
      </c>
      <c r="B13" s="1010" t="s">
        <v>701</v>
      </c>
      <c r="C13" s="296">
        <f ca="1">ROUND(C29*F13,0)</f>
        <v>2133</v>
      </c>
      <c r="D13" s="1011" t="s">
        <v>702</v>
      </c>
      <c r="E13" s="1011" t="s">
        <v>703</v>
      </c>
      <c r="F13" s="1012">
        <f ca="1">INDIRECT("'数据-取费表'!y"&amp;$G$1)</f>
        <v>0.87</v>
      </c>
      <c r="G13" s="1284"/>
      <c r="H13" s="1009">
        <v>2</v>
      </c>
      <c r="I13" s="1010" t="s">
        <v>701</v>
      </c>
      <c r="J13" s="998">
        <f ca="1">ROUND(J14*J15,0)</f>
        <v>0</v>
      </c>
      <c r="K13" s="1017" t="s">
        <v>702</v>
      </c>
      <c r="L13" s="1291"/>
      <c r="M13" s="1292"/>
    </row>
    <row r="14" spans="1:37" ht="18" customHeight="1">
      <c r="A14" s="921" t="s">
        <v>397</v>
      </c>
      <c r="B14" s="288" t="s">
        <v>704</v>
      </c>
      <c r="C14" s="304">
        <f ca="1">INDIRECT("'数据-取费表'!m"&amp;$G$1)+INDIRECT("'数据-取费表'!t"&amp;$G$1)</f>
        <v>1564</v>
      </c>
      <c r="D14" s="1249" t="s">
        <v>705</v>
      </c>
      <c r="E14" s="1247"/>
      <c r="F14" s="305"/>
      <c r="G14" s="1284"/>
      <c r="H14" s="921" t="s">
        <v>398</v>
      </c>
      <c r="I14" s="288" t="s">
        <v>706</v>
      </c>
      <c r="J14" s="21">
        <f ca="1">C29</f>
        <v>2452</v>
      </c>
      <c r="K14" s="12"/>
      <c r="L14" s="752"/>
      <c r="M14" s="753"/>
    </row>
    <row r="15" spans="1:37" s="1296" customFormat="1" ht="18" customHeight="1" thickBot="1">
      <c r="A15" s="921" t="s">
        <v>399</v>
      </c>
      <c r="B15" s="288" t="s">
        <v>707</v>
      </c>
      <c r="C15" s="21">
        <f ca="1">ROUND(C14*F15,0)</f>
        <v>78</v>
      </c>
      <c r="D15" s="306" t="s">
        <v>708</v>
      </c>
      <c r="E15" s="306" t="s">
        <v>709</v>
      </c>
      <c r="F15" s="307">
        <f>'数据-取费表'!B33</f>
        <v>0.05</v>
      </c>
      <c r="G15" s="1295"/>
      <c r="H15" s="1019" t="s">
        <v>402</v>
      </c>
      <c r="I15" s="1020" t="s">
        <v>703</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677</v>
      </c>
      <c r="B16" s="288" t="s">
        <v>710</v>
      </c>
      <c r="C16" s="21">
        <f ca="1">ROUND(INDIRECT("'数据-取费表'!m"&amp;$G$1)*F16,0)</f>
        <v>0</v>
      </c>
      <c r="D16" s="288" t="s">
        <v>708</v>
      </c>
      <c r="E16" s="288" t="s">
        <v>709</v>
      </c>
      <c r="F16" s="308">
        <f ca="1">IF(INDIRECT("'数据-取费表'!c"&amp;$G$1)="住宅",'数据-取费表'!B34,0)</f>
        <v>0</v>
      </c>
      <c r="G16" s="1284"/>
      <c r="H16" s="1009" t="s">
        <v>393</v>
      </c>
      <c r="I16" s="1010" t="s">
        <v>711</v>
      </c>
      <c r="J16" s="296">
        <f ca="1">ROUND(J17+J22+J23+J24,0)</f>
        <v>12</v>
      </c>
      <c r="K16" s="1017" t="s">
        <v>712</v>
      </c>
      <c r="L16" s="1018"/>
      <c r="M16" s="1002"/>
    </row>
    <row r="17" spans="1:37" s="1296" customFormat="1" ht="18" customHeight="1">
      <c r="A17" s="921" t="s">
        <v>678</v>
      </c>
      <c r="B17" s="288" t="s">
        <v>713</v>
      </c>
      <c r="C17" s="21">
        <f ca="1">ROUND(F17*(F43+INDIRECT("'数据-取费表'!S"&amp;$G$1))/10000,0)</f>
        <v>63</v>
      </c>
      <c r="D17" s="288" t="s">
        <v>714</v>
      </c>
      <c r="E17" s="288" t="s">
        <v>715</v>
      </c>
      <c r="F17" s="23">
        <f>'数据-取费表'!B35</f>
        <v>200</v>
      </c>
      <c r="G17" s="1295"/>
      <c r="H17" s="921" t="s">
        <v>398</v>
      </c>
      <c r="I17" s="288" t="s">
        <v>716</v>
      </c>
      <c r="J17" s="2132">
        <f ca="1">ROUND(IF(AND(项目基本情况!B11="自然人",项目基本情况!B10="北京市"),J6*M17/(1+'数据-取费表'!C42),J18+J19+J20),2)</f>
        <v>0</v>
      </c>
      <c r="K17" s="1249" t="s">
        <v>717</v>
      </c>
      <c r="L17" s="1248" t="s">
        <v>718</v>
      </c>
      <c r="M17" s="2131" t="str">
        <f>IF(项目基本情况!B11="企业","",IF('数据-取费表'!B10="住宅",IF(M6*M7*M8/12/(1+'数据-取费表'!F30)&gt;100000,4%,2.5%),IF(M6*M7*M8/12/(1+'数据-取费表'!F30)&gt;100000,12%,7%)))</f>
        <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679</v>
      </c>
      <c r="B18" s="288" t="s">
        <v>719</v>
      </c>
      <c r="C18" s="21">
        <f ca="1">ROUND(C14*F18,0)</f>
        <v>23</v>
      </c>
      <c r="D18" s="288" t="s">
        <v>708</v>
      </c>
      <c r="E18" s="288" t="s">
        <v>709</v>
      </c>
      <c r="F18" s="308">
        <f>'数据-取费表'!B36</f>
        <v>1.4999999999999999E-2</v>
      </c>
      <c r="G18" s="1295"/>
      <c r="H18" s="921" t="s">
        <v>397</v>
      </c>
      <c r="I18" s="288" t="s">
        <v>720</v>
      </c>
      <c r="J18" s="21">
        <f ca="1">ROUND(J6*M18/(1+'数据-取费表'!C42),2)</f>
        <v>0</v>
      </c>
      <c r="K18" s="1248" t="s">
        <v>721</v>
      </c>
      <c r="L18" s="288" t="s">
        <v>709</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722</v>
      </c>
      <c r="C19" s="21">
        <f ca="1">SUM(C14:C18)</f>
        <v>1728</v>
      </c>
      <c r="D19" s="117" t="s">
        <v>723</v>
      </c>
      <c r="E19" s="1261"/>
      <c r="F19" s="23"/>
      <c r="G19" s="1284"/>
      <c r="H19" s="921" t="s">
        <v>399</v>
      </c>
      <c r="I19" s="288" t="s">
        <v>724</v>
      </c>
      <c r="J19" s="21">
        <f ca="1">IF(K19="按租金收入计税",ROUND(J6*M19/(1+'数据-取费表'!C42),2),ROUND(C29*M19*0.7,2))</f>
        <v>0</v>
      </c>
      <c r="K19" s="1270" t="s">
        <v>3333</v>
      </c>
      <c r="L19" s="288" t="s">
        <v>709</v>
      </c>
      <c r="M19" s="308">
        <f>IF(K19="按租金收入计税",'数据-取费表'!B51,'数据-取费表'!B50)</f>
        <v>0.12</v>
      </c>
    </row>
    <row r="20" spans="1:37" s="1296" customFormat="1" ht="18" customHeight="1">
      <c r="A20" s="921" t="s">
        <v>402</v>
      </c>
      <c r="B20" s="288" t="s">
        <v>725</v>
      </c>
      <c r="C20" s="21">
        <f ca="1">ROUND(C19*F20,0)</f>
        <v>52</v>
      </c>
      <c r="D20" s="309" t="s">
        <v>726</v>
      </c>
      <c r="E20" s="288" t="s">
        <v>709</v>
      </c>
      <c r="F20" s="308">
        <f>'数据-取费表'!B37</f>
        <v>0.03</v>
      </c>
      <c r="G20" s="1295"/>
      <c r="H20" s="921" t="s">
        <v>677</v>
      </c>
      <c r="I20" s="141" t="s">
        <v>727</v>
      </c>
      <c r="J20" s="22">
        <f ca="1">ROUND(M20*M21/10000,2)</f>
        <v>0</v>
      </c>
      <c r="K20" s="310" t="s">
        <v>728</v>
      </c>
      <c r="L20" s="288" t="s">
        <v>729</v>
      </c>
      <c r="M20" s="311">
        <f>'数据-取费表'!B52</f>
        <v>3</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730</v>
      </c>
      <c r="C21" s="21" t="s">
        <v>0</v>
      </c>
      <c r="D21" s="309" t="s">
        <v>731</v>
      </c>
      <c r="E21" s="288" t="s">
        <v>732</v>
      </c>
      <c r="F21" s="308">
        <f>'数据-取费表'!B38</f>
        <v>0.03</v>
      </c>
      <c r="G21" s="1295"/>
      <c r="H21" s="312"/>
      <c r="I21" s="297"/>
      <c r="J21" s="26"/>
      <c r="K21" s="313"/>
      <c r="L21" s="288" t="s">
        <v>733</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680</v>
      </c>
      <c r="B22" s="288" t="s">
        <v>734</v>
      </c>
      <c r="C22" s="21"/>
      <c r="D22" s="117" t="str">
        <f>IF(F23&lt;=1,"单利计息。","复利计息。")&amp;"建造成本、管理费用、销售费用产生的利息。"</f>
        <v>复利计息。建造成本、管理费用、销售费用产生的利息。</v>
      </c>
      <c r="E22" s="1261"/>
      <c r="F22" s="23"/>
      <c r="G22" s="1284"/>
      <c r="H22" s="921" t="s">
        <v>402</v>
      </c>
      <c r="I22" s="288" t="s">
        <v>735</v>
      </c>
      <c r="J22" s="21">
        <f ca="1">ROUND(J14*M22,2)</f>
        <v>12.26</v>
      </c>
      <c r="K22" s="1248" t="s">
        <v>736</v>
      </c>
      <c r="L22" s="288" t="s">
        <v>709</v>
      </c>
      <c r="M22" s="314">
        <f ca="1">INDIRECT("'数据-取费表'!Ak"&amp;$G$1)</f>
        <v>5.0000000000000001E-3</v>
      </c>
    </row>
    <row r="23" spans="1:37" s="1296" customFormat="1" ht="18" customHeight="1">
      <c r="A23" s="921" t="s">
        <v>397</v>
      </c>
      <c r="B23" s="288" t="s">
        <v>737</v>
      </c>
      <c r="C23" s="21">
        <f ca="1">IF('数据-取费表'!B22&lt;=1,ROUND(C19*F24*F23/2,0)+ROUND(C20*F24*F23/2,0),ROUND(C19*(POWER((1+F24),F23/2)-1),0)+ROUND(C20*(POWER((1+F24),F23/2)-1),0))</f>
        <v>93</v>
      </c>
      <c r="D23" s="132" t="str">
        <f>IF(F23&lt;=1,"(建造成本+管理费用)×利率×(建设周期÷2)","(建造成本+管理费用)×((1+利率)^(建设周期÷2)-1)")</f>
        <v>(建造成本+管理费用)×((1+利率)^(建设周期÷2)-1)</v>
      </c>
      <c r="E23" s="288" t="s">
        <v>738</v>
      </c>
      <c r="F23" s="311">
        <f>'数据-取费表'!B20</f>
        <v>3</v>
      </c>
      <c r="G23" s="1295"/>
      <c r="H23" s="921" t="s">
        <v>437</v>
      </c>
      <c r="I23" s="288" t="s">
        <v>739</v>
      </c>
      <c r="J23" s="21">
        <f ca="1">ROUND(J13*M23,2)</f>
        <v>0</v>
      </c>
      <c r="K23" s="1248" t="s">
        <v>740</v>
      </c>
      <c r="L23" s="288" t="s">
        <v>709</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399</v>
      </c>
      <c r="B24" s="288" t="s">
        <v>743</v>
      </c>
      <c r="C24" s="21">
        <f ca="1">ROUND(IF('数据-取费表'!B22&lt;=1,F21*F24*F23/2,F21*(POWER((1+F24),F23/2)-1)),4)</f>
        <v>1.6000000000000001E-3</v>
      </c>
      <c r="D24" s="132" t="str">
        <f>IF(F23&lt;=1,"销售费用×利率×(建设周期÷2)","销售费用×((1+利率)^(建设周期÷2)-1)")</f>
        <v>销售费用×((1+利率)^(建设周期÷2)-1)</v>
      </c>
      <c r="E24" s="288" t="s">
        <v>744</v>
      </c>
      <c r="F24" s="316">
        <f ca="1">'数据-取费表'!B40</f>
        <v>3.4500000000000003E-2</v>
      </c>
      <c r="G24" s="1295"/>
      <c r="H24" s="1019" t="s">
        <v>680</v>
      </c>
      <c r="I24" s="1020" t="s">
        <v>725</v>
      </c>
      <c r="J24" s="1021">
        <f ca="1">ROUND(J5*M24,2)</f>
        <v>0</v>
      </c>
      <c r="K24" s="1022" t="s">
        <v>745</v>
      </c>
      <c r="L24" s="1020" t="s">
        <v>709</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746</v>
      </c>
      <c r="B25" s="288" t="s">
        <v>747</v>
      </c>
      <c r="C25" s="21"/>
      <c r="D25" s="117" t="s">
        <v>748</v>
      </c>
      <c r="E25" s="1261"/>
      <c r="F25" s="23"/>
      <c r="G25" s="1284"/>
      <c r="H25" s="1009" t="s">
        <v>394</v>
      </c>
      <c r="I25" s="1024" t="s">
        <v>749</v>
      </c>
      <c r="J25" s="296">
        <f ca="1">J5-J16</f>
        <v>-12</v>
      </c>
      <c r="K25" s="1025" t="s">
        <v>750</v>
      </c>
      <c r="L25" s="1026"/>
      <c r="M25" s="1027"/>
    </row>
    <row r="26" spans="1:37">
      <c r="A26" s="921" t="s">
        <v>397</v>
      </c>
      <c r="B26" s="288" t="s">
        <v>751</v>
      </c>
      <c r="C26" s="21">
        <f ca="1">ROUND((C19+C20)*F26,0)</f>
        <v>356</v>
      </c>
      <c r="D26" s="309" t="s">
        <v>752</v>
      </c>
      <c r="E26" s="299" t="s">
        <v>753</v>
      </c>
      <c r="F26" s="298">
        <f ca="1">INDIRECT("'数据-取费表'!q"&amp;$G$1)</f>
        <v>0.2</v>
      </c>
      <c r="G26" s="1284"/>
      <c r="H26" s="285" t="s">
        <v>395</v>
      </c>
      <c r="I26" s="286" t="s">
        <v>754</v>
      </c>
      <c r="J26" s="287">
        <f ca="1">IF(J5&lt;&gt;0,ROUND(J25*(1-((1+M28)/(1+M26))^M27)/(M26-M28),0),0)</f>
        <v>0</v>
      </c>
      <c r="K26" s="310" t="s">
        <v>755</v>
      </c>
      <c r="L26" s="288" t="s">
        <v>756</v>
      </c>
      <c r="M26" s="298">
        <f ca="1">INDIRECT("'数据-取费表'!I"&amp;$G$1)</f>
        <v>5.5E-2</v>
      </c>
    </row>
    <row r="27" spans="1:37" ht="18" customHeight="1">
      <c r="A27" s="921" t="s">
        <v>399</v>
      </c>
      <c r="B27" s="288" t="s">
        <v>757</v>
      </c>
      <c r="C27" s="21">
        <f ca="1">ROUND(F21*F26,4)</f>
        <v>6.0000000000000001E-3</v>
      </c>
      <c r="D27" s="309" t="s">
        <v>758</v>
      </c>
      <c r="E27" s="306"/>
      <c r="F27" s="307"/>
      <c r="G27" s="1284"/>
      <c r="H27" s="290"/>
      <c r="I27" s="291"/>
      <c r="J27" s="292"/>
      <c r="K27" s="317" t="s">
        <v>759</v>
      </c>
      <c r="L27" s="288" t="s">
        <v>760</v>
      </c>
      <c r="M27" s="318">
        <f ca="1">INDIRECT("'数据-取费表'!ag"&amp;$G$1)</f>
        <v>0</v>
      </c>
    </row>
    <row r="28" spans="1:37" s="1296" customFormat="1" ht="18" customHeight="1">
      <c r="A28" s="921" t="s">
        <v>400</v>
      </c>
      <c r="B28" s="288" t="s">
        <v>761</v>
      </c>
      <c r="C28" s="21">
        <f>ROUND(F28/(1+'数据-取费表'!C42),4)</f>
        <v>5.33E-2</v>
      </c>
      <c r="D28" s="309" t="s">
        <v>762</v>
      </c>
      <c r="E28" s="288" t="s">
        <v>709</v>
      </c>
      <c r="F28" s="308">
        <f>'数据-取费表'!B41</f>
        <v>5.6000000000000001E-2</v>
      </c>
      <c r="G28" s="1295"/>
      <c r="H28" s="294"/>
      <c r="I28" s="295"/>
      <c r="J28" s="296"/>
      <c r="K28" s="313"/>
      <c r="L28" s="288" t="s">
        <v>763</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764</v>
      </c>
      <c r="C29" s="1021">
        <f ca="1">ROUND((C19+C20+C23+C26)/(1-F21-C24-C27-C28),0)</f>
        <v>2452</v>
      </c>
      <c r="D29" s="1022"/>
      <c r="E29" s="1020"/>
      <c r="F29" s="1023"/>
      <c r="G29" s="1295"/>
      <c r="H29" s="319" t="s">
        <v>396</v>
      </c>
      <c r="I29" s="320" t="s">
        <v>765</v>
      </c>
      <c r="J29" s="321">
        <f ca="1">ROUND(J26/(1+F40)^F41,0)</f>
        <v>0</v>
      </c>
      <c r="K29" s="322" t="s">
        <v>766</v>
      </c>
      <c r="L29" s="323"/>
      <c r="M29" s="324">
        <f ca="1">INDIRECT("'数据-取费表'!k"&amp;$G$1)</f>
        <v>3127.15</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711</v>
      </c>
      <c r="C30" s="296">
        <f ca="1">ROUND(C31+C36+C37+C38,0)</f>
        <v>69</v>
      </c>
      <c r="D30" s="1017" t="s">
        <v>712</v>
      </c>
      <c r="E30" s="1018"/>
      <c r="F30" s="1002"/>
      <c r="G30" s="1284"/>
      <c r="H30" s="2451"/>
      <c r="I30" s="1297"/>
      <c r="J30" s="1298"/>
      <c r="K30" s="115"/>
      <c r="L30" s="2452"/>
      <c r="M30" s="2453"/>
    </row>
    <row r="31" spans="1:37" ht="18" customHeight="1">
      <c r="A31" s="921" t="s">
        <v>398</v>
      </c>
      <c r="B31" s="288" t="s">
        <v>716</v>
      </c>
      <c r="C31" s="2132">
        <f ca="1">ROUND(IF(AND(项目基本情况!B11="自然人",项目基本情况!B10="北京市"),C6*F31/(1+'数据-取费表'!C42),C32+C33+C34),2)</f>
        <v>51.63</v>
      </c>
      <c r="D31" s="1249" t="s">
        <v>717</v>
      </c>
      <c r="E31" s="1248" t="s">
        <v>767</v>
      </c>
      <c r="F31" s="2131" t="str">
        <f>IF(项目基本情况!B11="企业","——",IF(M47="住宅",IF(F6*F7*F8/12/(1+'数据-取费表'!F30)&gt;100000,4%,2.5%),IF(F6*F7*F8/12/(1+'数据-取费表'!F30)&gt;100000,12%,7%)))</f>
        <v>——</v>
      </c>
      <c r="G31" s="1284"/>
      <c r="H31" s="2550" t="s">
        <v>2304</v>
      </c>
      <c r="I31" s="1297"/>
      <c r="J31" s="1298"/>
      <c r="K31" s="115"/>
      <c r="L31" s="2452"/>
      <c r="M31" s="2453"/>
    </row>
    <row r="32" spans="1:37" ht="18" customHeight="1">
      <c r="A32" s="921" t="s">
        <v>397</v>
      </c>
      <c r="B32" s="288" t="s">
        <v>720</v>
      </c>
      <c r="C32" s="21">
        <f ca="1">IF(项目基本情况!B11="自然人","——",ROUND(C6*F32/(1+'数据-取费表'!C42),2))</f>
        <v>16.43</v>
      </c>
      <c r="D32" s="1248" t="s">
        <v>721</v>
      </c>
      <c r="E32" s="288" t="s">
        <v>709</v>
      </c>
      <c r="F32" s="316">
        <f>'数据-取费表'!B41</f>
        <v>5.6000000000000001E-2</v>
      </c>
      <c r="G32" s="1284"/>
      <c r="H32" s="2451"/>
      <c r="I32" s="1297"/>
      <c r="J32" s="1298"/>
      <c r="K32" s="115"/>
      <c r="L32" s="2452"/>
      <c r="M32" s="2453"/>
    </row>
    <row r="33" spans="1:18" ht="18" customHeight="1">
      <c r="A33" s="921" t="s">
        <v>399</v>
      </c>
      <c r="B33" s="288" t="s">
        <v>724</v>
      </c>
      <c r="C33" s="21">
        <f ca="1">IF(项目基本情况!B11="自然人","——",IF(D33="按租金收入计税",ROUND(C6*F33/(1+'数据-取费表'!C42),2),IF(D33="按房产原值计税",ROUND(C29*F33*0.7,2),INDIRECT("'数据-取费表'!Aj"&amp;$G$1))))</f>
        <v>35.200000000000003</v>
      </c>
      <c r="D33" s="1270" t="s">
        <v>3333</v>
      </c>
      <c r="E33" s="288" t="s">
        <v>709</v>
      </c>
      <c r="F33" s="308">
        <f>IF(D33="按票据","——",IF(D33="按租金收入计税",'数据-取费表'!B51,'数据-取费表'!B50))</f>
        <v>0.12</v>
      </c>
      <c r="G33" s="1284"/>
      <c r="H33" s="2454"/>
      <c r="I33" s="1297"/>
      <c r="J33" s="1298"/>
      <c r="K33" s="2455"/>
      <c r="L33" s="2454"/>
      <c r="M33" s="2454"/>
    </row>
    <row r="34" spans="1:18" ht="18" customHeight="1">
      <c r="A34" s="999" t="s">
        <v>677</v>
      </c>
      <c r="B34" s="141" t="s">
        <v>727</v>
      </c>
      <c r="C34" s="22">
        <f ca="1">IF(项目基本情况!B11="自然人","——",ROUND(F34*F35/10000,2))</f>
        <v>0</v>
      </c>
      <c r="D34" s="310" t="s">
        <v>728</v>
      </c>
      <c r="E34" s="288" t="s">
        <v>729</v>
      </c>
      <c r="F34" s="311">
        <f>'数据-取费表'!B52</f>
        <v>3</v>
      </c>
      <c r="G34" s="1284"/>
      <c r="H34" s="2451"/>
      <c r="I34" s="1297"/>
      <c r="J34" s="1298"/>
      <c r="K34" s="2456"/>
      <c r="L34" s="2457"/>
      <c r="M34" s="2457"/>
    </row>
    <row r="35" spans="1:18" ht="18" customHeight="1">
      <c r="A35" s="1033"/>
      <c r="B35" s="1031"/>
      <c r="C35" s="26"/>
      <c r="D35" s="313"/>
      <c r="E35" s="288" t="s">
        <v>733</v>
      </c>
      <c r="F35" s="289">
        <f ca="1">INDIRECT("'数据-取费表'!r"&amp;$G$1)</f>
        <v>0</v>
      </c>
      <c r="G35" s="1284"/>
      <c r="H35" s="2451"/>
      <c r="I35" s="1297"/>
      <c r="J35" s="1298"/>
      <c r="K35" s="2455"/>
      <c r="L35" s="2454"/>
      <c r="M35" s="2454"/>
    </row>
    <row r="36" spans="1:18" ht="18" customHeight="1">
      <c r="A36" s="1032" t="s">
        <v>402</v>
      </c>
      <c r="B36" s="288" t="s">
        <v>735</v>
      </c>
      <c r="C36" s="21">
        <f ca="1">ROUND(C29*F36,2)</f>
        <v>12.26</v>
      </c>
      <c r="D36" s="1248" t="s">
        <v>768</v>
      </c>
      <c r="E36" s="288" t="s">
        <v>709</v>
      </c>
      <c r="F36" s="314">
        <f ca="1">INDIRECT("'数据-取费表'!Ak"&amp;$G$1)</f>
        <v>5.0000000000000001E-3</v>
      </c>
      <c r="G36" s="1284"/>
      <c r="H36" s="2454"/>
      <c r="I36" s="1297"/>
      <c r="J36" s="1298"/>
      <c r="K36" s="2314"/>
      <c r="L36" s="2454"/>
      <c r="M36" s="2454"/>
    </row>
    <row r="37" spans="1:18" ht="18" customHeight="1">
      <c r="A37" s="921" t="s">
        <v>437</v>
      </c>
      <c r="B37" s="288" t="s">
        <v>739</v>
      </c>
      <c r="C37" s="21">
        <f ca="1">ROUND(C13*F37,2)</f>
        <v>2.13</v>
      </c>
      <c r="D37" s="1248" t="s">
        <v>740</v>
      </c>
      <c r="E37" s="288" t="s">
        <v>709</v>
      </c>
      <c r="F37" s="315">
        <f ca="1">INDIRECT("'数据-取费表'!Al"&amp;$G$1)</f>
        <v>1E-3</v>
      </c>
      <c r="G37" s="1284"/>
      <c r="H37" s="2454"/>
      <c r="I37" s="1297"/>
      <c r="J37" s="1298"/>
      <c r="K37" s="2314"/>
      <c r="L37" s="2454"/>
      <c r="M37" s="2454"/>
    </row>
    <row r="38" spans="1:18" ht="18" customHeight="1" thickBot="1">
      <c r="A38" s="1019" t="s">
        <v>680</v>
      </c>
      <c r="B38" s="1020" t="s">
        <v>725</v>
      </c>
      <c r="C38" s="1021">
        <f ca="1">ROUND(C5*F38,2)</f>
        <v>3.09</v>
      </c>
      <c r="D38" s="1022" t="s">
        <v>745</v>
      </c>
      <c r="E38" s="1020" t="s">
        <v>709</v>
      </c>
      <c r="F38" s="1016">
        <f ca="1">INDIRECT("'数据-取费表'!Am"&amp;$G$1)</f>
        <v>0.01</v>
      </c>
      <c r="G38" s="1284"/>
      <c r="H38" s="2454"/>
      <c r="I38" s="1297"/>
      <c r="J38" s="1298"/>
      <c r="K38" s="2452"/>
      <c r="L38" s="2454"/>
      <c r="M38" s="2454"/>
    </row>
    <row r="39" spans="1:18" ht="24.6" customHeight="1" thickTop="1">
      <c r="A39" s="1009" t="s">
        <v>394</v>
      </c>
      <c r="B39" s="1024" t="s">
        <v>749</v>
      </c>
      <c r="C39" s="296">
        <f ca="1">C5-C30</f>
        <v>240</v>
      </c>
      <c r="D39" s="1025" t="s">
        <v>750</v>
      </c>
      <c r="E39" s="1026"/>
      <c r="F39" s="1027"/>
      <c r="G39" s="1284"/>
      <c r="H39" s="2454"/>
      <c r="I39" s="1297"/>
      <c r="J39" s="1298"/>
      <c r="K39" s="2452"/>
      <c r="L39" s="2454"/>
      <c r="M39" s="2454"/>
    </row>
    <row r="40" spans="1:18" ht="18" customHeight="1">
      <c r="A40" s="285" t="s">
        <v>395</v>
      </c>
      <c r="B40" s="286" t="s">
        <v>771</v>
      </c>
      <c r="C40" s="287">
        <f ca="1">ROUND(C39*(1-((1+F42)/(1+F40))^F41)/(F40-F42),0)</f>
        <v>4069</v>
      </c>
      <c r="D40" s="310" t="s">
        <v>755</v>
      </c>
      <c r="E40" s="288" t="s">
        <v>756</v>
      </c>
      <c r="F40" s="298">
        <f ca="1">INDIRECT("'数据-取费表'!I"&amp;$G$1)</f>
        <v>5.5E-2</v>
      </c>
      <c r="G40" s="1284"/>
      <c r="H40" s="1358"/>
      <c r="I40" s="1297"/>
      <c r="J40" s="1298"/>
      <c r="K40" s="2452"/>
      <c r="L40" s="1358"/>
      <c r="M40" s="1358"/>
    </row>
    <row r="41" spans="1:18" ht="18" customHeight="1">
      <c r="A41" s="290"/>
      <c r="B41" s="291"/>
      <c r="C41" s="292"/>
      <c r="D41" s="317" t="s">
        <v>772</v>
      </c>
      <c r="E41" s="288" t="s">
        <v>760</v>
      </c>
      <c r="F41" s="318">
        <f ca="1">IF(INDIRECT("'数据-取费表'!af"&amp;$G$1)=0,INDIRECT("'数据-取费表'!ae"&amp;$G$1),INDIRECT("'数据-取费表'!af"&amp;$G$1))</f>
        <v>26.67</v>
      </c>
      <c r="G41" s="1284"/>
      <c r="H41" s="115"/>
      <c r="I41" s="1297"/>
      <c r="J41" s="1298"/>
      <c r="K41" s="2314"/>
      <c r="L41" s="115"/>
      <c r="M41" s="115"/>
    </row>
    <row r="42" spans="1:18" ht="18" customHeight="1">
      <c r="A42" s="294"/>
      <c r="B42" s="295"/>
      <c r="C42" s="296"/>
      <c r="D42" s="313"/>
      <c r="E42" s="288" t="s">
        <v>763</v>
      </c>
      <c r="F42" s="298">
        <f ca="1">INDIRECT("'数据-取费表'!v"&amp;$G$1)</f>
        <v>0.02</v>
      </c>
      <c r="G42" s="1284"/>
      <c r="H42" s="115"/>
      <c r="I42" s="1297"/>
      <c r="J42" s="1298"/>
      <c r="K42" s="2314"/>
      <c r="L42" s="115"/>
      <c r="M42" s="115"/>
    </row>
    <row r="43" spans="1:18" ht="18" customHeight="1" thickBot="1">
      <c r="A43" s="319" t="s">
        <v>396</v>
      </c>
      <c r="B43" s="320" t="s">
        <v>773</v>
      </c>
      <c r="C43" s="321">
        <f ca="1">ROUND(C40*10000/F43,0)</f>
        <v>13012</v>
      </c>
      <c r="D43" s="322" t="s">
        <v>774</v>
      </c>
      <c r="E43" s="323" t="s">
        <v>775</v>
      </c>
      <c r="F43" s="324">
        <f ca="1">INDIRECT("'数据-取费表'!k"&amp;$G$1)</f>
        <v>3127.15</v>
      </c>
      <c r="G43" s="1284"/>
      <c r="H43" s="115"/>
      <c r="I43" s="115"/>
      <c r="J43" s="115"/>
      <c r="K43" s="2314"/>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58" t="s">
        <v>805</v>
      </c>
      <c r="P45" s="1358"/>
      <c r="Q45" s="1358"/>
      <c r="R45" s="1358"/>
    </row>
    <row r="46" spans="1:18" s="1284" customFormat="1" ht="13.5" thickBot="1">
      <c r="A46" s="1303" t="s">
        <v>806</v>
      </c>
      <c r="C46" s="1304">
        <f ca="1">C68-C40</f>
        <v>-4263</v>
      </c>
      <c r="D46" s="1305" t="str">
        <f>C2</f>
        <v>万元</v>
      </c>
      <c r="E46" s="1299"/>
      <c r="F46" s="1299"/>
      <c r="I46" s="1306" t="s">
        <v>807</v>
      </c>
      <c r="J46" s="1307"/>
      <c r="K46" s="1308"/>
      <c r="L46" s="1309">
        <f ca="1">IF(M47="住宅",0,IF(L48&gt;J51,L60,J60))</f>
        <v>150</v>
      </c>
      <c r="O46" s="1310" t="s">
        <v>808</v>
      </c>
      <c r="P46" s="1311" t="s">
        <v>809</v>
      </c>
      <c r="Q46" s="1312" t="s">
        <v>810</v>
      </c>
      <c r="R46" s="1312" t="s">
        <v>811</v>
      </c>
    </row>
    <row r="47" spans="1:18" s="1284" customFormat="1" ht="13.5" thickBot="1">
      <c r="A47" s="885" t="s">
        <v>684</v>
      </c>
      <c r="B47" s="917" t="s">
        <v>685</v>
      </c>
      <c r="C47" s="1047" t="s">
        <v>686</v>
      </c>
      <c r="D47" s="917" t="s">
        <v>687</v>
      </c>
      <c r="E47" s="988" t="s">
        <v>688</v>
      </c>
      <c r="F47" s="989"/>
      <c r="G47" s="673"/>
      <c r="I47" s="1313" t="s">
        <v>812</v>
      </c>
      <c r="J47" s="1314" t="s">
        <v>3706</v>
      </c>
      <c r="K47" s="1315" t="s">
        <v>813</v>
      </c>
      <c r="L47" s="1316">
        <f ca="1">INDIRECT("'数据-取费表'!d"&amp;$G$1)</f>
        <v>40</v>
      </c>
      <c r="M47" s="1280" t="str">
        <f>IF(ISNUMBER(FIND("住宅",C1)),"住宅","非住宅")</f>
        <v>非住宅</v>
      </c>
      <c r="O47" s="1317" t="s">
        <v>403</v>
      </c>
      <c r="P47" s="1318" t="s">
        <v>814</v>
      </c>
      <c r="Q47" s="1319">
        <f ca="1">C40+J29</f>
        <v>4069</v>
      </c>
      <c r="R47" s="1319" t="s">
        <v>815</v>
      </c>
    </row>
    <row r="48" spans="1:18" s="1284" customFormat="1" ht="28.5" thickBot="1">
      <c r="A48" s="1040" t="s">
        <v>438</v>
      </c>
      <c r="B48" s="286" t="s">
        <v>689</v>
      </c>
      <c r="C48" s="1260">
        <f ca="1">C49+C53+C55</f>
        <v>0</v>
      </c>
      <c r="D48" s="1042"/>
      <c r="E48" s="1043"/>
      <c r="F48" s="901"/>
      <c r="G48" s="673"/>
      <c r="H48" s="674"/>
      <c r="I48" s="1320" t="s">
        <v>816</v>
      </c>
      <c r="J48" s="1321" t="s">
        <v>3707</v>
      </c>
      <c r="K48" s="1322" t="s">
        <v>817</v>
      </c>
      <c r="L48" s="1323">
        <f ca="1">INDIRECT("'数据-取费表'!f"&amp;$G$1)</f>
        <v>26.67</v>
      </c>
      <c r="O48" s="1317" t="s">
        <v>404</v>
      </c>
      <c r="P48" s="1318" t="s">
        <v>818</v>
      </c>
      <c r="Q48" s="1319">
        <f ca="1">J60</f>
        <v>150</v>
      </c>
      <c r="R48" s="1319" t="s">
        <v>819</v>
      </c>
    </row>
    <row r="49" spans="1:18" s="1284" customFormat="1" ht="13.5" thickBot="1">
      <c r="A49" s="914" t="s">
        <v>439</v>
      </c>
      <c r="B49" s="1271" t="s">
        <v>776</v>
      </c>
      <c r="C49" s="1044">
        <f ca="1">ROUND(F49*F51*F50*(1-F52)/10000,0)</f>
        <v>0</v>
      </c>
      <c r="D49" s="985" t="s">
        <v>2104</v>
      </c>
      <c r="E49" s="1272" t="s">
        <v>777</v>
      </c>
      <c r="F49" s="990"/>
      <c r="H49" s="674"/>
      <c r="I49" s="1320" t="s">
        <v>820</v>
      </c>
      <c r="J49" s="1324">
        <f>'数据-取费表'!N19</f>
        <v>2016</v>
      </c>
      <c r="K49" s="1322" t="s">
        <v>821</v>
      </c>
      <c r="L49" s="1325"/>
      <c r="O49" s="1326" t="s">
        <v>405</v>
      </c>
      <c r="P49" s="1318" t="s">
        <v>822</v>
      </c>
      <c r="Q49" s="1319">
        <f ca="1">C29</f>
        <v>2452</v>
      </c>
      <c r="R49" s="1319" t="s">
        <v>815</v>
      </c>
    </row>
    <row r="50" spans="1:18" s="1284" customFormat="1" ht="13.5" thickBot="1">
      <c r="A50" s="915"/>
      <c r="B50" s="918"/>
      <c r="C50" s="1048"/>
      <c r="D50" s="892"/>
      <c r="E50" s="986" t="s">
        <v>694</v>
      </c>
      <c r="F50" s="987">
        <f ca="1">F7</f>
        <v>3127.15</v>
      </c>
      <c r="H50" s="674"/>
      <c r="I50" s="1320" t="s">
        <v>823</v>
      </c>
      <c r="J50" s="1327">
        <f>SUMPRODUCT((I63:I65=J47)*(J62:L62=J48)*(J63:L65))</f>
        <v>60</v>
      </c>
      <c r="K50" s="1322" t="s">
        <v>824</v>
      </c>
      <c r="L50" s="1325"/>
      <c r="M50" s="1328"/>
      <c r="O50" s="1326" t="s">
        <v>406</v>
      </c>
      <c r="P50" s="1318" t="s">
        <v>825</v>
      </c>
      <c r="Q50" s="1329">
        <f ca="1">J58</f>
        <v>0.42199999999999999</v>
      </c>
      <c r="R50" s="1319"/>
    </row>
    <row r="51" spans="1:18" s="1284" customFormat="1" ht="13.5" thickBot="1">
      <c r="A51" s="916"/>
      <c r="B51" s="918"/>
      <c r="C51" s="919"/>
      <c r="D51" s="892"/>
      <c r="E51" s="920" t="s">
        <v>695</v>
      </c>
      <c r="F51" s="289">
        <f ca="1">F8</f>
        <v>365</v>
      </c>
      <c r="I51" s="1330" t="s">
        <v>826</v>
      </c>
      <c r="J51" s="1323">
        <f>IF(J49="",J50,J49+J50-YEAR('数据-取费表'!B2))</f>
        <v>52</v>
      </c>
      <c r="K51" s="1331" t="s">
        <v>827</v>
      </c>
      <c r="L51" s="1332">
        <f ca="1">ROUND(-PV(INDIRECT("'数据-取费表'!h"&amp;$G$1),J51,(C39-C13*C76),0),0)</f>
        <v>1474</v>
      </c>
      <c r="M51" s="1333"/>
      <c r="O51" s="1326" t="s">
        <v>407</v>
      </c>
      <c r="P51" s="1318" t="s">
        <v>828</v>
      </c>
      <c r="Q51" s="1329">
        <f>J52</f>
        <v>7.4999999999999997E-2</v>
      </c>
      <c r="R51" s="1319"/>
    </row>
    <row r="52" spans="1:18" s="1284" customFormat="1" ht="13.5" thickBot="1">
      <c r="A52" s="916"/>
      <c r="B52" s="918"/>
      <c r="C52" s="919"/>
      <c r="D52" s="892"/>
      <c r="E52" s="920" t="s">
        <v>696</v>
      </c>
      <c r="F52" s="984"/>
      <c r="I52" s="1334" t="s">
        <v>829</v>
      </c>
      <c r="J52" s="3274">
        <v>7.4999999999999997E-2</v>
      </c>
      <c r="K52" s="1334" t="s">
        <v>830</v>
      </c>
      <c r="L52" s="1335"/>
      <c r="O52" s="1326" t="s">
        <v>408</v>
      </c>
      <c r="P52" s="1318" t="s">
        <v>831</v>
      </c>
      <c r="Q52" s="1319">
        <f ca="1">J53</f>
        <v>26.67</v>
      </c>
      <c r="R52" s="1319" t="s">
        <v>832</v>
      </c>
    </row>
    <row r="53" spans="1:18" s="1284" customFormat="1" ht="24.75" thickBot="1">
      <c r="A53" s="1072" t="s">
        <v>440</v>
      </c>
      <c r="B53" s="1273" t="s">
        <v>697</v>
      </c>
      <c r="C53" s="302">
        <f ca="1">ROUND(IF(F53="押一",C49/12*F11,IF(F53="押二",C49/12*2*F11,IF(F53="押三",C49/12*3*F11,C54*F11))),0)</f>
        <v>0</v>
      </c>
      <c r="D53" s="144" t="s">
        <v>2110</v>
      </c>
      <c r="E53" s="299" t="s">
        <v>698</v>
      </c>
      <c r="F53" s="1046"/>
      <c r="I53" s="1336" t="s">
        <v>833</v>
      </c>
      <c r="J53" s="1998">
        <f ca="1">IF(M47="住宅",IF(D1="——",MAX(J51,L48),MAX(J51,L48-'数据-取费表'!B24)),IF(D1="——",MIN(J51,L48),MIN(J51,L48-'数据-取费表'!B24)))</f>
        <v>26.67</v>
      </c>
      <c r="K53" s="3486" t="s">
        <v>834</v>
      </c>
      <c r="L53" s="3487"/>
      <c r="O53" s="1317" t="s">
        <v>409</v>
      </c>
      <c r="P53" s="1318" t="s">
        <v>835</v>
      </c>
      <c r="Q53" s="1319">
        <f ca="1">Q47+Q48</f>
        <v>4219</v>
      </c>
      <c r="R53" s="1319" t="s">
        <v>410</v>
      </c>
    </row>
    <row r="54" spans="1:18" s="1284" customFormat="1" ht="13.5" thickBot="1">
      <c r="A54" s="1073"/>
      <c r="B54" s="1267" t="s">
        <v>676</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836</v>
      </c>
      <c r="P54" s="1281"/>
      <c r="Q54" s="1281"/>
      <c r="R54" s="1281"/>
    </row>
    <row r="55" spans="1:18" s="1284" customFormat="1" ht="13.5" thickBot="1">
      <c r="A55" s="1013" t="s">
        <v>437</v>
      </c>
      <c r="B55" s="1269" t="s">
        <v>700</v>
      </c>
      <c r="C55" s="1014"/>
      <c r="D55" s="144"/>
      <c r="E55" s="1274"/>
      <c r="F55" s="1337"/>
      <c r="I55" s="1340" t="s">
        <v>837</v>
      </c>
      <c r="J55" s="1341">
        <f ca="1">ROUND(IF(J47="钢混",J57/J50,1-(1-2%)*(J50-J57)/J50),3)</f>
        <v>0.42199999999999999</v>
      </c>
      <c r="K55" s="1342" t="s">
        <v>838</v>
      </c>
      <c r="L55" s="1343"/>
      <c r="O55" s="1310" t="s">
        <v>808</v>
      </c>
      <c r="P55" s="1311" t="s">
        <v>809</v>
      </c>
      <c r="Q55" s="1312" t="s">
        <v>810</v>
      </c>
      <c r="R55" s="1312" t="s">
        <v>811</v>
      </c>
    </row>
    <row r="56" spans="1:18" s="1284" customFormat="1" ht="25.5" thickTop="1" thickBot="1">
      <c r="A56" s="896">
        <v>2</v>
      </c>
      <c r="B56" s="897" t="s">
        <v>701</v>
      </c>
      <c r="C56" s="218">
        <f ca="1">C13</f>
        <v>2133</v>
      </c>
      <c r="D56" s="1344"/>
      <c r="E56" s="1345"/>
      <c r="F56" s="1337"/>
      <c r="I56" s="1346" t="s">
        <v>839</v>
      </c>
      <c r="J56" s="1347" t="s">
        <v>3708</v>
      </c>
      <c r="K56" s="1320" t="s">
        <v>840</v>
      </c>
      <c r="L56" s="1323" t="str">
        <f ca="1">IF(L48&lt;J51,"——",L48-J53)</f>
        <v>——</v>
      </c>
      <c r="O56" s="1317" t="s">
        <v>403</v>
      </c>
      <c r="P56" s="1318" t="s">
        <v>814</v>
      </c>
      <c r="Q56" s="1319">
        <f ca="1">C40+J29</f>
        <v>4069</v>
      </c>
      <c r="R56" s="1319" t="s">
        <v>815</v>
      </c>
    </row>
    <row r="57" spans="1:18" s="1284" customFormat="1" ht="24.75" thickBot="1">
      <c r="A57" s="1348"/>
      <c r="B57" s="889" t="s">
        <v>764</v>
      </c>
      <c r="C57" s="224">
        <f ca="1">C29</f>
        <v>2452</v>
      </c>
      <c r="D57" s="1349"/>
      <c r="E57" s="1350"/>
      <c r="F57" s="1351"/>
      <c r="I57" s="1352" t="s">
        <v>841</v>
      </c>
      <c r="J57" s="1353">
        <f ca="1">IF(OR(M47="住宅",J51&lt;L48,J56="是"),"——",J51-L48)</f>
        <v>25.33</v>
      </c>
      <c r="K57" s="1320" t="s">
        <v>842</v>
      </c>
      <c r="L57" s="1323" t="str">
        <f ca="1">IF(L48&lt;J51,"——",IF(L55="比较法",L49,IF(L55="基准地价",L50,L51)))</f>
        <v>——</v>
      </c>
      <c r="O57" s="1317" t="s">
        <v>404</v>
      </c>
      <c r="P57" s="1318" t="s">
        <v>843</v>
      </c>
      <c r="Q57" s="1319">
        <f ca="1">L60</f>
        <v>0</v>
      </c>
      <c r="R57" s="1319" t="s">
        <v>844</v>
      </c>
    </row>
    <row r="58" spans="1:18" s="1284" customFormat="1" ht="24.75" thickBot="1">
      <c r="A58" s="301" t="s">
        <v>393</v>
      </c>
      <c r="B58" s="897" t="s">
        <v>711</v>
      </c>
      <c r="C58" s="302">
        <f ca="1">ROUND(C59+C64+C65+C66,0)</f>
        <v>14</v>
      </c>
      <c r="D58" s="899" t="s">
        <v>712</v>
      </c>
      <c r="E58" s="900"/>
      <c r="F58" s="901"/>
      <c r="I58" s="1352" t="s">
        <v>845</v>
      </c>
      <c r="J58" s="1354">
        <f ca="1">IF(J55&lt;0.4,0.4,J55)</f>
        <v>0.42199999999999999</v>
      </c>
      <c r="K58" s="1331" t="s">
        <v>846</v>
      </c>
      <c r="L58" s="1323" t="e">
        <f ca="1">ROUND(POWER(1+L52,L47-L48)*(POWER(1+L52,L48)-1)/(POWER(1+L52,L47)-1),4)</f>
        <v>#DIV/0!</v>
      </c>
      <c r="O58" s="1326" t="s">
        <v>405</v>
      </c>
      <c r="P58" s="1318" t="s">
        <v>847</v>
      </c>
      <c r="Q58" s="1319">
        <f>IF(L55="比较法",L49,IF(L55="基准地价",L50,0))</f>
        <v>0</v>
      </c>
      <c r="R58" s="1319" t="s">
        <v>815</v>
      </c>
    </row>
    <row r="59" spans="1:18" s="1284" customFormat="1" ht="24.75" thickBot="1">
      <c r="A59" s="921" t="s">
        <v>398</v>
      </c>
      <c r="B59" s="889" t="s">
        <v>716</v>
      </c>
      <c r="C59" s="2132">
        <f ca="1">ROUND(IF(AND(项目基本情况!B11="自然人",项目基本情况!B10="北京市"),C49*F59/(1+'数据-取费表'!C42),C60+C61+C62),0)</f>
        <v>0</v>
      </c>
      <c r="D59" s="902" t="s">
        <v>717</v>
      </c>
      <c r="E59" s="903" t="s">
        <v>718</v>
      </c>
      <c r="F59" s="2131" t="str">
        <f>IF(项目基本情况!B11="企业","——",IF('数据-取费表'!B10="住宅",IF(F49*F50*F51/12/(1+'数据-取费表'!F30)&gt;100000,4%,2.5%),IF(F49*F50*F51/12/(1+'数据-取费表'!F30)&gt;100000,12%,7%)))</f>
        <v>——</v>
      </c>
      <c r="I59" s="1352" t="s">
        <v>848</v>
      </c>
      <c r="J59" s="1353">
        <f ca="1">IF(OR(M47="住宅",J51&lt;L48,J56="是"),"——",ROUND(C29*J58,0))</f>
        <v>1035</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849</v>
      </c>
      <c r="Q59" s="1329">
        <f>L52</f>
        <v>0</v>
      </c>
      <c r="R59" s="1319"/>
    </row>
    <row r="60" spans="1:18" s="1284" customFormat="1" ht="16.5" thickBot="1">
      <c r="A60" s="921" t="s">
        <v>397</v>
      </c>
      <c r="B60" s="889" t="s">
        <v>720</v>
      </c>
      <c r="C60" s="21">
        <f ca="1">IF(项目基本情况!B11="自然人","——",ROUND(C48*F60/(1+'数据-取费表'!C42),2))</f>
        <v>0</v>
      </c>
      <c r="D60" s="903" t="s">
        <v>721</v>
      </c>
      <c r="E60" s="889" t="s">
        <v>709</v>
      </c>
      <c r="F60" s="316">
        <f t="shared" ref="F60:F66" si="0">F32</f>
        <v>5.6000000000000001E-2</v>
      </c>
      <c r="I60" s="1355" t="s">
        <v>850</v>
      </c>
      <c r="J60" s="1356">
        <f ca="1">IF(OR(M47="住宅",J51&lt;L48,J56="是"),"0",ROUND(J59/(1+J52)^J53,0))</f>
        <v>150</v>
      </c>
      <c r="K60" s="1357" t="s">
        <v>851</v>
      </c>
      <c r="L60" s="1356">
        <f ca="1">IF(OR(M47="住宅",L48&lt;J51),0,ROUND(L57*(L58/L59-1),0))</f>
        <v>0</v>
      </c>
      <c r="O60" s="1326" t="s">
        <v>407</v>
      </c>
      <c r="P60" s="1318" t="s">
        <v>852</v>
      </c>
      <c r="Q60" s="1319" t="e">
        <f ca="1">L58</f>
        <v>#DIV/0!</v>
      </c>
      <c r="R60" s="1319" t="s">
        <v>853</v>
      </c>
    </row>
    <row r="61" spans="1:18" s="1284" customFormat="1" ht="13.5" thickBot="1">
      <c r="A61" s="921" t="s">
        <v>778</v>
      </c>
      <c r="B61" s="889" t="s">
        <v>724</v>
      </c>
      <c r="C61" s="21">
        <f ca="1">IF(项目基本情况!B11="自然人","——",IF(D61="按租金收入计税",ROUND(C49*F61/(1+'数据-取费表'!C42),2),IF(D61="按房产原值计税",ROUND(C57*F61*0.7,2),INDIRECT("'数据-取费表'!Aj"&amp;$G$1))))</f>
        <v>0</v>
      </c>
      <c r="D61" s="1270" t="s">
        <v>3333</v>
      </c>
      <c r="E61" s="889" t="s">
        <v>709</v>
      </c>
      <c r="F61" s="308">
        <f t="shared" si="0"/>
        <v>0.12</v>
      </c>
      <c r="I61" s="1358"/>
      <c r="J61" s="1358"/>
      <c r="K61" s="1358"/>
      <c r="L61" s="1358"/>
      <c r="O61" s="1326" t="s">
        <v>408</v>
      </c>
      <c r="P61" s="1318" t="str">
        <f>K59</f>
        <v>建筑物剩余耐用年限下的土地年期修正系数Kn</v>
      </c>
      <c r="Q61" s="1319" t="e">
        <f ca="1">L59</f>
        <v>#DIV/0!</v>
      </c>
      <c r="R61" s="1319" t="s">
        <v>854</v>
      </c>
    </row>
    <row r="62" spans="1:18" s="1284" customFormat="1" ht="13.5" thickBot="1">
      <c r="A62" s="921" t="s">
        <v>781</v>
      </c>
      <c r="B62" s="888" t="s">
        <v>727</v>
      </c>
      <c r="C62" s="22">
        <f ca="1">IF(项目基本情况!B11="自然人","——",ROUND(F62*F63/10000,2))</f>
        <v>0</v>
      </c>
      <c r="D62" s="904" t="s">
        <v>728</v>
      </c>
      <c r="E62" s="889" t="s">
        <v>729</v>
      </c>
      <c r="F62" s="311">
        <f t="shared" si="0"/>
        <v>3</v>
      </c>
      <c r="I62" s="1359" t="s">
        <v>855</v>
      </c>
      <c r="J62" s="604" t="s">
        <v>856</v>
      </c>
      <c r="K62" s="604" t="s">
        <v>857</v>
      </c>
      <c r="L62" s="604" t="s">
        <v>858</v>
      </c>
      <c r="M62" s="1360" t="s">
        <v>859</v>
      </c>
      <c r="O62" s="1317" t="s">
        <v>409</v>
      </c>
      <c r="P62" s="1318" t="s">
        <v>835</v>
      </c>
      <c r="Q62" s="1319">
        <f ca="1">Q56+Q57</f>
        <v>4069</v>
      </c>
      <c r="R62" s="1319" t="s">
        <v>410</v>
      </c>
    </row>
    <row r="63" spans="1:18" s="1284" customFormat="1" ht="13.5" thickBot="1">
      <c r="A63" s="312"/>
      <c r="B63" s="895"/>
      <c r="C63" s="26"/>
      <c r="D63" s="905"/>
      <c r="E63" s="889" t="s">
        <v>733</v>
      </c>
      <c r="F63" s="289">
        <f t="shared" ca="1" si="0"/>
        <v>0</v>
      </c>
      <c r="I63" s="1359" t="s">
        <v>861</v>
      </c>
      <c r="J63" s="604">
        <v>70</v>
      </c>
      <c r="K63" s="604">
        <v>50</v>
      </c>
      <c r="L63" s="604">
        <v>80</v>
      </c>
      <c r="M63" s="1361">
        <v>0.02</v>
      </c>
      <c r="O63" s="1302" t="s">
        <v>862</v>
      </c>
      <c r="P63" s="1281"/>
      <c r="Q63" s="1281"/>
      <c r="R63" s="1281"/>
    </row>
    <row r="64" spans="1:18" s="1284" customFormat="1" ht="13.5" thickBot="1">
      <c r="A64" s="921" t="s">
        <v>402</v>
      </c>
      <c r="B64" s="889" t="s">
        <v>735</v>
      </c>
      <c r="C64" s="21">
        <f ca="1">ROUND(C57*F64,2)</f>
        <v>12.26</v>
      </c>
      <c r="D64" s="903" t="s">
        <v>768</v>
      </c>
      <c r="E64" s="889" t="s">
        <v>709</v>
      </c>
      <c r="F64" s="314">
        <f t="shared" ca="1" si="0"/>
        <v>5.0000000000000001E-3</v>
      </c>
      <c r="I64" s="1359" t="s">
        <v>863</v>
      </c>
      <c r="J64" s="604">
        <v>50</v>
      </c>
      <c r="K64" s="604">
        <v>35</v>
      </c>
      <c r="L64" s="604">
        <v>60</v>
      </c>
      <c r="M64" s="1360">
        <v>0</v>
      </c>
      <c r="O64" s="1310" t="s">
        <v>808</v>
      </c>
      <c r="P64" s="1311" t="s">
        <v>809</v>
      </c>
      <c r="Q64" s="1312" t="s">
        <v>810</v>
      </c>
      <c r="R64" s="1312" t="s">
        <v>811</v>
      </c>
    </row>
    <row r="65" spans="1:18" s="1284" customFormat="1" ht="13.5" thickBot="1">
      <c r="A65" s="921" t="s">
        <v>789</v>
      </c>
      <c r="B65" s="889" t="s">
        <v>739</v>
      </c>
      <c r="C65" s="21">
        <f ca="1">ROUND(C56*F65,2)</f>
        <v>2.13</v>
      </c>
      <c r="D65" s="903" t="s">
        <v>740</v>
      </c>
      <c r="E65" s="889" t="s">
        <v>709</v>
      </c>
      <c r="F65" s="315">
        <f t="shared" ca="1" si="0"/>
        <v>1E-3</v>
      </c>
      <c r="I65" s="1359" t="s">
        <v>864</v>
      </c>
      <c r="J65" s="604">
        <v>40</v>
      </c>
      <c r="K65" s="604">
        <v>30</v>
      </c>
      <c r="L65" s="604">
        <v>50</v>
      </c>
      <c r="M65" s="1361">
        <v>0.02</v>
      </c>
      <c r="O65" s="1317" t="s">
        <v>403</v>
      </c>
      <c r="P65" s="1318" t="s">
        <v>814</v>
      </c>
      <c r="Q65" s="1319">
        <f ca="1">C40+J29</f>
        <v>4069</v>
      </c>
      <c r="R65" s="1319" t="s">
        <v>815</v>
      </c>
    </row>
    <row r="66" spans="1:18" s="1284" customFormat="1" ht="16.5" thickBot="1">
      <c r="A66" s="921" t="s">
        <v>790</v>
      </c>
      <c r="B66" s="889" t="s">
        <v>725</v>
      </c>
      <c r="C66" s="21">
        <f ca="1">ROUND(C48*F66,2)</f>
        <v>0</v>
      </c>
      <c r="D66" s="903" t="s">
        <v>745</v>
      </c>
      <c r="E66" s="889" t="s">
        <v>709</v>
      </c>
      <c r="F66" s="298">
        <f t="shared" ca="1" si="0"/>
        <v>0.01</v>
      </c>
      <c r="O66" s="1317" t="s">
        <v>404</v>
      </c>
      <c r="P66" s="1318" t="s">
        <v>843</v>
      </c>
      <c r="Q66" s="1319">
        <f ca="1">L60</f>
        <v>0</v>
      </c>
      <c r="R66" s="1319" t="s">
        <v>866</v>
      </c>
    </row>
    <row r="67" spans="1:18" s="1284" customFormat="1" ht="16.5" thickBot="1">
      <c r="A67" s="896" t="s">
        <v>394</v>
      </c>
      <c r="B67" s="906" t="s">
        <v>749</v>
      </c>
      <c r="C67" s="302">
        <f ca="1">C48-C58</f>
        <v>-14</v>
      </c>
      <c r="D67" s="902" t="s">
        <v>750</v>
      </c>
      <c r="E67" s="907"/>
      <c r="F67" s="908"/>
      <c r="O67" s="1326" t="s">
        <v>405</v>
      </c>
      <c r="P67" s="1318" t="s">
        <v>847</v>
      </c>
      <c r="Q67" s="1362">
        <f ca="1">L51</f>
        <v>1474</v>
      </c>
      <c r="R67" s="1319" t="s">
        <v>867</v>
      </c>
    </row>
    <row r="68" spans="1:18" s="1284" customFormat="1" ht="16.5" thickBot="1">
      <c r="A68" s="886" t="s">
        <v>395</v>
      </c>
      <c r="B68" s="887" t="s">
        <v>771</v>
      </c>
      <c r="C68" s="287">
        <f ca="1">ROUND(C67*(1-((1+F70)/(1+F68))^F69)/(F68-F70),0)</f>
        <v>-194</v>
      </c>
      <c r="D68" s="904" t="s">
        <v>755</v>
      </c>
      <c r="E68" s="889" t="s">
        <v>756</v>
      </c>
      <c r="F68" s="298">
        <f ca="1">F40</f>
        <v>5.5E-2</v>
      </c>
      <c r="O68" s="1326" t="s">
        <v>406</v>
      </c>
      <c r="P68" s="1363" t="s">
        <v>868</v>
      </c>
      <c r="Q68" s="1319">
        <f ca="1">ROUND(Q69-Q70*Q71,0)</f>
        <v>80</v>
      </c>
      <c r="R68" s="1319" t="s">
        <v>414</v>
      </c>
    </row>
    <row r="69" spans="1:18" s="1284" customFormat="1" ht="13.5" thickBot="1">
      <c r="A69" s="890"/>
      <c r="B69" s="891"/>
      <c r="C69" s="292"/>
      <c r="D69" s="909" t="s">
        <v>759</v>
      </c>
      <c r="E69" s="889" t="s">
        <v>760</v>
      </c>
      <c r="F69" s="318">
        <f ca="1">F41</f>
        <v>26.67</v>
      </c>
      <c r="O69" s="1326" t="s">
        <v>411</v>
      </c>
      <c r="P69" s="1363" t="s">
        <v>869</v>
      </c>
      <c r="Q69" s="1319">
        <f ca="1">C39</f>
        <v>240</v>
      </c>
      <c r="R69" s="1319" t="s">
        <v>815</v>
      </c>
    </row>
    <row r="70" spans="1:18" s="1284" customFormat="1" ht="13.5" thickBot="1">
      <c r="A70" s="893"/>
      <c r="B70" s="894"/>
      <c r="C70" s="296"/>
      <c r="D70" s="905"/>
      <c r="E70" s="889" t="s">
        <v>763</v>
      </c>
      <c r="F70" s="984"/>
      <c r="O70" s="1326" t="s">
        <v>412</v>
      </c>
      <c r="P70" s="1363" t="s">
        <v>870</v>
      </c>
      <c r="Q70" s="1319">
        <f ca="1">C13</f>
        <v>2133</v>
      </c>
      <c r="R70" s="1319" t="s">
        <v>815</v>
      </c>
    </row>
    <row r="71" spans="1:18" s="1284" customFormat="1" ht="13.5" thickBot="1">
      <c r="A71" s="910" t="s">
        <v>396</v>
      </c>
      <c r="B71" s="911" t="s">
        <v>773</v>
      </c>
      <c r="C71" s="321">
        <f ca="1">ROUND(C68*10000/F71,0)</f>
        <v>-620</v>
      </c>
      <c r="D71" s="912" t="s">
        <v>774</v>
      </c>
      <c r="E71" s="913" t="s">
        <v>775</v>
      </c>
      <c r="F71" s="324">
        <f ca="1">F43</f>
        <v>3127.15</v>
      </c>
      <c r="O71" s="1326" t="s">
        <v>413</v>
      </c>
      <c r="P71" s="1363" t="s">
        <v>871</v>
      </c>
      <c r="Q71" s="1329">
        <f ca="1">C76</f>
        <v>7.4999999999999997E-2</v>
      </c>
      <c r="R71" s="1319"/>
    </row>
    <row r="72" spans="1:18" s="1284" customFormat="1" ht="13.5" thickBot="1">
      <c r="B72" s="677"/>
      <c r="C72" s="677"/>
      <c r="O72" s="1326" t="s">
        <v>407</v>
      </c>
      <c r="P72" s="1318" t="s">
        <v>849</v>
      </c>
      <c r="Q72" s="1329">
        <f>L52</f>
        <v>0</v>
      </c>
      <c r="R72" s="1319"/>
    </row>
    <row r="73" spans="1:18" ht="16.5" thickBot="1">
      <c r="A73" s="1284"/>
      <c r="B73" s="677"/>
      <c r="C73" s="677"/>
      <c r="D73" s="1284"/>
      <c r="E73" s="1284"/>
      <c r="F73" s="1284"/>
      <c r="O73" s="1326" t="s">
        <v>408</v>
      </c>
      <c r="P73" s="1318" t="s">
        <v>852</v>
      </c>
      <c r="Q73" s="1319" t="e">
        <f ca="1">L58</f>
        <v>#DIV/0!</v>
      </c>
      <c r="R73" s="1319" t="s">
        <v>853</v>
      </c>
    </row>
    <row r="74" spans="1:18" ht="13.5" thickBot="1">
      <c r="A74" s="1284"/>
      <c r="B74" s="259" t="s">
        <v>872</v>
      </c>
      <c r="C74" s="1365"/>
      <c r="D74" s="1284"/>
      <c r="E74" s="1284"/>
      <c r="F74" s="1284"/>
      <c r="O74" s="1326" t="s">
        <v>415</v>
      </c>
      <c r="P74" s="1318" t="str">
        <f>K59</f>
        <v>建筑物剩余耐用年限下的土地年期修正系数Kn</v>
      </c>
      <c r="Q74" s="1319" t="e">
        <f ca="1">L59</f>
        <v>#DIV/0!</v>
      </c>
      <c r="R74" s="1319" t="s">
        <v>854</v>
      </c>
    </row>
    <row r="75" spans="1:18" ht="13.5" thickBot="1">
      <c r="A75" s="1284"/>
      <c r="B75" s="325" t="s">
        <v>792</v>
      </c>
      <c r="C75" s="326">
        <f ca="1">ROUND(C13*C76,0)</f>
        <v>160</v>
      </c>
      <c r="D75" s="1284"/>
      <c r="E75" s="1284"/>
      <c r="F75" s="1284"/>
      <c r="K75" s="1301"/>
      <c r="L75" s="1284"/>
      <c r="O75" s="1317" t="s">
        <v>409</v>
      </c>
      <c r="P75" s="1318" t="s">
        <v>835</v>
      </c>
      <c r="Q75" s="1319">
        <f ca="1">Q65+Q66</f>
        <v>4069</v>
      </c>
      <c r="R75" s="1319" t="s">
        <v>410</v>
      </c>
    </row>
    <row r="76" spans="1:18">
      <c r="B76" s="327" t="s">
        <v>793</v>
      </c>
      <c r="C76" s="328">
        <f ca="1">INDIRECT("'数据-取费表'!j"&amp;$G$1)</f>
        <v>7.4999999999999997E-2</v>
      </c>
      <c r="I76" s="1284"/>
      <c r="J76" s="1284"/>
      <c r="K76" s="1301"/>
      <c r="L76" s="1284"/>
    </row>
    <row r="77" spans="1:18">
      <c r="B77" s="329" t="s">
        <v>794</v>
      </c>
      <c r="C77" s="330"/>
      <c r="I77" s="1284"/>
      <c r="J77" s="1284"/>
      <c r="K77" s="1301"/>
      <c r="L77" s="1284"/>
    </row>
    <row r="78" spans="1:18">
      <c r="B78" s="256" t="s">
        <v>795</v>
      </c>
      <c r="C78" s="331"/>
    </row>
    <row r="79" spans="1:18">
      <c r="B79" s="325" t="s">
        <v>796</v>
      </c>
      <c r="C79" s="260">
        <f ca="1">1-C80</f>
        <v>0.33299999999999996</v>
      </c>
    </row>
    <row r="80" spans="1:18">
      <c r="B80" s="325" t="s">
        <v>797</v>
      </c>
      <c r="C80" s="260">
        <f ca="1">ROUND(C75/C39,3)</f>
        <v>0.66700000000000004</v>
      </c>
    </row>
    <row r="81" spans="2:3">
      <c r="B81" s="256" t="s">
        <v>798</v>
      </c>
      <c r="C81" s="224"/>
    </row>
    <row r="82" spans="2:3">
      <c r="B82" s="259" t="s">
        <v>799</v>
      </c>
      <c r="C82" s="261">
        <f ca="1">1-C83</f>
        <v>0.47599999999999998</v>
      </c>
    </row>
    <row r="83" spans="2:3">
      <c r="B83" s="259" t="s">
        <v>800</v>
      </c>
      <c r="C83" s="260">
        <f ca="1">ROUND(C13/C40,3)</f>
        <v>0.52400000000000002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8" sqref="A18"/>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4" sqref="M4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302" t="s">
        <v>946</v>
      </c>
      <c r="B1" s="3302"/>
      <c r="C1" s="3302"/>
      <c r="D1" s="3302"/>
    </row>
    <row r="2" spans="1:4" ht="18">
      <c r="A2" s="3303" t="s">
        <v>930</v>
      </c>
      <c r="B2" s="3303"/>
      <c r="C2" s="3303"/>
      <c r="D2" s="3303"/>
    </row>
    <row r="3" spans="1:4" ht="18.75">
      <c r="A3" s="1399" t="s">
        <v>931</v>
      </c>
      <c r="B3" s="1399" t="s">
        <v>932</v>
      </c>
      <c r="C3" s="1399" t="s">
        <v>933</v>
      </c>
      <c r="D3" s="1399" t="s">
        <v>934</v>
      </c>
    </row>
    <row r="4" spans="1:4" ht="56.25" customHeight="1">
      <c r="A4" s="1400">
        <f>项目基本情况!B4</f>
        <v>0</v>
      </c>
      <c r="B4" s="1401">
        <f>项目基本情况!C4</f>
        <v>0</v>
      </c>
      <c r="C4" s="1402"/>
      <c r="D4" s="1403" t="s">
        <v>935</v>
      </c>
    </row>
    <row r="5" spans="1:4" ht="56.25" customHeight="1">
      <c r="A5" s="1400">
        <f>项目基本情况!D4</f>
        <v>0</v>
      </c>
      <c r="B5" s="1401">
        <f>项目基本情况!E4</f>
        <v>0</v>
      </c>
      <c r="C5" s="1404"/>
      <c r="D5" s="1403" t="s">
        <v>935</v>
      </c>
    </row>
    <row r="6" spans="1:4" ht="18">
      <c r="A6" s="3303" t="s">
        <v>936</v>
      </c>
      <c r="B6" s="3303"/>
      <c r="C6" s="3303"/>
      <c r="D6" s="3303"/>
    </row>
    <row r="7" spans="1:4" ht="18.75">
      <c r="A7" s="1399" t="s">
        <v>931</v>
      </c>
      <c r="B7" s="1401" t="s">
        <v>937</v>
      </c>
      <c r="C7" s="1399" t="s">
        <v>933</v>
      </c>
      <c r="D7" s="1399" t="s">
        <v>934</v>
      </c>
    </row>
    <row r="8" spans="1:4" ht="56.25" customHeight="1">
      <c r="A8" s="1405" t="s">
        <v>390</v>
      </c>
      <c r="B8" s="1405" t="s">
        <v>0</v>
      </c>
      <c r="C8" s="1402"/>
      <c r="D8" s="1403" t="s">
        <v>935</v>
      </c>
    </row>
    <row r="10" spans="1:4" ht="18.75">
      <c r="A10" s="1406" t="s">
        <v>938</v>
      </c>
    </row>
    <row r="11" spans="1:4" ht="30" customHeight="1">
      <c r="A11" s="3304" t="s">
        <v>939</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spans="1:4" ht="15.75" customHeight="1">
      <c r="A14" s="3296" t="str">
        <f>IF(项目基本情况!B8="抵押","4.本次评估估价师所知悉的法定优先受偿款情况说明如下：","——")</f>
        <v>4.本次评估估价师所知悉的法定优先受偿款情况说明如下：</v>
      </c>
      <c r="B14" s="3301"/>
      <c r="C14" s="3301"/>
      <c r="D14" s="3301"/>
    </row>
    <row r="15" spans="1:4" ht="42" customHeight="1">
      <c r="A15" s="32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298" t="s">
        <v>940</v>
      </c>
      <c r="B16" s="3298"/>
      <c r="C16" s="3298"/>
      <c r="D16" s="3298"/>
    </row>
    <row r="17" spans="1:4" ht="144" customHeight="1">
      <c r="A17" s="3298" t="s">
        <v>941</v>
      </c>
      <c r="B17" s="3298"/>
      <c r="C17" s="3298"/>
      <c r="D17" s="3298"/>
    </row>
    <row r="18" spans="1:4" ht="15.75" customHeight="1">
      <c r="A18" s="3296" t="str">
        <f>IF(项目基本情况!B8="抵押",结果表!K120,"——")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6"/>
      <c r="C20" s="3296"/>
      <c r="D20" s="3296"/>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9"/>
      <c r="C21" s="3299"/>
      <c r="D21" s="3299"/>
    </row>
    <row r="22" spans="1:4" ht="18.75" customHeight="1">
      <c r="A22" s="3300" t="s">
        <v>942</v>
      </c>
      <c r="B22" s="3300"/>
      <c r="C22" s="3300"/>
      <c r="D22" s="3300"/>
    </row>
    <row r="23" spans="1:4">
      <c r="A23" s="1407"/>
      <c r="B23" s="453"/>
      <c r="C23" s="453"/>
      <c r="D23" s="453"/>
    </row>
    <row r="24" spans="1:4">
      <c r="A24" s="1407"/>
      <c r="B24" s="453"/>
      <c r="C24" s="453"/>
      <c r="D24" s="453"/>
    </row>
    <row r="25" spans="1:4" ht="18.75">
      <c r="A25" s="1408" t="s">
        <v>943</v>
      </c>
    </row>
    <row r="26" spans="1:4" ht="18">
      <c r="A26" s="1379"/>
    </row>
    <row r="27" spans="1:4" ht="18.75">
      <c r="A27" s="1379" t="s">
        <v>944</v>
      </c>
    </row>
    <row r="30" spans="1:4" ht="18.75">
      <c r="D30" s="1408" t="s">
        <v>945</v>
      </c>
    </row>
    <row r="31" spans="1:4" ht="13.5" customHeight="1">
      <c r="C31" s="3297">
        <v>42551</v>
      </c>
      <c r="D31" s="32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947</v>
      </c>
    </row>
    <row r="3" spans="1:7">
      <c r="A3" s="1412" t="s">
        <v>55</v>
      </c>
      <c r="B3" s="1397" t="s">
        <v>948</v>
      </c>
      <c r="G3" s="1413"/>
    </row>
    <row r="4" spans="1:7">
      <c r="G4" s="1413"/>
    </row>
    <row r="5" spans="1:7">
      <c r="A5" s="1415" t="s">
        <v>46</v>
      </c>
      <c r="B5" s="1397" t="s">
        <v>949</v>
      </c>
      <c r="G5" s="1413"/>
    </row>
    <row r="6" spans="1:7">
      <c r="G6" s="1413"/>
    </row>
    <row r="7" spans="1:7">
      <c r="A7" s="1416" t="s">
        <v>108</v>
      </c>
      <c r="B7" s="1397" t="s">
        <v>950</v>
      </c>
      <c r="G7" s="1413"/>
    </row>
    <row r="8" spans="1:7">
      <c r="G8" s="1413"/>
    </row>
    <row r="9" spans="1:7">
      <c r="A9" s="1417" t="s">
        <v>47</v>
      </c>
      <c r="B9" s="1397" t="s">
        <v>951</v>
      </c>
    </row>
    <row r="11" spans="1:7">
      <c r="A11" s="1418" t="s">
        <v>48</v>
      </c>
      <c r="B11" s="1419" t="s">
        <v>45</v>
      </c>
    </row>
    <row r="13" spans="1:7">
      <c r="A13" s="1420" t="s">
        <v>952</v>
      </c>
    </row>
    <row r="15" spans="1:7" ht="13.5">
      <c r="A15" s="3310" t="s">
        <v>953</v>
      </c>
      <c r="B15" s="3305" t="s">
        <v>109</v>
      </c>
      <c r="C15" s="3306"/>
    </row>
    <row r="16" spans="1:7" ht="13.5">
      <c r="A16" s="3311"/>
      <c r="B16" s="3305" t="s">
        <v>42</v>
      </c>
      <c r="C16" s="3306"/>
    </row>
    <row r="17" spans="1:3" ht="13.5">
      <c r="A17" s="3311"/>
      <c r="B17" s="3308" t="s">
        <v>954</v>
      </c>
      <c r="C17" s="1421" t="s">
        <v>953</v>
      </c>
    </row>
    <row r="18" spans="1:3" ht="13.5">
      <c r="A18" s="3311"/>
      <c r="B18" s="3308"/>
      <c r="C18" s="1421" t="s">
        <v>955</v>
      </c>
    </row>
    <row r="19" spans="1:3" ht="13.5">
      <c r="A19" s="3311"/>
      <c r="B19" s="3308"/>
      <c r="C19" s="1421" t="s">
        <v>956</v>
      </c>
    </row>
    <row r="20" spans="1:3" ht="13.5">
      <c r="A20" s="3312"/>
      <c r="B20" s="3307" t="s">
        <v>957</v>
      </c>
      <c r="C20" s="3306"/>
    </row>
    <row r="21" spans="1:3" ht="13.5">
      <c r="A21" s="1422" t="s">
        <v>958</v>
      </c>
      <c r="B21" s="1423"/>
      <c r="C21" s="1424"/>
    </row>
    <row r="22" spans="1:3" ht="13.5">
      <c r="A22" s="3309" t="s">
        <v>959</v>
      </c>
      <c r="B22" s="3307" t="s">
        <v>960</v>
      </c>
      <c r="C22" s="3306"/>
    </row>
    <row r="23" spans="1:3" ht="13.5">
      <c r="A23" s="3309"/>
      <c r="B23" s="3307" t="s">
        <v>961</v>
      </c>
      <c r="C23" s="3306"/>
    </row>
    <row r="24" spans="1:3" ht="13.5">
      <c r="A24" s="3309"/>
      <c r="B24" s="3307" t="s">
        <v>962</v>
      </c>
      <c r="C24" s="3306"/>
    </row>
    <row r="25" spans="1:3" ht="13.5">
      <c r="A25" s="3309"/>
      <c r="B25" s="3308" t="s">
        <v>963</v>
      </c>
      <c r="C25" s="1421" t="s">
        <v>964</v>
      </c>
    </row>
    <row r="26" spans="1:3" ht="13.5">
      <c r="A26" s="3309"/>
      <c r="B26" s="3308"/>
      <c r="C26" s="1421" t="s">
        <v>965</v>
      </c>
    </row>
    <row r="27" spans="1:3" ht="13.5">
      <c r="A27" s="3309"/>
      <c r="B27" s="3308"/>
      <c r="C27" s="1421" t="s">
        <v>966</v>
      </c>
    </row>
    <row r="28" spans="1:3" ht="13.5">
      <c r="A28" s="3309"/>
      <c r="B28" s="3308"/>
      <c r="C28" s="1421" t="s">
        <v>967</v>
      </c>
    </row>
    <row r="29" spans="1:3" ht="13.5">
      <c r="A29" s="3309"/>
      <c r="B29" s="3308"/>
      <c r="C29" s="1421" t="s">
        <v>968</v>
      </c>
    </row>
    <row r="30" spans="1:3" ht="13.5">
      <c r="A30" s="3309"/>
      <c r="B30" s="3308"/>
      <c r="C30" s="1421" t="s">
        <v>969</v>
      </c>
    </row>
    <row r="31" spans="1:3" ht="13.5">
      <c r="A31" s="3309"/>
      <c r="B31" s="3308"/>
      <c r="C31" s="1421" t="s">
        <v>970</v>
      </c>
    </row>
    <row r="32" spans="1:3" ht="13.5">
      <c r="A32" s="3309"/>
      <c r="B32" s="3308"/>
      <c r="C32" s="1421" t="s">
        <v>971</v>
      </c>
    </row>
    <row r="33" spans="1:3" ht="13.5">
      <c r="A33" s="3309"/>
      <c r="B33" s="3308"/>
      <c r="C33" s="1421" t="s">
        <v>972</v>
      </c>
    </row>
    <row r="34" spans="1:3">
      <c r="A34" s="1425" t="s">
        <v>49</v>
      </c>
    </row>
    <row r="37" spans="1:3">
      <c r="A37" s="1425" t="s">
        <v>973</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2133</v>
      </c>
      <c r="B2" s="2149">
        <f ca="1">TODAY()</f>
        <v>45428</v>
      </c>
      <c r="C2" s="2150" t="s">
        <v>2134</v>
      </c>
      <c r="D2" s="2150"/>
      <c r="E2" s="2150"/>
      <c r="F2" s="2146"/>
      <c r="G2" s="2146"/>
      <c r="H2" s="2146"/>
    </row>
    <row r="3" spans="1:8" ht="24" customHeight="1">
      <c r="A3" s="2151" t="s">
        <v>2135</v>
      </c>
      <c r="B3" s="1212" t="s">
        <v>2136</v>
      </c>
      <c r="C3" s="1212" t="s">
        <v>2137</v>
      </c>
      <c r="D3" s="2152" t="s">
        <v>2138</v>
      </c>
      <c r="E3" s="2153" t="s">
        <v>2139</v>
      </c>
      <c r="F3" s="1212" t="s">
        <v>2140</v>
      </c>
      <c r="G3" s="1212" t="s">
        <v>2137</v>
      </c>
      <c r="H3" s="2152" t="s">
        <v>2141</v>
      </c>
    </row>
    <row r="4" spans="1:8" ht="24" customHeight="1">
      <c r="A4" s="1212" t="s">
        <v>2142</v>
      </c>
      <c r="B4" s="1212">
        <f ca="1">IF(C4&lt;B2,"已过期",1119970066)</f>
        <v>1119970066</v>
      </c>
      <c r="C4" s="2154">
        <v>45937</v>
      </c>
      <c r="D4" s="2155" t="str">
        <f ca="1">A4&amp;"（注册号："&amp;B4&amp;"）"</f>
        <v>梁津（注册号：1119970066）</v>
      </c>
      <c r="E4" s="2156" t="s">
        <v>2142</v>
      </c>
      <c r="F4" s="1212">
        <f ca="1">IF(G4&lt;B2,"已过期",96010014)</f>
        <v>96010014</v>
      </c>
      <c r="G4" s="2157">
        <v>47118</v>
      </c>
      <c r="H4" s="2158" t="str">
        <f ca="1">E4&amp;"（注册号："&amp;F4&amp;"）"</f>
        <v>梁津（注册号：96010014）</v>
      </c>
    </row>
    <row r="5" spans="1:8" ht="24" customHeight="1">
      <c r="A5" s="1212" t="s">
        <v>2143</v>
      </c>
      <c r="B5" s="1212">
        <f ca="1">IF(C5&lt;B2,"已过期",1119970111)</f>
        <v>1119970111</v>
      </c>
      <c r="C5" s="2154">
        <v>45937</v>
      </c>
      <c r="D5" s="2155" t="str">
        <f t="shared" ref="D5:D15" ca="1" si="0">A5&amp;"（注册号："&amp;B5&amp;"）"</f>
        <v>叶凌（注册号：1119970111）</v>
      </c>
      <c r="E5" s="2156" t="s">
        <v>2143</v>
      </c>
      <c r="F5" s="1212">
        <f ca="1">IF(G5&lt;B2,"已过期",94010078)</f>
        <v>94010078</v>
      </c>
      <c r="G5" s="2157">
        <v>46387</v>
      </c>
      <c r="H5" s="2158" t="str">
        <f t="shared" ref="H5:H16" ca="1" si="1">E5&amp;"（注册号："&amp;F5&amp;"）"</f>
        <v>叶凌（注册号：94010078）</v>
      </c>
    </row>
    <row r="6" spans="1:8" ht="24" customHeight="1">
      <c r="A6" s="1212" t="s">
        <v>2144</v>
      </c>
      <c r="B6" s="1212" t="str">
        <f ca="1">IF(C6&lt;B2,"已过期",1120050019)</f>
        <v>已过期</v>
      </c>
      <c r="C6" s="2154">
        <v>45410</v>
      </c>
      <c r="D6" s="2155" t="str">
        <f t="shared" ca="1" si="0"/>
        <v>王鹏（注册号：已过期）</v>
      </c>
      <c r="E6" s="2156" t="s">
        <v>2144</v>
      </c>
      <c r="F6" s="1212">
        <f ca="1">IF(G6&lt;B2,"已过期",2002110030)</f>
        <v>2002110030</v>
      </c>
      <c r="G6" s="2157">
        <v>46387</v>
      </c>
      <c r="H6" s="2158" t="str">
        <f t="shared" ca="1" si="1"/>
        <v>王鹏（注册号：2002110030）</v>
      </c>
    </row>
    <row r="7" spans="1:8" ht="24" customHeight="1">
      <c r="A7" s="1212" t="s">
        <v>2145</v>
      </c>
      <c r="B7" s="1212">
        <f ca="1">IF(C7&lt;B2,"已过期",1120000080)</f>
        <v>1120000080</v>
      </c>
      <c r="C7" s="2154">
        <v>45937</v>
      </c>
      <c r="D7" s="2155" t="str">
        <f t="shared" ca="1" si="0"/>
        <v>欧红伟（注册号：1120000080）</v>
      </c>
      <c r="E7" s="2156" t="s">
        <v>2145</v>
      </c>
      <c r="F7" s="1212">
        <f ca="1">IF(G7&lt;B2,"已过期",2000110082)</f>
        <v>2000110082</v>
      </c>
      <c r="G7" s="2157">
        <v>46387</v>
      </c>
      <c r="H7" s="2158" t="str">
        <f t="shared" ca="1" si="1"/>
        <v>欧红伟（注册号：2000110082）</v>
      </c>
    </row>
    <row r="8" spans="1:8" ht="24" customHeight="1">
      <c r="A8" s="1212" t="s">
        <v>2146</v>
      </c>
      <c r="B8" s="1212">
        <f ca="1">IF(C8&lt;B2,"已过期",1419970001)</f>
        <v>1419970001</v>
      </c>
      <c r="C8" s="2154">
        <v>45937</v>
      </c>
      <c r="D8" s="2155" t="str">
        <f t="shared" ca="1" si="0"/>
        <v>吴薇（注册号：1419970001）</v>
      </c>
      <c r="E8" s="2156" t="s">
        <v>2146</v>
      </c>
      <c r="F8" s="1212">
        <f ca="1">IF(G8&lt;B2,"已过期",2002110125)</f>
        <v>2002110125</v>
      </c>
      <c r="G8" s="2157">
        <v>47118</v>
      </c>
      <c r="H8" s="2158" t="str">
        <f t="shared" ca="1" si="1"/>
        <v>吴薇（注册号：2002110125）</v>
      </c>
    </row>
    <row r="9" spans="1:8" ht="24" customHeight="1">
      <c r="A9" s="1212" t="s">
        <v>2147</v>
      </c>
      <c r="B9" s="1212">
        <f ca="1">IF(C9&lt;B2,"已过期",1120060040)</f>
        <v>1120060040</v>
      </c>
      <c r="C9" s="2159">
        <v>45592</v>
      </c>
      <c r="D9" s="2155" t="str">
        <f t="shared" ca="1" si="0"/>
        <v>陈颖（注册号：1120060040）</v>
      </c>
      <c r="E9" s="2156" t="s">
        <v>2147</v>
      </c>
      <c r="F9" s="1212">
        <f ca="1">IF(G9&lt;B2,"已过期",2004110096)</f>
        <v>2004110096</v>
      </c>
      <c r="G9" s="2157">
        <v>47118</v>
      </c>
      <c r="H9" s="2158" t="str">
        <f t="shared" ca="1" si="1"/>
        <v>陈颖（注册号：2004110096）</v>
      </c>
    </row>
    <row r="10" spans="1:8" ht="24" customHeight="1">
      <c r="A10" s="1212" t="s">
        <v>2148</v>
      </c>
      <c r="B10" s="1212">
        <f ca="1">IF(C10&lt;B2,"已过期",1120100036)</f>
        <v>1120100036</v>
      </c>
      <c r="C10" s="2159">
        <v>45752</v>
      </c>
      <c r="D10" s="2155" t="str">
        <f t="shared" ca="1" si="0"/>
        <v>崔锴（注册号：1120100036）</v>
      </c>
      <c r="E10" s="2156" t="s">
        <v>2148</v>
      </c>
      <c r="F10" s="1212">
        <f ca="1">IF(G10&lt;B2,"已过期",2010110070)</f>
        <v>2010110070</v>
      </c>
      <c r="G10" s="2157">
        <v>47907</v>
      </c>
      <c r="H10" s="2158" t="str">
        <f t="shared" ca="1" si="1"/>
        <v>崔锴（注册号：2010110070）</v>
      </c>
    </row>
    <row r="11" spans="1:8" ht="24" customHeight="1">
      <c r="A11" s="1212" t="s">
        <v>2149</v>
      </c>
      <c r="B11" s="1212">
        <f ca="1">IF(C11&lt;B2,"已过期",1120070131)</f>
        <v>1120070131</v>
      </c>
      <c r="C11" s="2154">
        <v>45937</v>
      </c>
      <c r="D11" s="2155" t="str">
        <f t="shared" ca="1" si="0"/>
        <v>郑燚（注册号：1120070131）</v>
      </c>
      <c r="E11" s="2156" t="s">
        <v>2149</v>
      </c>
      <c r="F11" s="1212">
        <f ca="1">IF(G11&lt;B2,"已过期",2014110011)</f>
        <v>2014110011</v>
      </c>
      <c r="G11" s="2157">
        <v>49302</v>
      </c>
      <c r="H11" s="2158" t="str">
        <f t="shared" ca="1" si="1"/>
        <v>郑燚（注册号：2014110011）</v>
      </c>
    </row>
    <row r="12" spans="1:8" ht="24" customHeight="1">
      <c r="A12" s="1212" t="s">
        <v>2150</v>
      </c>
      <c r="B12" s="1212">
        <f ca="1">IF(C12&lt;B2,"已过期",1120040230)</f>
        <v>1120040230</v>
      </c>
      <c r="C12" s="2159">
        <v>45937</v>
      </c>
      <c r="D12" s="2155" t="str">
        <f t="shared" ca="1" si="0"/>
        <v>苏海（注册号：1120040230）</v>
      </c>
      <c r="E12" s="2156" t="s">
        <v>2150</v>
      </c>
      <c r="F12" s="1212">
        <f ca="1">IF(G12&lt;B2,"已过期",98030020)</f>
        <v>98030020</v>
      </c>
      <c r="G12" s="2157">
        <v>47118</v>
      </c>
      <c r="H12" s="2158" t="str">
        <f t="shared" ca="1" si="1"/>
        <v>苏海（注册号：98030020）</v>
      </c>
    </row>
    <row r="13" spans="1:8" ht="24" customHeight="1">
      <c r="A13" s="1212" t="s">
        <v>2151</v>
      </c>
      <c r="B13" s="1212" t="str">
        <f ca="1">IF(C13&lt;B2,"已过期",1120020033)</f>
        <v>已过期</v>
      </c>
      <c r="C13" s="2154">
        <v>45375</v>
      </c>
      <c r="D13" s="2155" t="str">
        <f t="shared" ca="1" si="0"/>
        <v>刘敬东（注册号：已过期）</v>
      </c>
      <c r="E13" s="2156" t="s">
        <v>2151</v>
      </c>
      <c r="F13" s="1212">
        <f ca="1">IF(G13&lt;B2,"已过期",2000110137)</f>
        <v>2000110137</v>
      </c>
      <c r="G13" s="2157">
        <v>46387</v>
      </c>
      <c r="H13" s="2158" t="str">
        <f t="shared" ca="1" si="1"/>
        <v>刘敬东（注册号：2000110137）</v>
      </c>
    </row>
    <row r="14" spans="1:8" ht="24" customHeight="1">
      <c r="A14" s="1212" t="s">
        <v>2152</v>
      </c>
      <c r="B14" s="1212" t="str">
        <f ca="1">IF(C14&lt;B2,"已过期",1119980106)</f>
        <v>已过期</v>
      </c>
      <c r="C14" s="2159">
        <v>44969</v>
      </c>
      <c r="D14" s="2155" t="str">
        <f t="shared" ca="1" si="0"/>
        <v>刘俊财（注册号：已过期）</v>
      </c>
      <c r="E14" s="2156" t="s">
        <v>2152</v>
      </c>
      <c r="F14" s="1212">
        <f ca="1">IF(G14&lt;B2,"已过期",96010063)</f>
        <v>96010063</v>
      </c>
      <c r="G14" s="2157">
        <v>47483</v>
      </c>
      <c r="H14" s="2158" t="str">
        <f t="shared" ca="1" si="1"/>
        <v>刘俊财（注册号：96010063）</v>
      </c>
    </row>
    <row r="15" spans="1:8" ht="24" customHeight="1">
      <c r="A15" s="1212" t="s">
        <v>2435</v>
      </c>
      <c r="B15" s="1212">
        <v>1120210056</v>
      </c>
      <c r="C15" s="2159">
        <v>45410</v>
      </c>
      <c r="D15" s="2155" t="str">
        <f t="shared" si="0"/>
        <v>宁小鳗（注册号：1120210056）</v>
      </c>
      <c r="E15" s="2156" t="s">
        <v>2153</v>
      </c>
      <c r="F15" s="1212">
        <f ca="1">IF(G15&lt;B2,"已过期",2011110090)</f>
        <v>2011110090</v>
      </c>
      <c r="G15" s="2157">
        <v>48302</v>
      </c>
      <c r="H15" s="2158" t="str">
        <f t="shared" ca="1" si="1"/>
        <v>赵雯（注册号：2011110090）</v>
      </c>
    </row>
    <row r="16" spans="1:8" ht="24" customHeight="1">
      <c r="A16" s="1212"/>
      <c r="B16" s="1212"/>
      <c r="C16" s="1212"/>
      <c r="D16" s="2155" t="str">
        <f>A16&amp;"（注册号："&amp;B16&amp;"）"</f>
        <v>（注册号：）</v>
      </c>
      <c r="E16" s="2156"/>
      <c r="F16" s="1212"/>
      <c r="G16" s="1212"/>
      <c r="H16" s="2160" t="str">
        <f t="shared" si="1"/>
        <v>（注册号：）</v>
      </c>
    </row>
    <row r="17" spans="1:8" ht="24" customHeight="1">
      <c r="A17" s="3313" t="s">
        <v>2154</v>
      </c>
      <c r="B17" s="3313"/>
      <c r="C17" s="3313"/>
      <c r="D17" s="3313"/>
      <c r="E17" s="3313"/>
      <c r="F17" s="3313"/>
      <c r="G17" s="3313"/>
      <c r="H17" s="3313"/>
    </row>
    <row r="18" spans="1:8" ht="24" customHeight="1">
      <c r="A18" s="3314" t="s">
        <v>2155</v>
      </c>
      <c r="B18" s="3314"/>
      <c r="C18" s="3314"/>
      <c r="D18" s="2152"/>
      <c r="E18" s="3315" t="s">
        <v>2156</v>
      </c>
      <c r="F18" s="3314"/>
      <c r="G18" s="3314"/>
    </row>
    <row r="19" spans="1:8" s="2162" customFormat="1" ht="24" customHeight="1">
      <c r="A19" s="2161" t="s">
        <v>2157</v>
      </c>
      <c r="B19" s="1212" t="s">
        <v>2158</v>
      </c>
      <c r="C19" s="1212" t="s">
        <v>2137</v>
      </c>
      <c r="D19" s="2152"/>
      <c r="E19" s="2156" t="s">
        <v>2157</v>
      </c>
      <c r="F19" s="1212" t="s">
        <v>2158</v>
      </c>
      <c r="G19" s="1212" t="s">
        <v>2137</v>
      </c>
    </row>
    <row r="20" spans="1:8" s="2162" customFormat="1" ht="24" customHeight="1">
      <c r="A20" s="2163" t="s">
        <v>2159</v>
      </c>
      <c r="B20" s="2163" t="s">
        <v>2160</v>
      </c>
      <c r="C20" s="2157">
        <v>45898</v>
      </c>
      <c r="D20" s="2164"/>
      <c r="E20" s="2165" t="s">
        <v>2161</v>
      </c>
      <c r="F20" s="2168" t="s">
        <v>2436</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cellIs" dxfId="158" priority="13" stopIfTrue="1" operator="lessThan">
      <formula>$B$2</formula>
    </cfRule>
    <cfRule type="expression" dxfId="157" priority="12">
      <formula>AND($C15-TODAY()&lt;30,TODAY()&lt;$C15)</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cellIs" dxfId="153" priority="2" stopIfTrue="1" operator="lessThan">
      <formula>$B$2</formula>
    </cfRule>
    <cfRule type="expression" dxfId="152"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林奥部分租赁台账</vt:lpstr>
      <vt:lpstr>租赁合同</vt:lpstr>
      <vt:lpstr>系统读取表</vt:lpstr>
      <vt:lpstr>结果表</vt:lpstr>
      <vt:lpstr>基准地价修正</vt:lpstr>
      <vt:lpstr>成本法-地下2层</vt:lpstr>
      <vt:lpstr>成本法 (元)</vt:lpstr>
      <vt:lpstr>假设开发法</vt:lpstr>
      <vt:lpstr>收益法-地下2层</vt:lpstr>
      <vt:lpstr>结果表-地下3层</vt:lpstr>
      <vt:lpstr>成本法-地下3层</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收益法-地下3层</vt:lpstr>
      <vt:lpstr>Sheet1</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'成本法-地下2层'!Print_Area</vt:lpstr>
      <vt:lpstr>'成本法-地下3层'!Print_Area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'结果表-地下3层'!Print_Area</vt:lpstr>
      <vt:lpstr>林奥部分租赁台账!Print_Area</vt:lpstr>
      <vt:lpstr>'收益法 (元)'!Print_Area</vt:lpstr>
      <vt:lpstr>'收益法（汇总）'!Print_Area</vt:lpstr>
      <vt:lpstr>'收益法-地下2层'!Print_Area</vt:lpstr>
      <vt:lpstr>'收益法-地下3层'!Print_Area</vt:lpstr>
      <vt:lpstr>'数据-汇总表'!Print_Area</vt:lpstr>
      <vt:lpstr>'土地比较法-工业'!Print_Area</vt:lpstr>
      <vt:lpstr>'土地比较法-住宅、综合'!Print_Area</vt:lpstr>
      <vt:lpstr>系统读取表!Print_Area</vt:lpstr>
      <vt:lpstr>项目基本情况!Print_Area</vt:lpstr>
      <vt:lpstr>林奥部分租赁台账!Print_Titles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2024-05-16T07:51:33Z</dcterms:modified>
</cp:coreProperties>
</file>