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E000167北京市通州区兴光五街11号1幢等6幢楼\"/>
    </mc:Choice>
  </mc:AlternateContent>
  <xr:revisionPtr revIDLastSave="0" documentId="13_ncr:1_{F827CF40-F3AC-42B2-8D66-824ECF8EC864}"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42" i="80" l="1"/>
  <c r="I41" i="80"/>
  <c r="I40" i="80"/>
  <c r="I39" i="80"/>
  <c r="I38" i="80"/>
  <c r="AC6" i="80"/>
  <c r="AC5" i="80"/>
  <c r="AD4" i="80"/>
  <c r="AC4" i="80"/>
  <c r="U6" i="1"/>
  <c r="C14" i="74"/>
  <c r="B14" i="74"/>
  <c r="J39" i="80"/>
  <c r="J40" i="80" s="1"/>
  <c r="J41" i="80" s="1"/>
  <c r="J43" i="80" l="1"/>
  <c r="L6" i="1" s="1"/>
  <c r="G84" i="43" l="1"/>
  <c r="G85" i="43"/>
  <c r="G86" i="43"/>
  <c r="G87" i="43"/>
  <c r="G88" i="43"/>
  <c r="G89" i="43"/>
  <c r="G90" i="43"/>
  <c r="G83" i="43"/>
  <c r="D33" i="43"/>
  <c r="F46" i="80"/>
  <c r="I43" i="80"/>
  <c r="N6" i="1" s="1"/>
  <c r="Y6" i="1" s="1"/>
  <c r="I37" i="80"/>
  <c r="F19" i="6"/>
  <c r="C19" i="6"/>
  <c r="I13" i="3"/>
  <c r="F43" i="80"/>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R40" i="79"/>
  <c r="AR41" i="79" s="1"/>
  <c r="AR42" i="79" s="1"/>
  <c r="AR43" i="79" s="1"/>
  <c r="AR44" i="79" s="1"/>
  <c r="AR45" i="79" s="1"/>
  <c r="AR46" i="79" s="1"/>
  <c r="AR47" i="79" s="1"/>
  <c r="AR48" i="79" s="1"/>
  <c r="AR49" i="79" s="1"/>
  <c r="AR50" i="79" s="1"/>
  <c r="AR51" i="79" s="1"/>
  <c r="AR52" i="79" s="1"/>
  <c r="W22" i="79"/>
  <c r="AK22" i="79" s="1"/>
  <c r="AH22" i="79"/>
  <c r="Z3" i="79"/>
  <c r="S35" i="79"/>
  <c r="AG35" i="79" s="1"/>
  <c r="S33" i="79"/>
  <c r="AG33" i="79" s="1"/>
  <c r="S34" i="79"/>
  <c r="AG34" i="79" s="1"/>
  <c r="AA31" i="79"/>
  <c r="AD31" i="79" s="1"/>
  <c r="T40" i="79"/>
  <c r="U46" i="79"/>
  <c r="AI46" i="79" s="1"/>
  <c r="AD47" i="79"/>
  <c r="S48" i="79"/>
  <c r="AG48" i="79" s="1"/>
  <c r="U50" i="79"/>
  <c r="AI50" i="79" s="1"/>
  <c r="AD51" i="79"/>
  <c r="T35" i="79"/>
  <c r="T33" i="79"/>
  <c r="T34" i="79"/>
  <c r="AR19" i="79"/>
  <c r="AR20" i="79" s="1"/>
  <c r="AR21" i="79" s="1"/>
  <c r="AR22" i="79" s="1"/>
  <c r="AR23" i="79" s="1"/>
  <c r="AR24"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13" i="79"/>
  <c r="AK13" i="79" s="1"/>
  <c r="AH13" i="79"/>
  <c r="W34" i="79"/>
  <c r="AK34" i="79" s="1"/>
  <c r="AH34" i="79"/>
  <c r="W11" i="79"/>
  <c r="AK11" i="79" s="1"/>
  <c r="AH11" i="79"/>
  <c r="W39" i="79"/>
  <c r="AK39" i="79" s="1"/>
  <c r="W17" i="79"/>
  <c r="AK17" i="79" s="1"/>
  <c r="AH17" i="79"/>
  <c r="W10" i="79"/>
  <c r="AK10" i="79" s="1"/>
  <c r="AH10" i="79"/>
  <c r="W18" i="79"/>
  <c r="AK18" i="79" s="1"/>
  <c r="AH18" i="79"/>
  <c r="W20" i="79"/>
  <c r="AK20" i="79" s="1"/>
  <c r="AH20" i="79"/>
  <c r="W35" i="79"/>
  <c r="AK35" i="79" s="1"/>
  <c r="AH35" i="79"/>
  <c r="W15" i="79"/>
  <c r="AK15" i="79" s="1"/>
  <c r="AH15"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A195" i="3" s="1"/>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L132" i="3" s="1"/>
  <c r="BM132" i="3"/>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L128" i="3" s="1"/>
  <c r="BN128" i="3"/>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L304" i="3" s="1"/>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F5" i="3" s="1"/>
  <c r="BG493" i="3"/>
  <c r="BH493" i="3"/>
  <c r="BI493" i="3"/>
  <c r="BJ493" i="3"/>
  <c r="BK493" i="3"/>
  <c r="BM493" i="3"/>
  <c r="BN493" i="3"/>
  <c r="BO493" i="3"/>
  <c r="BL493" i="3" s="1"/>
  <c r="BP493" i="3"/>
  <c r="BR493" i="3"/>
  <c r="BS493" i="3"/>
  <c r="BT493" i="3"/>
  <c r="H494" i="3"/>
  <c r="AC494" i="3"/>
  <c r="BB494" i="3"/>
  <c r="BC494" i="3"/>
  <c r="BA494" i="3" s="1"/>
  <c r="AZ494" i="3" s="1"/>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A496" i="3" s="1"/>
  <c r="AZ496" i="3" s="1"/>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AZ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A520" i="3" s="1"/>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F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F8" i="40"/>
  <c r="AA8"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G107" i="37" s="1"/>
  <c r="D105" i="37"/>
  <c r="E105" i="37" s="1"/>
  <c r="F105" i="37" s="1"/>
  <c r="G105" i="37" s="1"/>
  <c r="D103" i="37"/>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F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s="1"/>
  <c r="F62" i="36" s="1"/>
  <c r="G62" i="36" s="1"/>
  <c r="B59" i="36"/>
  <c r="B57" i="36"/>
  <c r="F12" i="36" s="1"/>
  <c r="AA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Q27" i="36"/>
  <c r="Z27" i="36" s="1"/>
  <c r="Q26" i="36"/>
  <c r="Z26" i="36" s="1"/>
  <c r="H26" i="36"/>
  <c r="AB26" i="36" s="1"/>
  <c r="Q25" i="36"/>
  <c r="Z25" i="36" s="1"/>
  <c r="Q24" i="36"/>
  <c r="Z24" i="36"/>
  <c r="H24" i="36"/>
  <c r="AB24" i="36" s="1"/>
  <c r="Q23" i="36"/>
  <c r="Z23" i="36" s="1"/>
  <c r="J23" i="36"/>
  <c r="AC23" i="36" s="1"/>
  <c r="AB23" i="36"/>
  <c r="F23" i="36"/>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H25" i="35" s="1"/>
  <c r="B75" i="35"/>
  <c r="J24" i="35" s="1"/>
  <c r="AC24" i="35"/>
  <c r="B73" i="35"/>
  <c r="B57" i="35"/>
  <c r="B61" i="35"/>
  <c r="B59" i="35"/>
  <c r="B131" i="34"/>
  <c r="H47" i="34" s="1"/>
  <c r="B129" i="34"/>
  <c r="B127" i="34"/>
  <c r="B99" i="34"/>
  <c r="B97" i="34"/>
  <c r="B95" i="34"/>
  <c r="B93" i="34"/>
  <c r="B75" i="34"/>
  <c r="B73" i="34"/>
  <c r="J13" i="34" s="1"/>
  <c r="AC13" i="34" s="1"/>
  <c r="B71" i="34"/>
  <c r="J12" i="34" s="1"/>
  <c r="W12" i="34" s="1"/>
  <c r="B130" i="33"/>
  <c r="B128" i="33"/>
  <c r="B126" i="33"/>
  <c r="F44" i="33" s="1"/>
  <c r="S44" i="33" s="1"/>
  <c r="B98" i="33"/>
  <c r="B96" i="33"/>
  <c r="B94" i="33"/>
  <c r="B74" i="33"/>
  <c r="J14" i="33" s="1"/>
  <c r="B72" i="33"/>
  <c r="B70" i="33"/>
  <c r="H12" i="33" s="1"/>
  <c r="U12" i="33" s="1"/>
  <c r="J12" i="33"/>
  <c r="AC12" i="33" s="1"/>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C53" i="35"/>
  <c r="J9" i="35"/>
  <c r="P39" i="35"/>
  <c r="P38" i="35"/>
  <c r="V37" i="35"/>
  <c r="T37" i="35"/>
  <c r="R37" i="35"/>
  <c r="P37" i="35"/>
  <c r="Q36" i="35"/>
  <c r="Z36" i="35"/>
  <c r="Q35" i="35"/>
  <c r="Z35" i="35" s="1"/>
  <c r="Q34" i="35"/>
  <c r="Z34" i="35" s="1"/>
  <c r="H34" i="35"/>
  <c r="Q33" i="35"/>
  <c r="Z33" i="35"/>
  <c r="Q32" i="35"/>
  <c r="Z32" i="35" s="1"/>
  <c r="H32" i="35"/>
  <c r="AB32" i="35" s="1"/>
  <c r="F32" i="35"/>
  <c r="AA32" i="35" s="1"/>
  <c r="Q31" i="35"/>
  <c r="Z31" i="35" s="1"/>
  <c r="AC31" i="35"/>
  <c r="AB31" i="35"/>
  <c r="Q30" i="35"/>
  <c r="Z30" i="35" s="1"/>
  <c r="Q29" i="35"/>
  <c r="Z29" i="35" s="1"/>
  <c r="Q28" i="35"/>
  <c r="Z28" i="35"/>
  <c r="J28" i="35"/>
  <c r="H28" i="35"/>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F91" i="33" s="1"/>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c r="G81" i="21" s="1"/>
  <c r="D77" i="21"/>
  <c r="E77" i="21" s="1"/>
  <c r="B130" i="21"/>
  <c r="B128" i="21"/>
  <c r="F45" i="21" s="1"/>
  <c r="B126" i="21"/>
  <c r="B98" i="21"/>
  <c r="J31" i="21" s="1"/>
  <c r="AC31" i="21" s="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c r="J45" i="39"/>
  <c r="W45" i="39" s="1"/>
  <c r="F36" i="39"/>
  <c r="S36" i="39" s="1"/>
  <c r="H36" i="39"/>
  <c r="AB36" i="39"/>
  <c r="J36" i="39"/>
  <c r="AC36" i="39" s="1"/>
  <c r="U9" i="39"/>
  <c r="W40" i="39"/>
  <c r="U30" i="37"/>
  <c r="W31" i="37"/>
  <c r="E103" i="37"/>
  <c r="F103" i="37" s="1"/>
  <c r="G103" i="37" s="1"/>
  <c r="H103" i="37" s="1"/>
  <c r="I103" i="37" s="1"/>
  <c r="J103" i="37" s="1"/>
  <c r="K103" i="37" s="1"/>
  <c r="L103" i="37" s="1"/>
  <c r="M103" i="37" s="1"/>
  <c r="F29" i="36"/>
  <c r="AA29" i="36" s="1"/>
  <c r="F16" i="36"/>
  <c r="AA16" i="36" s="1"/>
  <c r="J33" i="36"/>
  <c r="AC33" i="36" s="1"/>
  <c r="H22" i="35"/>
  <c r="AB22" i="35" s="1"/>
  <c r="AC27" i="35"/>
  <c r="U31" i="35"/>
  <c r="F36" i="34"/>
  <c r="AA36" i="34" s="1"/>
  <c r="J35" i="34"/>
  <c r="U34" i="34"/>
  <c r="H39" i="33"/>
  <c r="AB39" i="33" s="1"/>
  <c r="S40" i="33"/>
  <c r="W33" i="33"/>
  <c r="W39" i="33"/>
  <c r="S27" i="35"/>
  <c r="F11" i="40"/>
  <c r="AA11" i="40" s="1"/>
  <c r="H11" i="40"/>
  <c r="AB11" i="40"/>
  <c r="W8" i="40"/>
  <c r="AA9" i="40"/>
  <c r="U9" i="40"/>
  <c r="S34" i="40"/>
  <c r="U34" i="40"/>
  <c r="S38" i="40"/>
  <c r="F42" i="39"/>
  <c r="AA42" i="39" s="1"/>
  <c r="F41" i="39"/>
  <c r="S41" i="39" s="1"/>
  <c r="H40" i="39"/>
  <c r="AB40" i="39" s="1"/>
  <c r="H39" i="39"/>
  <c r="U39" i="39" s="1"/>
  <c r="S38" i="39"/>
  <c r="S34" i="39"/>
  <c r="H34" i="39"/>
  <c r="U34" i="39" s="1"/>
  <c r="E108" i="39"/>
  <c r="E100" i="39"/>
  <c r="F100" i="39" s="1"/>
  <c r="H19" i="39"/>
  <c r="F19" i="39"/>
  <c r="AA19" i="39" s="1"/>
  <c r="H17" i="39"/>
  <c r="AB17" i="39" s="1"/>
  <c r="F17" i="39"/>
  <c r="AA17" i="39" s="1"/>
  <c r="J23" i="40"/>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U34" i="21"/>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F37" i="39"/>
  <c r="J34" i="36"/>
  <c r="W34" i="36" s="1"/>
  <c r="U30" i="36"/>
  <c r="J30" i="35"/>
  <c r="W30" i="35" s="1"/>
  <c r="H30" i="35"/>
  <c r="AB30" i="35" s="1"/>
  <c r="F22" i="35"/>
  <c r="AA22" i="35"/>
  <c r="H10" i="35"/>
  <c r="U10" i="35" s="1"/>
  <c r="F33" i="36"/>
  <c r="W30" i="36"/>
  <c r="H16" i="36"/>
  <c r="AB16" i="36" s="1"/>
  <c r="E85" i="36"/>
  <c r="F85" i="36"/>
  <c r="G85" i="36" s="1"/>
  <c r="H85" i="36" s="1"/>
  <c r="I85" i="36" s="1"/>
  <c r="J85" i="36"/>
  <c r="K85" i="36" s="1"/>
  <c r="L85" i="36" s="1"/>
  <c r="M85" i="36" s="1"/>
  <c r="J29" i="36"/>
  <c r="AC29" i="36" s="1"/>
  <c r="F34" i="36"/>
  <c r="S34" i="36" s="1"/>
  <c r="F14" i="35"/>
  <c r="AA14" i="35"/>
  <c r="F23" i="35"/>
  <c r="J32" i="35"/>
  <c r="AC32" i="35" s="1"/>
  <c r="J16" i="35"/>
  <c r="AC16" i="35"/>
  <c r="H16" i="35"/>
  <c r="U16" i="35" s="1"/>
  <c r="F16" i="35"/>
  <c r="S16" i="35"/>
  <c r="H14" i="35"/>
  <c r="AB14" i="35" s="1"/>
  <c r="J29" i="35"/>
  <c r="H33" i="35"/>
  <c r="J20" i="35"/>
  <c r="F35" i="37"/>
  <c r="S35" i="37" s="1"/>
  <c r="F101" i="37"/>
  <c r="G101" i="37"/>
  <c r="H101" i="37" s="1"/>
  <c r="I101" i="37" s="1"/>
  <c r="J101" i="37" s="1"/>
  <c r="K101" i="37" s="1"/>
  <c r="L101" i="37" s="1"/>
  <c r="M101" i="37" s="1"/>
  <c r="J34" i="37"/>
  <c r="W34" i="37"/>
  <c r="AB34" i="37"/>
  <c r="J33" i="37"/>
  <c r="AC33" i="37" s="1"/>
  <c r="U42" i="34"/>
  <c r="H40" i="34"/>
  <c r="H36" i="34"/>
  <c r="U36" i="34" s="1"/>
  <c r="F37" i="34"/>
  <c r="AA37" i="34" s="1"/>
  <c r="S35" i="34"/>
  <c r="F25" i="34"/>
  <c r="S25" i="34" s="1"/>
  <c r="H23" i="34"/>
  <c r="J23" i="34"/>
  <c r="F19" i="34"/>
  <c r="H17" i="34"/>
  <c r="F15" i="34"/>
  <c r="AA15" i="34" s="1"/>
  <c r="J15" i="34"/>
  <c r="W15" i="34" s="1"/>
  <c r="H15" i="34"/>
  <c r="AB15" i="34" s="1"/>
  <c r="W8" i="34"/>
  <c r="F41" i="33"/>
  <c r="E113" i="33"/>
  <c r="F32" i="33"/>
  <c r="AA32" i="33"/>
  <c r="J19" i="33"/>
  <c r="AC19" i="33"/>
  <c r="J15" i="33"/>
  <c r="W15" i="33" s="1"/>
  <c r="AC15" i="33"/>
  <c r="F11" i="33"/>
  <c r="AA11" i="33" s="1"/>
  <c r="U40" i="33"/>
  <c r="W40" i="33"/>
  <c r="F37" i="40"/>
  <c r="AA37" i="40"/>
  <c r="F36" i="40"/>
  <c r="AA36" i="40" s="1"/>
  <c r="H28" i="40"/>
  <c r="U28" i="40"/>
  <c r="F23" i="40"/>
  <c r="F17" i="40"/>
  <c r="AA17" i="40" s="1"/>
  <c r="J17" i="40"/>
  <c r="W17" i="40"/>
  <c r="F15" i="40"/>
  <c r="S15" i="40" s="1"/>
  <c r="H15" i="40"/>
  <c r="AB15" i="40"/>
  <c r="AC11" i="40"/>
  <c r="S12" i="36"/>
  <c r="AB30" i="36"/>
  <c r="F29" i="35"/>
  <c r="S29" i="35" s="1"/>
  <c r="H29" i="35"/>
  <c r="AB29" i="35" s="1"/>
  <c r="H33" i="37"/>
  <c r="F33" i="37"/>
  <c r="AA33" i="37" s="1"/>
  <c r="U34" i="37"/>
  <c r="S34" i="37"/>
  <c r="J43" i="34"/>
  <c r="AB42" i="34"/>
  <c r="J40" i="34"/>
  <c r="H38" i="34"/>
  <c r="AB38" i="34" s="1"/>
  <c r="J36" i="34"/>
  <c r="W36" i="34"/>
  <c r="H37" i="34"/>
  <c r="U37" i="34" s="1"/>
  <c r="H25" i="34"/>
  <c r="AB25" i="34" s="1"/>
  <c r="J25" i="34"/>
  <c r="AC25" i="34"/>
  <c r="F23" i="34"/>
  <c r="AA23" i="34"/>
  <c r="J19" i="34"/>
  <c r="AC19" i="34" s="1"/>
  <c r="F17" i="34"/>
  <c r="AA17" i="34"/>
  <c r="J17" i="34"/>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J44" i="34"/>
  <c r="F44" i="34"/>
  <c r="AA44" i="34" s="1"/>
  <c r="J10" i="35"/>
  <c r="AC10" i="35" s="1"/>
  <c r="F14" i="21"/>
  <c r="S14" i="21" s="1"/>
  <c r="F28" i="21"/>
  <c r="H30" i="21"/>
  <c r="AB30" i="21" s="1"/>
  <c r="U30" i="21"/>
  <c r="J44" i="21"/>
  <c r="H44" i="21"/>
  <c r="U44" i="21"/>
  <c r="F44" i="21"/>
  <c r="AA44" i="21" s="1"/>
  <c r="H46" i="21"/>
  <c r="U46" i="21" s="1"/>
  <c r="J46" i="21"/>
  <c r="F46" i="21"/>
  <c r="AA46" i="21" s="1"/>
  <c r="H28" i="33"/>
  <c r="U28" i="33" s="1"/>
  <c r="F28" i="33"/>
  <c r="AA28" i="33"/>
  <c r="J28" i="33"/>
  <c r="W28" i="33" s="1"/>
  <c r="F33" i="35"/>
  <c r="AA33" i="35" s="1"/>
  <c r="S33" i="35"/>
  <c r="J33" i="35"/>
  <c r="AC33" i="35" s="1"/>
  <c r="F30" i="35"/>
  <c r="S30" i="35" s="1"/>
  <c r="E89" i="35"/>
  <c r="F89" i="35"/>
  <c r="G89" i="35" s="1"/>
  <c r="H89" i="35" s="1"/>
  <c r="I89" i="35" s="1"/>
  <c r="J89" i="35" s="1"/>
  <c r="K89" i="35" s="1"/>
  <c r="L89" i="35" s="1"/>
  <c r="M89" i="35" s="1"/>
  <c r="H10" i="36"/>
  <c r="AB10" i="36" s="1"/>
  <c r="J14" i="36"/>
  <c r="W14" i="36" s="1"/>
  <c r="AC14" i="36"/>
  <c r="H14" i="36"/>
  <c r="U14" i="36" s="1"/>
  <c r="F28" i="36"/>
  <c r="AA28" i="36" s="1"/>
  <c r="J13" i="21"/>
  <c r="AC13" i="21" s="1"/>
  <c r="H27" i="21"/>
  <c r="AB27" i="21" s="1"/>
  <c r="F27" i="21"/>
  <c r="AA27" i="21" s="1"/>
  <c r="H29" i="21"/>
  <c r="U29" i="21" s="1"/>
  <c r="F31" i="21"/>
  <c r="S31" i="21"/>
  <c r="J13" i="33"/>
  <c r="H13" i="33"/>
  <c r="U13" i="33" s="1"/>
  <c r="F13" i="33"/>
  <c r="S13" i="33"/>
  <c r="J31" i="33"/>
  <c r="W31" i="33"/>
  <c r="H31" i="33"/>
  <c r="F31" i="33"/>
  <c r="J14" i="34"/>
  <c r="W14" i="34" s="1"/>
  <c r="H30" i="34"/>
  <c r="F30" i="34"/>
  <c r="S30" i="34"/>
  <c r="J30" i="34"/>
  <c r="H46" i="34"/>
  <c r="AB46" i="34" s="1"/>
  <c r="U46" i="34"/>
  <c r="F46" i="34"/>
  <c r="J46" i="34"/>
  <c r="H11" i="35"/>
  <c r="AB11" i="35" s="1"/>
  <c r="J11" i="35"/>
  <c r="F11" i="35"/>
  <c r="S11" i="35" s="1"/>
  <c r="J26" i="36"/>
  <c r="H28" i="36"/>
  <c r="U28" i="36" s="1"/>
  <c r="H32" i="36"/>
  <c r="AB32" i="36" s="1"/>
  <c r="J32" i="36"/>
  <c r="W32" i="36" s="1"/>
  <c r="J11" i="36"/>
  <c r="AC11" i="36" s="1"/>
  <c r="H11" i="36"/>
  <c r="U11" i="36" s="1"/>
  <c r="F11" i="36"/>
  <c r="AA11" i="36" s="1"/>
  <c r="H13" i="36"/>
  <c r="J13" i="36"/>
  <c r="F13" i="36"/>
  <c r="S13" i="36"/>
  <c r="J29" i="37"/>
  <c r="W29" i="37" s="1"/>
  <c r="F29" i="37"/>
  <c r="S29" i="37" s="1"/>
  <c r="H36" i="37"/>
  <c r="AB36" i="37" s="1"/>
  <c r="J37" i="37"/>
  <c r="AC37" i="37" s="1"/>
  <c r="H37" i="37"/>
  <c r="U37" i="37"/>
  <c r="H40" i="37"/>
  <c r="U40" i="37" s="1"/>
  <c r="J40" i="37"/>
  <c r="AC40" i="37"/>
  <c r="F40" i="37"/>
  <c r="AC12" i="40"/>
  <c r="W12" i="40"/>
  <c r="H14" i="33"/>
  <c r="U14" i="33" s="1"/>
  <c r="F14" i="33"/>
  <c r="H30" i="33"/>
  <c r="AB30" i="33"/>
  <c r="F30" i="33"/>
  <c r="J30" i="33"/>
  <c r="H44" i="33"/>
  <c r="J44" i="33"/>
  <c r="J46" i="33"/>
  <c r="AC46" i="33"/>
  <c r="F46" i="33"/>
  <c r="AA46" i="33" s="1"/>
  <c r="H46" i="33"/>
  <c r="AB46" i="33"/>
  <c r="H13" i="34"/>
  <c r="U13" i="34" s="1"/>
  <c r="W13" i="34"/>
  <c r="F13" i="34"/>
  <c r="J29" i="34"/>
  <c r="W29" i="34" s="1"/>
  <c r="F29" i="34"/>
  <c r="S29" i="34"/>
  <c r="H29" i="34"/>
  <c r="J31" i="34"/>
  <c r="AC31" i="34" s="1"/>
  <c r="H31" i="34"/>
  <c r="F31" i="34"/>
  <c r="S31" i="34"/>
  <c r="H45" i="34"/>
  <c r="U45" i="34" s="1"/>
  <c r="J45" i="34"/>
  <c r="W45" i="34" s="1"/>
  <c r="F45" i="34"/>
  <c r="U47" i="34"/>
  <c r="F47" i="34"/>
  <c r="S47" i="34" s="1"/>
  <c r="J47" i="34"/>
  <c r="F13" i="35"/>
  <c r="J13" i="35"/>
  <c r="AC13" i="35"/>
  <c r="H13" i="35"/>
  <c r="U13" i="35" s="1"/>
  <c r="J25" i="35"/>
  <c r="W25" i="35" s="1"/>
  <c r="F25" i="35"/>
  <c r="AB25" i="35"/>
  <c r="J35" i="35"/>
  <c r="AC35" i="35" s="1"/>
  <c r="F35" i="35"/>
  <c r="AA35" i="35" s="1"/>
  <c r="H35" i="35"/>
  <c r="J25" i="36"/>
  <c r="W25" i="36"/>
  <c r="F25" i="36"/>
  <c r="S25" i="36" s="1"/>
  <c r="H25" i="36"/>
  <c r="AB25" i="36" s="1"/>
  <c r="H13" i="37"/>
  <c r="AB13" i="37" s="1"/>
  <c r="F13" i="37"/>
  <c r="S13" i="37"/>
  <c r="J13" i="37"/>
  <c r="W13" i="37" s="1"/>
  <c r="F28" i="37"/>
  <c r="J28" i="37"/>
  <c r="AC28" i="37"/>
  <c r="H28" i="37"/>
  <c r="H38" i="37"/>
  <c r="H43" i="39"/>
  <c r="AB43" i="39" s="1"/>
  <c r="J14" i="39"/>
  <c r="AC14" i="39" s="1"/>
  <c r="F14" i="39"/>
  <c r="H14" i="39"/>
  <c r="AB14" i="39"/>
  <c r="F12" i="40"/>
  <c r="S12" i="40"/>
  <c r="H12" i="40"/>
  <c r="AB12" i="40"/>
  <c r="H30" i="40"/>
  <c r="AB30" i="40"/>
  <c r="J35" i="40"/>
  <c r="AC35" i="40"/>
  <c r="J37" i="40"/>
  <c r="H13" i="40"/>
  <c r="U13" i="40"/>
  <c r="J13" i="40"/>
  <c r="W13" i="40" s="1"/>
  <c r="F13" i="40"/>
  <c r="AA13" i="40"/>
  <c r="F14" i="37"/>
  <c r="S14" i="37" s="1"/>
  <c r="F27" i="37"/>
  <c r="AA27" i="37"/>
  <c r="F13" i="39"/>
  <c r="J13" i="39"/>
  <c r="W13" i="39" s="1"/>
  <c r="H13" i="39"/>
  <c r="H14" i="40"/>
  <c r="U14" i="40" s="1"/>
  <c r="AB14" i="40"/>
  <c r="J14" i="40"/>
  <c r="W14" i="40" s="1"/>
  <c r="AA14" i="40"/>
  <c r="J14" i="37"/>
  <c r="J27" i="37"/>
  <c r="AA44" i="33"/>
  <c r="U46" i="33"/>
  <c r="J36" i="37"/>
  <c r="AC36" i="37"/>
  <c r="J10" i="36"/>
  <c r="AC10" i="36" s="1"/>
  <c r="W31" i="34"/>
  <c r="S11" i="36"/>
  <c r="BA585" i="3"/>
  <c r="F17" i="21"/>
  <c r="AA17" i="21" s="1"/>
  <c r="H17" i="21"/>
  <c r="AB17" i="21" s="1"/>
  <c r="F15" i="21"/>
  <c r="S15" i="21" s="1"/>
  <c r="J41" i="39"/>
  <c r="W41" i="39" s="1"/>
  <c r="U36" i="39"/>
  <c r="G544" i="3"/>
  <c r="G536" i="3"/>
  <c r="G531" i="3"/>
  <c r="G528" i="3"/>
  <c r="G523" i="3"/>
  <c r="G514" i="3"/>
  <c r="G508" i="3"/>
  <c r="G500" i="3"/>
  <c r="G576" i="3"/>
  <c r="G572" i="3"/>
  <c r="G568" i="3"/>
  <c r="G564" i="3"/>
  <c r="G554" i="3"/>
  <c r="BL580" i="3"/>
  <c r="BL576" i="3"/>
  <c r="BL572" i="3"/>
  <c r="BL568" i="3"/>
  <c r="BL554" i="3"/>
  <c r="BL502" i="3"/>
  <c r="BL578" i="3"/>
  <c r="BL574" i="3"/>
  <c r="BL566" i="3"/>
  <c r="G529" i="3"/>
  <c r="G493" i="3"/>
  <c r="BA580" i="3"/>
  <c r="BA576" i="3"/>
  <c r="AZ576" i="3" s="1"/>
  <c r="BA574" i="3"/>
  <c r="BA572" i="3"/>
  <c r="AZ572" i="3" s="1"/>
  <c r="BA568" i="3"/>
  <c r="AZ568" i="3" s="1"/>
  <c r="BA566" i="3"/>
  <c r="AZ566" i="3" s="1"/>
  <c r="BA560" i="3"/>
  <c r="AZ560" i="3" s="1"/>
  <c r="BA546" i="3"/>
  <c r="AZ546" i="3" s="1"/>
  <c r="BA514" i="3"/>
  <c r="AZ514" i="3" s="1"/>
  <c r="BA500" i="3"/>
  <c r="BA581" i="3"/>
  <c r="BA577" i="3"/>
  <c r="BA575" i="3"/>
  <c r="BA573" i="3"/>
  <c r="BA569" i="3"/>
  <c r="BA567" i="3"/>
  <c r="BA545" i="3"/>
  <c r="BA523" i="3"/>
  <c r="BA497" i="3"/>
  <c r="G581" i="3"/>
  <c r="G579" i="3"/>
  <c r="G577" i="3"/>
  <c r="G575" i="3"/>
  <c r="G573" i="3"/>
  <c r="G571" i="3"/>
  <c r="G569" i="3"/>
  <c r="G567" i="3"/>
  <c r="G565" i="3"/>
  <c r="G563" i="3"/>
  <c r="BL558" i="3"/>
  <c r="AC557" i="3"/>
  <c r="G557" i="3" s="1"/>
  <c r="BQ557" i="3"/>
  <c r="BQ583" i="3"/>
  <c r="BQ581" i="3"/>
  <c r="BL581" i="3"/>
  <c r="BQ579" i="3"/>
  <c r="BL579" i="3"/>
  <c r="BQ577" i="3"/>
  <c r="BL577" i="3" s="1"/>
  <c r="BQ575" i="3"/>
  <c r="BQ573" i="3"/>
  <c r="BL573" i="3" s="1"/>
  <c r="AZ573" i="3" s="1"/>
  <c r="BQ571" i="3"/>
  <c r="BL571" i="3" s="1"/>
  <c r="BQ569" i="3"/>
  <c r="BL569" i="3" s="1"/>
  <c r="BQ567" i="3"/>
  <c r="BL567" i="3"/>
  <c r="BQ565" i="3"/>
  <c r="BQ563" i="3"/>
  <c r="BQ561" i="3"/>
  <c r="BQ559" i="3"/>
  <c r="G555" i="3"/>
  <c r="G547" i="3"/>
  <c r="G545" i="3"/>
  <c r="G541" i="3"/>
  <c r="G539" i="3"/>
  <c r="G537" i="3"/>
  <c r="BQ555" i="3"/>
  <c r="BL555" i="3"/>
  <c r="BQ553" i="3"/>
  <c r="BQ551" i="3"/>
  <c r="BQ549" i="3"/>
  <c r="BQ547" i="3"/>
  <c r="BQ545" i="3"/>
  <c r="BQ543" i="3"/>
  <c r="BQ541" i="3"/>
  <c r="BL541" i="3"/>
  <c r="BQ539" i="3"/>
  <c r="BQ537" i="3"/>
  <c r="BQ535" i="3"/>
  <c r="BQ533" i="3"/>
  <c r="BQ531" i="3"/>
  <c r="BQ529" i="3"/>
  <c r="BQ527" i="3"/>
  <c r="BQ525" i="3"/>
  <c r="BQ523" i="3"/>
  <c r="AC521" i="3"/>
  <c r="G521" i="3"/>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F42" i="33"/>
  <c r="H28" i="34"/>
  <c r="AB28" i="34" s="1"/>
  <c r="F14" i="36"/>
  <c r="AA14" i="36" s="1"/>
  <c r="F22" i="36"/>
  <c r="S22" i="36" s="1"/>
  <c r="F26" i="36"/>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AB42" i="33" s="1"/>
  <c r="J43" i="33"/>
  <c r="S28" i="31"/>
  <c r="S27" i="31"/>
  <c r="S26" i="31"/>
  <c r="AC36" i="34"/>
  <c r="AA13" i="33"/>
  <c r="AC31" i="33"/>
  <c r="U11" i="33"/>
  <c r="U19" i="21"/>
  <c r="AB38" i="21"/>
  <c r="F43" i="33"/>
  <c r="AA43" i="33"/>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F31" i="37"/>
  <c r="S31" i="37" s="1"/>
  <c r="J42" i="39"/>
  <c r="AC42" i="39" s="1"/>
  <c r="H21" i="40"/>
  <c r="H31" i="37"/>
  <c r="J15" i="37"/>
  <c r="AT6" i="3"/>
  <c r="AA25" i="21"/>
  <c r="H19" i="40"/>
  <c r="U19" i="40" s="1"/>
  <c r="F88" i="40"/>
  <c r="G88" i="40" s="1"/>
  <c r="F19" i="40"/>
  <c r="S19" i="40" s="1"/>
  <c r="S14" i="40"/>
  <c r="AC13" i="40"/>
  <c r="W23" i="39"/>
  <c r="U45" i="39"/>
  <c r="AB45"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G546" i="3"/>
  <c r="G303"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G129"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L164" i="3"/>
  <c r="G165" i="3"/>
  <c r="BA167" i="3"/>
  <c r="BL168" i="3"/>
  <c r="AZ168" i="3" s="1"/>
  <c r="G169" i="3"/>
  <c r="BA171" i="3"/>
  <c r="BL172" i="3"/>
  <c r="G173" i="3"/>
  <c r="BA175" i="3"/>
  <c r="AZ175" i="3" s="1"/>
  <c r="BL176" i="3"/>
  <c r="G177" i="3"/>
  <c r="BA179" i="3"/>
  <c r="AZ179" i="3" s="1"/>
  <c r="BL180" i="3"/>
  <c r="G181" i="3"/>
  <c r="BA183" i="3"/>
  <c r="AZ183" i="3" s="1"/>
  <c r="BL184" i="3"/>
  <c r="G185" i="3"/>
  <c r="BL188" i="3"/>
  <c r="AZ188" i="3" s="1"/>
  <c r="G189" i="3"/>
  <c r="BA191" i="3"/>
  <c r="BL192" i="3"/>
  <c r="G193" i="3"/>
  <c r="AZ195" i="3"/>
  <c r="BL196" i="3"/>
  <c r="G197" i="3"/>
  <c r="BA199" i="3"/>
  <c r="BL200" i="3"/>
  <c r="G201" i="3"/>
  <c r="BA203" i="3"/>
  <c r="AZ203" i="3" s="1"/>
  <c r="BL204" i="3"/>
  <c r="AZ204" i="3" s="1"/>
  <c r="AZ97" i="3"/>
  <c r="AZ120" i="3"/>
  <c r="G530" i="3"/>
  <c r="G522" i="3"/>
  <c r="G516" i="3"/>
  <c r="G494" i="3"/>
  <c r="G16" i="3"/>
  <c r="G15" i="3"/>
  <c r="BA304" i="3"/>
  <c r="AZ304" i="3" s="1"/>
  <c r="BA305" i="3"/>
  <c r="AZ305" i="3" s="1"/>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46" i="3"/>
  <c r="BA16" i="3"/>
  <c r="G304" i="3"/>
  <c r="BA306" i="3"/>
  <c r="BL307" i="3"/>
  <c r="BA310" i="3"/>
  <c r="AZ310" i="3"/>
  <c r="BL311" i="3"/>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AZ222"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37" i="3"/>
  <c r="AZ245" i="3"/>
  <c r="AZ257" i="3"/>
  <c r="AZ265" i="3"/>
  <c r="BA379" i="3"/>
  <c r="BL380" i="3"/>
  <c r="G381" i="3"/>
  <c r="BA383" i="3"/>
  <c r="AZ383" i="3" s="1"/>
  <c r="BL384" i="3"/>
  <c r="G385" i="3"/>
  <c r="BA387" i="3"/>
  <c r="AZ387" i="3" s="1"/>
  <c r="BL388" i="3"/>
  <c r="AZ388" i="3" s="1"/>
  <c r="G389" i="3"/>
  <c r="BA391" i="3"/>
  <c r="BL392" i="3"/>
  <c r="AZ392" i="3" s="1"/>
  <c r="G393" i="3"/>
  <c r="AZ283" i="3"/>
  <c r="AZ325" i="3"/>
  <c r="G538" i="3"/>
  <c r="G502" i="3"/>
  <c r="BG5" i="3"/>
  <c r="G17" i="3"/>
  <c r="BA17" i="3"/>
  <c r="AZ368" i="3"/>
  <c r="BA15" i="3"/>
  <c r="AZ380" i="3"/>
  <c r="U36" i="40"/>
  <c r="F83" i="43"/>
  <c r="H85" i="43" s="1"/>
  <c r="F50" i="43"/>
  <c r="H54" i="43" s="1"/>
  <c r="F72" i="43"/>
  <c r="H75" i="43" s="1"/>
  <c r="U17" i="39"/>
  <c r="S14" i="35"/>
  <c r="U43" i="21"/>
  <c r="U35" i="21"/>
  <c r="AC35" i="21"/>
  <c r="AC11" i="39"/>
  <c r="W37" i="37"/>
  <c r="W44" i="34"/>
  <c r="AC44" i="34"/>
  <c r="U13" i="37"/>
  <c r="U12" i="40"/>
  <c r="AA12" i="40"/>
  <c r="J37" i="33"/>
  <c r="W37" i="33"/>
  <c r="F106" i="33"/>
  <c r="G106" i="33" s="1"/>
  <c r="H106" i="33" s="1"/>
  <c r="I106" i="33" s="1"/>
  <c r="J106" i="33" s="1"/>
  <c r="K106" i="33" s="1"/>
  <c r="L106" i="33" s="1"/>
  <c r="M106" i="33" s="1"/>
  <c r="J34" i="33"/>
  <c r="W34" i="33" s="1"/>
  <c r="F33" i="34"/>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c r="F20" i="35"/>
  <c r="AA20" i="35" s="1"/>
  <c r="AB29" i="36"/>
  <c r="U29" i="36"/>
  <c r="H32" i="37"/>
  <c r="H27" i="40"/>
  <c r="U27" i="40"/>
  <c r="J27" i="40"/>
  <c r="F27" i="40"/>
  <c r="J30" i="40"/>
  <c r="AC30" i="40" s="1"/>
  <c r="F30" i="40"/>
  <c r="S30" i="40" s="1"/>
  <c r="AA30"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53" i="3"/>
  <c r="AZ240" i="3"/>
  <c r="AZ280"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K9" i="1"/>
  <c r="M9" i="1" s="1"/>
  <c r="D93" i="9"/>
  <c r="AB34" i="36"/>
  <c r="U34" i="36"/>
  <c r="AB33" i="36"/>
  <c r="AC39" i="40"/>
  <c r="W39" i="40"/>
  <c r="W12" i="33"/>
  <c r="AA32" i="36"/>
  <c r="S32" i="36"/>
  <c r="BL14" i="3"/>
  <c r="U30" i="33"/>
  <c r="W28" i="37"/>
  <c r="S19" i="39"/>
  <c r="F12" i="33"/>
  <c r="F39" i="40"/>
  <c r="AA39" i="40" s="1"/>
  <c r="BA14" i="3"/>
  <c r="AZ224" i="3"/>
  <c r="B12" i="1"/>
  <c r="E12" i="1" s="1"/>
  <c r="B10" i="1"/>
  <c r="E10" i="1" s="1"/>
  <c r="K12" i="1"/>
  <c r="M12" i="1" s="1"/>
  <c r="S13" i="1"/>
  <c r="AR13" i="1" s="1"/>
  <c r="R13" i="1"/>
  <c r="J51" i="67"/>
  <c r="C42" i="1"/>
  <c r="C24" i="12" s="1"/>
  <c r="AC34" i="33"/>
  <c r="AA34" i="33"/>
  <c r="B41" i="1"/>
  <c r="F48" i="9" s="1"/>
  <c r="O52" i="9" s="1"/>
  <c r="AB37" i="40"/>
  <c r="S35" i="40"/>
  <c r="U35" i="40"/>
  <c r="W38" i="40"/>
  <c r="AA32" i="40"/>
  <c r="S17" i="40"/>
  <c r="AC17" i="40"/>
  <c r="AC15" i="40"/>
  <c r="AB27" i="40"/>
  <c r="AA19" i="40"/>
  <c r="S28" i="40"/>
  <c r="AB19" i="40"/>
  <c r="F32" i="39"/>
  <c r="F106" i="39"/>
  <c r="G106" i="39" s="1"/>
  <c r="H106" i="39" s="1"/>
  <c r="I106" i="39" s="1"/>
  <c r="J106" i="39" s="1"/>
  <c r="K106" i="39" s="1"/>
  <c r="L106" i="39" s="1"/>
  <c r="M106" i="39" s="1"/>
  <c r="U25" i="39"/>
  <c r="AB27" i="39"/>
  <c r="J21" i="39"/>
  <c r="W21" i="39" s="1"/>
  <c r="F21" i="39"/>
  <c r="H21" i="39"/>
  <c r="U21" i="39" s="1"/>
  <c r="W19" i="39"/>
  <c r="S17" i="39"/>
  <c r="S15" i="39"/>
  <c r="S9" i="39"/>
  <c r="U14" i="39"/>
  <c r="AC13" i="39"/>
  <c r="AA34" i="36"/>
  <c r="AA22" i="36"/>
  <c r="AB14" i="36"/>
  <c r="U22" i="36"/>
  <c r="S16" i="36"/>
  <c r="AA25" i="36"/>
  <c r="U24" i="36"/>
  <c r="U23" i="36"/>
  <c r="AB20" i="36"/>
  <c r="U16" i="36"/>
  <c r="W24" i="35"/>
  <c r="AB13" i="35"/>
  <c r="U29" i="35"/>
  <c r="AB27" i="35"/>
  <c r="U32" i="35"/>
  <c r="AC30" i="35"/>
  <c r="S32" i="35"/>
  <c r="S28" i="35"/>
  <c r="AB16" i="35"/>
  <c r="U22" i="35"/>
  <c r="S20" i="35"/>
  <c r="S22" i="35"/>
  <c r="U14" i="35"/>
  <c r="AA11" i="35"/>
  <c r="AC9" i="35"/>
  <c r="W9" i="35"/>
  <c r="W13" i="35"/>
  <c r="F9" i="35"/>
  <c r="S9" i="35" s="1"/>
  <c r="H9" i="35"/>
  <c r="U9" i="35" s="1"/>
  <c r="AB40" i="37"/>
  <c r="U29" i="37"/>
  <c r="S32" i="37"/>
  <c r="W30" i="37"/>
  <c r="AC35" i="37"/>
  <c r="S30" i="37"/>
  <c r="S37" i="37"/>
  <c r="J17" i="37"/>
  <c r="W17" i="37" s="1"/>
  <c r="F17" i="37"/>
  <c r="AB17" i="37"/>
  <c r="F19" i="37"/>
  <c r="S19" i="37" s="1"/>
  <c r="F79" i="37"/>
  <c r="F23" i="37"/>
  <c r="U15" i="37"/>
  <c r="AC13" i="37"/>
  <c r="AA13" i="37"/>
  <c r="H10" i="37"/>
  <c r="AB10" i="37" s="1"/>
  <c r="F63" i="37"/>
  <c r="F11" i="37"/>
  <c r="S11" i="37" s="1"/>
  <c r="W25" i="34"/>
  <c r="AB8" i="34"/>
  <c r="U43" i="34"/>
  <c r="AC39" i="34"/>
  <c r="W41" i="34"/>
  <c r="AC42" i="34"/>
  <c r="AB35" i="34"/>
  <c r="U39" i="34"/>
  <c r="AB41" i="34"/>
  <c r="AA25" i="34"/>
  <c r="U28" i="34"/>
  <c r="S17" i="34"/>
  <c r="AA29" i="34"/>
  <c r="S23" i="34"/>
  <c r="U15" i="34"/>
  <c r="H10" i="34"/>
  <c r="AB10" i="34" s="1"/>
  <c r="F11" i="34"/>
  <c r="S11" i="34" s="1"/>
  <c r="F70" i="34"/>
  <c r="W42" i="33"/>
  <c r="AA35" i="33"/>
  <c r="S32" i="33"/>
  <c r="H41" i="33"/>
  <c r="U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S43" i="33"/>
  <c r="H27" i="33"/>
  <c r="AB27" i="33" s="1"/>
  <c r="H25" i="33"/>
  <c r="U25" i="33" s="1"/>
  <c r="F25" i="33"/>
  <c r="S25" i="33" s="1"/>
  <c r="J23" i="33"/>
  <c r="AC23" i="33" s="1"/>
  <c r="F85" i="33"/>
  <c r="H23" i="33"/>
  <c r="AB23" i="33" s="1"/>
  <c r="F81" i="33"/>
  <c r="G81" i="33" s="1"/>
  <c r="F19" i="33"/>
  <c r="S19" i="33" s="1"/>
  <c r="W19" i="33"/>
  <c r="J17" i="33"/>
  <c r="AC17" i="33" s="1"/>
  <c r="F79" i="33"/>
  <c r="G79" i="33" s="1"/>
  <c r="S15" i="33"/>
  <c r="J10" i="33"/>
  <c r="W10" i="33" s="1"/>
  <c r="H10" i="33"/>
  <c r="U10" i="33" s="1"/>
  <c r="AC11" i="33"/>
  <c r="AB14" i="33"/>
  <c r="W43" i="21"/>
  <c r="W36" i="21"/>
  <c r="W41" i="21"/>
  <c r="AB39" i="21"/>
  <c r="AA43"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S37" i="40"/>
  <c r="AB28" i="40"/>
  <c r="W28" i="40"/>
  <c r="W34" i="40"/>
  <c r="W19" i="40"/>
  <c r="S36" i="40"/>
  <c r="AC14" i="40"/>
  <c r="S13" i="40"/>
  <c r="AA15" i="40"/>
  <c r="U11" i="40"/>
  <c r="AB13" i="40"/>
  <c r="U15" i="40"/>
  <c r="AB17" i="40"/>
  <c r="S8" i="40"/>
  <c r="AA39" i="39"/>
  <c r="U42" i="39"/>
  <c r="U41" i="39"/>
  <c r="W25" i="39"/>
  <c r="AC25" i="39"/>
  <c r="U13" i="39"/>
  <c r="AB13" i="39"/>
  <c r="AA13" i="39"/>
  <c r="S13" i="39"/>
  <c r="U43" i="39"/>
  <c r="U11" i="39"/>
  <c r="AA27" i="39"/>
  <c r="S27" i="39"/>
  <c r="AC17" i="39"/>
  <c r="W31" i="39"/>
  <c r="AC31" i="39"/>
  <c r="AA45" i="39"/>
  <c r="AB39" i="39"/>
  <c r="W34" i="39"/>
  <c r="S8" i="39"/>
  <c r="S20" i="36"/>
  <c r="AC25" i="36"/>
  <c r="U32" i="36"/>
  <c r="W29" i="36"/>
  <c r="AC20" i="36"/>
  <c r="U25" i="36"/>
  <c r="AB28" i="36"/>
  <c r="AA13" i="36"/>
  <c r="W9" i="36"/>
  <c r="W22" i="36"/>
  <c r="W23" i="36"/>
  <c r="AB20" i="35"/>
  <c r="AC25" i="35"/>
  <c r="U25" i="35"/>
  <c r="U24" i="35"/>
  <c r="S35" i="35"/>
  <c r="W35" i="35"/>
  <c r="AA16" i="35"/>
  <c r="AA35" i="37"/>
  <c r="W36" i="37"/>
  <c r="S27" i="37"/>
  <c r="W32" i="37"/>
  <c r="U36" i="37"/>
  <c r="AB37" i="37"/>
  <c r="AC34" i="37"/>
  <c r="AA31" i="37"/>
  <c r="U19" i="37"/>
  <c r="AA29" i="37"/>
  <c r="U8" i="37"/>
  <c r="U19" i="34"/>
  <c r="W19" i="34"/>
  <c r="AC45" i="34"/>
  <c r="AA31" i="34"/>
  <c r="AA30" i="34"/>
  <c r="AB45" i="34"/>
  <c r="AB47" i="34"/>
  <c r="U25" i="34"/>
  <c r="AB36" i="34"/>
  <c r="AC29" i="34"/>
  <c r="W46" i="34"/>
  <c r="AC46" i="34"/>
  <c r="U30" i="34"/>
  <c r="AB30" i="34"/>
  <c r="S37" i="34"/>
  <c r="U38" i="34"/>
  <c r="AC40" i="34"/>
  <c r="W40" i="34"/>
  <c r="AA19" i="34"/>
  <c r="S19" i="34"/>
  <c r="S36" i="34"/>
  <c r="AA8" i="34"/>
  <c r="S8" i="34"/>
  <c r="AB9" i="34"/>
  <c r="U9" i="34"/>
  <c r="S46" i="34"/>
  <c r="AA46"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F33" i="21"/>
  <c r="AA33" i="21" s="1"/>
  <c r="J33" i="21"/>
  <c r="AC33" i="21" s="1"/>
  <c r="H33" i="21"/>
  <c r="AB33" i="21" s="1"/>
  <c r="F37" i="21"/>
  <c r="AA37" i="21" s="1"/>
  <c r="AA26" i="21"/>
  <c r="U40" i="21"/>
  <c r="U31" i="21"/>
  <c r="U13" i="21"/>
  <c r="AB13" i="21"/>
  <c r="S35" i="21"/>
  <c r="J37" i="21"/>
  <c r="W37" i="21" s="1"/>
  <c r="H15" i="21"/>
  <c r="U15" i="21" s="1"/>
  <c r="J17" i="21"/>
  <c r="W17" i="21" s="1"/>
  <c r="AC17" i="21"/>
  <c r="AC19" i="21"/>
  <c r="S46" i="21"/>
  <c r="F29" i="21"/>
  <c r="AA29" i="21" s="1"/>
  <c r="F13" i="21"/>
  <c r="AA13" i="21" s="1"/>
  <c r="AC38" i="21"/>
  <c r="H32" i="21"/>
  <c r="H9" i="21"/>
  <c r="J9" i="21"/>
  <c r="AC9" i="21" s="1"/>
  <c r="J32" i="21"/>
  <c r="W32" i="21" s="1"/>
  <c r="F32" i="21"/>
  <c r="AA31" i="21"/>
  <c r="U17" i="21"/>
  <c r="W29" i="21"/>
  <c r="S9" i="21"/>
  <c r="AA9" i="21"/>
  <c r="K141" i="21"/>
  <c r="K144" i="21"/>
  <c r="K143" i="21"/>
  <c r="AB25" i="21"/>
  <c r="AB44" i="21"/>
  <c r="W13" i="21"/>
  <c r="W42" i="21"/>
  <c r="F10" i="21"/>
  <c r="AA10" i="21" s="1"/>
  <c r="K145" i="21"/>
  <c r="W31" i="21"/>
  <c r="S27" i="21"/>
  <c r="S17" i="21"/>
  <c r="AA15" i="21"/>
  <c r="AC27" i="21"/>
  <c r="AC26" i="21"/>
  <c r="AB29" i="21"/>
  <c r="AC34" i="21"/>
  <c r="W30" i="40"/>
  <c r="C15" i="40"/>
  <c r="C17" i="40"/>
  <c r="C23" i="40"/>
  <c r="C21" i="40"/>
  <c r="U30" i="40"/>
  <c r="B51" i="43"/>
  <c r="B54" i="43"/>
  <c r="B58" i="43"/>
  <c r="B62" i="43"/>
  <c r="B65" i="43"/>
  <c r="B69" i="43"/>
  <c r="E4" i="4"/>
  <c r="B5" i="62" s="1"/>
  <c r="B73" i="72" s="1"/>
  <c r="C4" i="4"/>
  <c r="F30" i="69"/>
  <c r="F48" i="69" s="1"/>
  <c r="S12" i="33"/>
  <c r="AA12" i="33"/>
  <c r="J32" i="39"/>
  <c r="H32" i="39"/>
  <c r="AB32" i="39" s="1"/>
  <c r="AA32" i="39"/>
  <c r="S32" i="39"/>
  <c r="AA21" i="39"/>
  <c r="S21" i="39"/>
  <c r="J19" i="37"/>
  <c r="W19" i="37" s="1"/>
  <c r="G75" i="37"/>
  <c r="J23" i="37"/>
  <c r="AC23" i="37" s="1"/>
  <c r="G79" i="37"/>
  <c r="J10" i="37"/>
  <c r="W10" i="37" s="1"/>
  <c r="G63" i="37"/>
  <c r="H63" i="37" s="1"/>
  <c r="I63" i="37" s="1"/>
  <c r="H11" i="37"/>
  <c r="AB11" i="37" s="1"/>
  <c r="G70" i="34"/>
  <c r="H11" i="34"/>
  <c r="U11" i="34" s="1"/>
  <c r="J10" i="34"/>
  <c r="AC10" i="34" s="1"/>
  <c r="W35" i="33"/>
  <c r="AC35" i="33"/>
  <c r="J36" i="33"/>
  <c r="W36" i="33" s="1"/>
  <c r="H36" i="33"/>
  <c r="U36" i="33" s="1"/>
  <c r="S36" i="33"/>
  <c r="U27" i="33"/>
  <c r="G91" i="33"/>
  <c r="H91" i="33"/>
  <c r="I91" i="33" s="1"/>
  <c r="J91" i="33" s="1"/>
  <c r="K91" i="33" s="1"/>
  <c r="L91" i="33" s="1"/>
  <c r="M91" i="33" s="1"/>
  <c r="J27" i="33"/>
  <c r="AC27" i="33" s="1"/>
  <c r="AA25" i="33"/>
  <c r="G87" i="33"/>
  <c r="H87" i="33" s="1"/>
  <c r="I87" i="33" s="1"/>
  <c r="J87" i="33" s="1"/>
  <c r="K87" i="33" s="1"/>
  <c r="L87" i="33" s="1"/>
  <c r="M87" i="33" s="1"/>
  <c r="J25" i="33"/>
  <c r="AC25" i="33" s="1"/>
  <c r="U23" i="33"/>
  <c r="F23" i="33"/>
  <c r="G85" i="33"/>
  <c r="AA19" i="33"/>
  <c r="H19" i="33"/>
  <c r="U19" i="33" s="1"/>
  <c r="H17" i="33"/>
  <c r="U17" i="33" s="1"/>
  <c r="F17" i="33"/>
  <c r="S17" i="33" s="1"/>
  <c r="S37" i="21"/>
  <c r="AB15" i="21"/>
  <c r="J23" i="21"/>
  <c r="F85" i="21"/>
  <c r="G85" i="21" s="1"/>
  <c r="H23" i="21"/>
  <c r="S13" i="21"/>
  <c r="D6" i="52"/>
  <c r="AP7" i="1"/>
  <c r="AB9" i="21"/>
  <c r="U9" i="21"/>
  <c r="AA32" i="21"/>
  <c r="S32" i="21"/>
  <c r="W9" i="21"/>
  <c r="AB32" i="21"/>
  <c r="U32" i="21"/>
  <c r="U32" i="39"/>
  <c r="AC32" i="39"/>
  <c r="W32" i="39"/>
  <c r="W23" i="37"/>
  <c r="J63" i="37"/>
  <c r="K63" i="37" s="1"/>
  <c r="L63" i="37" s="1"/>
  <c r="M63" i="37" s="1"/>
  <c r="J11" i="37"/>
  <c r="AC11" i="37" s="1"/>
  <c r="H70" i="34"/>
  <c r="I70" i="34" s="1"/>
  <c r="J70" i="34" s="1"/>
  <c r="K70" i="34" s="1"/>
  <c r="L70" i="34" s="1"/>
  <c r="M70" i="34" s="1"/>
  <c r="J11" i="34"/>
  <c r="W11" i="34" s="1"/>
  <c r="W25" i="33"/>
  <c r="AA17" i="33"/>
  <c r="U23" i="21"/>
  <c r="AB23" i="21"/>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15"/>
  <c r="B11" i="76"/>
  <c r="F9" i="67"/>
  <c r="E2" i="68"/>
  <c r="E8" i="76"/>
  <c r="F7" i="73"/>
  <c r="F6" i="73"/>
  <c r="E12" i="76"/>
  <c r="B13" i="76"/>
  <c r="M23" i="67"/>
  <c r="E7" i="76"/>
  <c r="F37" i="67"/>
  <c r="B10" i="76"/>
  <c r="F16" i="67"/>
  <c r="B8" i="76"/>
  <c r="B9" i="76"/>
  <c r="J15" i="67"/>
  <c r="F9" i="15"/>
  <c r="E13" i="76"/>
  <c r="F20" i="31"/>
  <c r="F6" i="67"/>
  <c r="M29" i="67"/>
  <c r="M28" i="67"/>
  <c r="E11" i="76"/>
  <c r="M28" i="15"/>
  <c r="F5" i="73"/>
  <c r="F37" i="15"/>
  <c r="M9" i="67"/>
  <c r="F4" i="73"/>
  <c r="M8" i="67"/>
  <c r="F3" i="73"/>
  <c r="F8" i="67"/>
  <c r="F43" i="67"/>
  <c r="L48" i="67"/>
  <c r="D6" i="73"/>
  <c r="B7" i="76"/>
  <c r="B12" i="76"/>
  <c r="E2" i="69"/>
  <c r="C76" i="67"/>
  <c r="E9" i="76"/>
  <c r="F16" i="15"/>
  <c r="E10" i="76"/>
  <c r="F13" i="67"/>
  <c r="M26" i="67"/>
  <c r="M6" i="67"/>
  <c r="AO13" i="1"/>
  <c r="D22" i="15" l="1"/>
  <c r="D23" i="15"/>
  <c r="J51" i="15"/>
  <c r="F52" i="9"/>
  <c r="F32" i="15"/>
  <c r="F60" i="15" s="1"/>
  <c r="F30" i="68"/>
  <c r="F48" i="68" s="1"/>
  <c r="F31" i="12"/>
  <c r="F54" i="9"/>
  <c r="F28" i="15"/>
  <c r="F32" i="67"/>
  <c r="F60" i="67" s="1"/>
  <c r="F28" i="67"/>
  <c r="D68" i="9"/>
  <c r="M18" i="15"/>
  <c r="M18" i="67"/>
  <c r="F30" i="11"/>
  <c r="C48" i="11" s="1"/>
  <c r="C40" i="11"/>
  <c r="C40" i="68"/>
  <c r="C21" i="68"/>
  <c r="BC5" i="3"/>
  <c r="C19" i="39"/>
  <c r="B57" i="43"/>
  <c r="B67" i="43"/>
  <c r="B77" i="43"/>
  <c r="B56" i="43"/>
  <c r="AA45" i="21"/>
  <c r="S45" i="21"/>
  <c r="AZ582" i="3"/>
  <c r="AZ542" i="3"/>
  <c r="AZ538" i="3"/>
  <c r="AZ536" i="3"/>
  <c r="AZ529" i="3"/>
  <c r="AZ526" i="3"/>
  <c r="AZ508" i="3"/>
  <c r="AZ493" i="3"/>
  <c r="AZ587" i="3"/>
  <c r="AC33" i="34"/>
  <c r="W33" i="34"/>
  <c r="S15" i="37"/>
  <c r="AA15" i="37"/>
  <c r="AA42" i="33"/>
  <c r="S42" i="33"/>
  <c r="U17" i="34"/>
  <c r="AB17" i="34"/>
  <c r="S38" i="21"/>
  <c r="AA38" i="21"/>
  <c r="BL587" i="3"/>
  <c r="BA586" i="3"/>
  <c r="AZ586" i="3" s="1"/>
  <c r="W14" i="35"/>
  <c r="AC14" i="35"/>
  <c r="F29" i="33"/>
  <c r="J29" i="33"/>
  <c r="AC29" i="33" s="1"/>
  <c r="F14" i="34"/>
  <c r="H14" i="34"/>
  <c r="F32" i="34"/>
  <c r="J32" i="34"/>
  <c r="BA583" i="3"/>
  <c r="BA564" i="3"/>
  <c r="AZ564" i="3" s="1"/>
  <c r="BL552" i="3"/>
  <c r="BA552" i="3"/>
  <c r="BL551" i="3"/>
  <c r="BA548" i="3"/>
  <c r="BA547" i="3"/>
  <c r="AZ544" i="3"/>
  <c r="BA541" i="3"/>
  <c r="BL534" i="3"/>
  <c r="BA534" i="3"/>
  <c r="AZ534" i="3" s="1"/>
  <c r="BA531" i="3"/>
  <c r="BL530" i="3"/>
  <c r="AZ530" i="3" s="1"/>
  <c r="BA525" i="3"/>
  <c r="AZ525" i="3" s="1"/>
  <c r="AZ524" i="3"/>
  <c r="BA519" i="3"/>
  <c r="BL512" i="3"/>
  <c r="BA512" i="3"/>
  <c r="AZ512" i="3" s="1"/>
  <c r="BL509" i="3"/>
  <c r="BA509" i="3"/>
  <c r="AZ509" i="3" s="1"/>
  <c r="BL508" i="3"/>
  <c r="BA507" i="3"/>
  <c r="BA506" i="3"/>
  <c r="AZ506" i="3" s="1"/>
  <c r="AZ501" i="3"/>
  <c r="AB19" i="33"/>
  <c r="W27" i="33"/>
  <c r="AB25" i="33"/>
  <c r="AC32" i="33"/>
  <c r="AB41" i="33"/>
  <c r="AC17" i="37"/>
  <c r="S39" i="40"/>
  <c r="AB36" i="21"/>
  <c r="AB46" i="21"/>
  <c r="S23" i="37"/>
  <c r="AA23" i="37"/>
  <c r="AA17" i="37"/>
  <c r="S17" i="37"/>
  <c r="AA36" i="35"/>
  <c r="S40" i="34"/>
  <c r="AA40" i="34"/>
  <c r="S27" i="40"/>
  <c r="AA27" i="40"/>
  <c r="AB32" i="37"/>
  <c r="U32" i="37"/>
  <c r="AZ15" i="3"/>
  <c r="S24" i="35"/>
  <c r="AA24" i="35"/>
  <c r="BL511" i="3"/>
  <c r="AZ511" i="3" s="1"/>
  <c r="BL543" i="3"/>
  <c r="S35" i="39"/>
  <c r="S45" i="34"/>
  <c r="AA45" i="34"/>
  <c r="H29" i="33"/>
  <c r="AA33" i="36"/>
  <c r="S33" i="36"/>
  <c r="AA37" i="39"/>
  <c r="S37" i="39"/>
  <c r="W39" i="21"/>
  <c r="AC39" i="21"/>
  <c r="AB33" i="33"/>
  <c r="U33" i="33"/>
  <c r="AC28" i="35"/>
  <c r="W28" i="35"/>
  <c r="J33" i="40"/>
  <c r="F33" i="40"/>
  <c r="BK5" i="3"/>
  <c r="BP5" i="3"/>
  <c r="BT5" i="3"/>
  <c r="AZ163" i="3"/>
  <c r="BR5" i="3"/>
  <c r="AC5" i="3"/>
  <c r="BB5" i="3"/>
  <c r="BJ5" i="3"/>
  <c r="G32" i="3"/>
  <c r="H5" i="3"/>
  <c r="BE5" i="3"/>
  <c r="BI5" i="3"/>
  <c r="BD5" i="3"/>
  <c r="BH5" i="3"/>
  <c r="AZ65" i="3"/>
  <c r="BO5" i="3"/>
  <c r="BS5" i="3"/>
  <c r="AB21" i="37"/>
  <c r="U21" i="37"/>
  <c r="AB36" i="33"/>
  <c r="AA23" i="21"/>
  <c r="AA19" i="37"/>
  <c r="U27" i="21"/>
  <c r="AC15" i="21"/>
  <c r="AC14" i="34"/>
  <c r="AC41" i="39"/>
  <c r="S39" i="21"/>
  <c r="S36" i="37"/>
  <c r="AC29" i="37"/>
  <c r="S14" i="36"/>
  <c r="U26" i="36"/>
  <c r="BM5" i="3"/>
  <c r="F29" i="6" s="1"/>
  <c r="AB21" i="40"/>
  <c r="U21" i="40"/>
  <c r="AC36" i="40"/>
  <c r="W36" i="40"/>
  <c r="U23" i="37"/>
  <c r="AB23" i="37"/>
  <c r="BL519" i="3"/>
  <c r="AZ519" i="3" s="1"/>
  <c r="BL531" i="3"/>
  <c r="AZ531" i="3" s="1"/>
  <c r="AC27" i="37"/>
  <c r="W27" i="37"/>
  <c r="H33" i="40"/>
  <c r="F38" i="37"/>
  <c r="S14" i="33"/>
  <c r="AA14" i="33"/>
  <c r="AA40" i="37"/>
  <c r="S40" i="37"/>
  <c r="AC26" i="36"/>
  <c r="W26" i="36"/>
  <c r="H32" i="34"/>
  <c r="AA28" i="21"/>
  <c r="S28" i="21"/>
  <c r="S23" i="40"/>
  <c r="AA23" i="40"/>
  <c r="S41" i="33"/>
  <c r="AA41" i="33"/>
  <c r="AB23" i="34"/>
  <c r="U23" i="34"/>
  <c r="AA23" i="35"/>
  <c r="S23" i="35"/>
  <c r="W23" i="40"/>
  <c r="AC23" i="40"/>
  <c r="AB19" i="39"/>
  <c r="U19" i="39"/>
  <c r="J35" i="39"/>
  <c r="AC35" i="39" s="1"/>
  <c r="S27" i="33"/>
  <c r="AA27" i="33"/>
  <c r="AB34" i="35"/>
  <c r="U34" i="35"/>
  <c r="J23" i="35"/>
  <c r="H23" i="35"/>
  <c r="H35" i="39"/>
  <c r="H44" i="39"/>
  <c r="F44" i="39"/>
  <c r="J44" i="39"/>
  <c r="AC31" i="40"/>
  <c r="W31" i="40"/>
  <c r="S26" i="36"/>
  <c r="AA26" i="36"/>
  <c r="S14" i="39"/>
  <c r="AA14" i="39"/>
  <c r="AB38" i="37"/>
  <c r="U38" i="37"/>
  <c r="U13" i="36"/>
  <c r="AB13" i="36"/>
  <c r="AC44" i="21"/>
  <c r="W44" i="21"/>
  <c r="U42" i="21"/>
  <c r="AB42" i="21"/>
  <c r="AC38" i="33"/>
  <c r="W38" i="33"/>
  <c r="J45" i="33"/>
  <c r="F45" i="33"/>
  <c r="H45" i="33"/>
  <c r="F12" i="35"/>
  <c r="J12" i="35"/>
  <c r="H12" i="35"/>
  <c r="BL584" i="3"/>
  <c r="BA584" i="3"/>
  <c r="BL563" i="3"/>
  <c r="AZ563" i="3" s="1"/>
  <c r="BA562" i="3"/>
  <c r="AZ562" i="3" s="1"/>
  <c r="BA561" i="3"/>
  <c r="AZ561" i="3" s="1"/>
  <c r="BA556" i="3"/>
  <c r="AZ556" i="3" s="1"/>
  <c r="BA555" i="3"/>
  <c r="BA553" i="3"/>
  <c r="AZ553" i="3" s="1"/>
  <c r="BL549" i="3"/>
  <c r="AZ549" i="3" s="1"/>
  <c r="BL540" i="3"/>
  <c r="AZ540" i="3" s="1"/>
  <c r="BA540" i="3"/>
  <c r="AZ537" i="3"/>
  <c r="BA535" i="3"/>
  <c r="BL532" i="3"/>
  <c r="BA532" i="3"/>
  <c r="BL528" i="3"/>
  <c r="AZ528" i="3" s="1"/>
  <c r="BA527" i="3"/>
  <c r="BL522" i="3"/>
  <c r="BL520" i="3"/>
  <c r="AZ520" i="3" s="1"/>
  <c r="BL513" i="3"/>
  <c r="BA513" i="3"/>
  <c r="BL510" i="3"/>
  <c r="BA510" i="3"/>
  <c r="BA505" i="3"/>
  <c r="AZ505" i="3" s="1"/>
  <c r="W15" i="37"/>
  <c r="AC15" i="37"/>
  <c r="W12" i="37"/>
  <c r="AC12" i="37"/>
  <c r="AZ541" i="3"/>
  <c r="AZ500" i="3"/>
  <c r="AC37" i="40"/>
  <c r="W37" i="40"/>
  <c r="AA28" i="37"/>
  <c r="S28" i="37"/>
  <c r="W17" i="34"/>
  <c r="AC17" i="34"/>
  <c r="AB40" i="34"/>
  <c r="U40" i="34"/>
  <c r="W21" i="40"/>
  <c r="AC21" i="40"/>
  <c r="H45" i="21"/>
  <c r="J45" i="21"/>
  <c r="J27" i="34"/>
  <c r="H27" i="34"/>
  <c r="AB26" i="37"/>
  <c r="U26" i="37"/>
  <c r="AA31" i="35"/>
  <c r="S31" i="35"/>
  <c r="BA558" i="3"/>
  <c r="AZ558" i="3" s="1"/>
  <c r="BA557" i="3"/>
  <c r="BA543" i="3"/>
  <c r="AZ543" i="3" s="1"/>
  <c r="BL542" i="3"/>
  <c r="BL537" i="3"/>
  <c r="BL533" i="3"/>
  <c r="AZ533" i="3" s="1"/>
  <c r="BA522" i="3"/>
  <c r="AZ522" i="3" s="1"/>
  <c r="BL518" i="3"/>
  <c r="BA518" i="3"/>
  <c r="BA516" i="3"/>
  <c r="AZ516" i="3" s="1"/>
  <c r="BL504" i="3"/>
  <c r="BA504" i="3"/>
  <c r="BA502" i="3"/>
  <c r="AZ502" i="3" s="1"/>
  <c r="BA499" i="3"/>
  <c r="AZ499" i="3" s="1"/>
  <c r="BA498" i="3"/>
  <c r="AZ498" i="3" s="1"/>
  <c r="BA495" i="3"/>
  <c r="W17" i="33"/>
  <c r="AB21" i="39"/>
  <c r="AB35" i="37"/>
  <c r="W38" i="37"/>
  <c r="H12" i="39"/>
  <c r="AA47" i="34"/>
  <c r="W12" i="39"/>
  <c r="S33" i="34"/>
  <c r="AA33" i="34"/>
  <c r="AZ17" i="3"/>
  <c r="BN5" i="3"/>
  <c r="G29" i="6" s="1"/>
  <c r="AZ384" i="3"/>
  <c r="AZ379" i="3"/>
  <c r="AZ159" i="3"/>
  <c r="F12" i="39"/>
  <c r="S31" i="40"/>
  <c r="AA31" i="40"/>
  <c r="AC25" i="21"/>
  <c r="W25" i="21"/>
  <c r="BL535" i="3"/>
  <c r="AZ535" i="3" s="1"/>
  <c r="BL583" i="3"/>
  <c r="AZ583" i="3" s="1"/>
  <c r="S44" i="34"/>
  <c r="AA14" i="37"/>
  <c r="S25" i="35"/>
  <c r="AA25" i="35"/>
  <c r="AB29" i="34"/>
  <c r="U29" i="34"/>
  <c r="AA13" i="34"/>
  <c r="S13" i="34"/>
  <c r="AC44" i="33"/>
  <c r="W44" i="33"/>
  <c r="W11" i="35"/>
  <c r="AC11" i="35"/>
  <c r="AC20" i="35"/>
  <c r="W20" i="35"/>
  <c r="AA19" i="21"/>
  <c r="S19" i="21"/>
  <c r="H36" i="35"/>
  <c r="J36" i="35"/>
  <c r="AC36" i="35" s="1"/>
  <c r="U12" i="36"/>
  <c r="AB12" i="36"/>
  <c r="AB31" i="36"/>
  <c r="U31" i="36"/>
  <c r="AB8" i="40"/>
  <c r="U8" i="40"/>
  <c r="AZ391" i="3"/>
  <c r="AZ362" i="3"/>
  <c r="AZ318" i="3"/>
  <c r="AZ139" i="3"/>
  <c r="AZ378" i="3"/>
  <c r="S11" i="39"/>
  <c r="AA11" i="39"/>
  <c r="U31" i="37"/>
  <c r="AB31" i="37"/>
  <c r="AC43" i="33"/>
  <c r="W43" i="33"/>
  <c r="BL553" i="3"/>
  <c r="AZ574" i="3"/>
  <c r="AC47" i="34"/>
  <c r="W47" i="34"/>
  <c r="H14" i="21"/>
  <c r="J14" i="21"/>
  <c r="W28" i="21"/>
  <c r="AC28" i="21"/>
  <c r="F30" i="21"/>
  <c r="J30" i="21"/>
  <c r="AA38" i="33"/>
  <c r="S38" i="33"/>
  <c r="H9" i="33"/>
  <c r="F9" i="33"/>
  <c r="AA9" i="33" s="1"/>
  <c r="AA23" i="36"/>
  <c r="S23" i="36"/>
  <c r="AC28" i="36"/>
  <c r="W28" i="36"/>
  <c r="J24" i="36"/>
  <c r="F24" i="36"/>
  <c r="J39" i="37"/>
  <c r="H39" i="37"/>
  <c r="F39" i="37"/>
  <c r="S39" i="37" s="1"/>
  <c r="BA579" i="3"/>
  <c r="AZ579" i="3" s="1"/>
  <c r="BA578" i="3"/>
  <c r="BL575" i="3"/>
  <c r="AZ575" i="3" s="1"/>
  <c r="BA571" i="3"/>
  <c r="AZ571" i="3" s="1"/>
  <c r="BL570" i="3"/>
  <c r="BA570" i="3"/>
  <c r="J55" i="39"/>
  <c r="J50" i="40"/>
  <c r="AZ407" i="3"/>
  <c r="AZ303" i="3"/>
  <c r="AA43" i="34"/>
  <c r="S43" i="34"/>
  <c r="AC27" i="40"/>
  <c r="W27" i="40"/>
  <c r="AZ311" i="3"/>
  <c r="AZ364" i="3"/>
  <c r="AZ329" i="3"/>
  <c r="BL539" i="3"/>
  <c r="AZ539" i="3" s="1"/>
  <c r="BL559" i="3"/>
  <c r="AZ559" i="3" s="1"/>
  <c r="BL565" i="3"/>
  <c r="AZ565" i="3" s="1"/>
  <c r="AZ577" i="3"/>
  <c r="AZ580" i="3"/>
  <c r="H28" i="21"/>
  <c r="C25" i="39"/>
  <c r="B97" i="43"/>
  <c r="B75" i="43"/>
  <c r="AB35" i="33"/>
  <c r="U35" i="33"/>
  <c r="J26" i="33"/>
  <c r="F26" i="33"/>
  <c r="H26" i="33"/>
  <c r="AC9" i="34"/>
  <c r="W9" i="34"/>
  <c r="AB28" i="35"/>
  <c r="U28" i="35"/>
  <c r="AC22" i="35"/>
  <c r="W22" i="35"/>
  <c r="H31" i="39"/>
  <c r="F31" i="39"/>
  <c r="J43" i="39"/>
  <c r="F43" i="39"/>
  <c r="J37" i="39"/>
  <c r="H37" i="39"/>
  <c r="AB38" i="39"/>
  <c r="U38" i="39"/>
  <c r="AB38" i="40"/>
  <c r="U38" i="40"/>
  <c r="AZ419" i="3"/>
  <c r="AZ429" i="3"/>
  <c r="BA331" i="3"/>
  <c r="AZ331" i="3" s="1"/>
  <c r="G587" i="3"/>
  <c r="H25" i="37"/>
  <c r="F25" i="37"/>
  <c r="G551" i="3"/>
  <c r="BL550" i="3"/>
  <c r="G542" i="3"/>
  <c r="G411" i="3"/>
  <c r="AZ14" i="3"/>
  <c r="AZ345" i="3"/>
  <c r="AZ334" i="3"/>
  <c r="AZ372" i="3"/>
  <c r="AZ347" i="3"/>
  <c r="AZ337" i="3"/>
  <c r="AZ376" i="3"/>
  <c r="AZ324" i="3"/>
  <c r="AZ309" i="3"/>
  <c r="BL503" i="3"/>
  <c r="AZ503" i="3" s="1"/>
  <c r="BL515" i="3"/>
  <c r="AZ515" i="3" s="1"/>
  <c r="BL523" i="3"/>
  <c r="AZ523" i="3" s="1"/>
  <c r="BL527" i="3"/>
  <c r="BL547" i="3"/>
  <c r="AZ569" i="3"/>
  <c r="BL557" i="3"/>
  <c r="J28" i="34"/>
  <c r="BL585" i="3"/>
  <c r="AZ585" i="3" s="1"/>
  <c r="J25" i="37"/>
  <c r="G570" i="3"/>
  <c r="AZ453" i="3"/>
  <c r="AZ466" i="3"/>
  <c r="G358" i="3"/>
  <c r="BL381" i="3"/>
  <c r="AZ381" i="3" s="1"/>
  <c r="AZ228" i="3"/>
  <c r="BL15"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BA395" i="3"/>
  <c r="AZ395" i="3" s="1"/>
  <c r="BA208" i="3"/>
  <c r="AZ208" i="3" s="1"/>
  <c r="BA211" i="3"/>
  <c r="AZ211" i="3" s="1"/>
  <c r="BA218" i="3"/>
  <c r="BL218" i="3"/>
  <c r="BA227" i="3"/>
  <c r="AZ227" i="3" s="1"/>
  <c r="BL231" i="3"/>
  <c r="BA251" i="3"/>
  <c r="BL251" i="3"/>
  <c r="BL275" i="3"/>
  <c r="BL285" i="3"/>
  <c r="BL155" i="3"/>
  <c r="AZ155" i="3" s="1"/>
  <c r="G574" i="3"/>
  <c r="BL16" i="3"/>
  <c r="AZ16" i="3" s="1"/>
  <c r="BA401" i="3"/>
  <c r="BA403" i="3"/>
  <c r="AZ403" i="3" s="1"/>
  <c r="BA404" i="3"/>
  <c r="AZ404" i="3" s="1"/>
  <c r="BA405" i="3"/>
  <c r="AZ405" i="3" s="1"/>
  <c r="G409" i="3"/>
  <c r="BL410" i="3"/>
  <c r="G412" i="3"/>
  <c r="G419" i="3"/>
  <c r="BA422" i="3"/>
  <c r="AZ422" i="3" s="1"/>
  <c r="G430" i="3"/>
  <c r="BL431" i="3"/>
  <c r="AZ431" i="3" s="1"/>
  <c r="BL434" i="3"/>
  <c r="G437" i="3"/>
  <c r="BL438" i="3"/>
  <c r="BL439" i="3"/>
  <c r="BA441" i="3"/>
  <c r="AZ441" i="3" s="1"/>
  <c r="BL445" i="3"/>
  <c r="BL446" i="3"/>
  <c r="BL449" i="3"/>
  <c r="BL450" i="3"/>
  <c r="BL452" i="3"/>
  <c r="G455" i="3"/>
  <c r="BL456" i="3"/>
  <c r="AZ456" i="3" s="1"/>
  <c r="BA464" i="3"/>
  <c r="AZ464" i="3" s="1"/>
  <c r="BL467" i="3"/>
  <c r="BL468" i="3"/>
  <c r="BL470" i="3"/>
  <c r="BL473" i="3"/>
  <c r="AZ473" i="3" s="1"/>
  <c r="BL474" i="3"/>
  <c r="BA482" i="3"/>
  <c r="BA484" i="3"/>
  <c r="AZ484" i="3" s="1"/>
  <c r="BA303" i="3"/>
  <c r="BA307" i="3"/>
  <c r="AZ307" i="3" s="1"/>
  <c r="BL314" i="3"/>
  <c r="AZ314" i="3" s="1"/>
  <c r="BA332" i="3"/>
  <c r="AZ332" i="3" s="1"/>
  <c r="BL332" i="3"/>
  <c r="G339" i="3"/>
  <c r="G364" i="3"/>
  <c r="BA367" i="3"/>
  <c r="AZ367" i="3" s="1"/>
  <c r="BA370" i="3"/>
  <c r="AZ370" i="3" s="1"/>
  <c r="BA386" i="3"/>
  <c r="AZ386" i="3" s="1"/>
  <c r="BL215" i="3"/>
  <c r="BA233" i="3"/>
  <c r="AZ233" i="3" s="1"/>
  <c r="BA249" i="3"/>
  <c r="AZ249" i="3" s="1"/>
  <c r="BL249" i="3"/>
  <c r="BL252" i="3"/>
  <c r="BA270" i="3"/>
  <c r="AZ270" i="3" s="1"/>
  <c r="BL299" i="3"/>
  <c r="BL113" i="3"/>
  <c r="BL115" i="3"/>
  <c r="AZ115" i="3" s="1"/>
  <c r="BA118" i="3"/>
  <c r="AZ118" i="3" s="1"/>
  <c r="BL118" i="3"/>
  <c r="BL125" i="3"/>
  <c r="AZ125" i="3" s="1"/>
  <c r="BL126" i="3"/>
  <c r="BA551" i="3"/>
  <c r="AZ551" i="3" s="1"/>
  <c r="BA550" i="3"/>
  <c r="BL548" i="3"/>
  <c r="G398" i="3"/>
  <c r="BL400" i="3"/>
  <c r="AZ400" i="3" s="1"/>
  <c r="BL408" i="3"/>
  <c r="AZ408" i="3" s="1"/>
  <c r="BL411" i="3"/>
  <c r="AZ411" i="3" s="1"/>
  <c r="BL413" i="3"/>
  <c r="AZ413" i="3" s="1"/>
  <c r="G415" i="3"/>
  <c r="BL417" i="3"/>
  <c r="AZ417" i="3" s="1"/>
  <c r="BL418" i="3"/>
  <c r="BL420" i="3"/>
  <c r="G422" i="3"/>
  <c r="G423" i="3"/>
  <c r="BL424" i="3"/>
  <c r="G426" i="3"/>
  <c r="G427" i="3"/>
  <c r="BL428" i="3"/>
  <c r="AZ428" i="3" s="1"/>
  <c r="BL429" i="3"/>
  <c r="BL432" i="3"/>
  <c r="AZ432" i="3" s="1"/>
  <c r="BL435" i="3"/>
  <c r="BL436" i="3"/>
  <c r="BA439" i="3"/>
  <c r="BA440" i="3"/>
  <c r="AZ440" i="3" s="1"/>
  <c r="BA442" i="3"/>
  <c r="BA445" i="3"/>
  <c r="BA447" i="3"/>
  <c r="AZ447" i="3" s="1"/>
  <c r="BA449" i="3"/>
  <c r="AZ449" i="3" s="1"/>
  <c r="BL453" i="3"/>
  <c r="BL454" i="3"/>
  <c r="G458" i="3"/>
  <c r="BL459" i="3"/>
  <c r="G461" i="3"/>
  <c r="G462" i="3"/>
  <c r="BA465" i="3"/>
  <c r="AZ465" i="3" s="1"/>
  <c r="BA467" i="3"/>
  <c r="AZ467" i="3" s="1"/>
  <c r="BA468" i="3"/>
  <c r="BL471" i="3"/>
  <c r="AZ471" i="3" s="1"/>
  <c r="BL475" i="3"/>
  <c r="BA477" i="3"/>
  <c r="AZ477" i="3" s="1"/>
  <c r="BA478" i="3"/>
  <c r="BA481" i="3"/>
  <c r="G484" i="3"/>
  <c r="BA488" i="3"/>
  <c r="AZ488" i="3" s="1"/>
  <c r="BA491" i="3"/>
  <c r="BL324" i="3"/>
  <c r="BL328" i="3"/>
  <c r="AZ328" i="3" s="1"/>
  <c r="G329" i="3"/>
  <c r="BA335" i="3"/>
  <c r="AZ335" i="3" s="1"/>
  <c r="BA339" i="3"/>
  <c r="AZ339" i="3" s="1"/>
  <c r="G343" i="3"/>
  <c r="G347" i="3"/>
  <c r="BA348" i="3"/>
  <c r="BA350" i="3"/>
  <c r="AZ350" i="3" s="1"/>
  <c r="BA354" i="3"/>
  <c r="BA366" i="3"/>
  <c r="AZ366" i="3" s="1"/>
  <c r="BL375" i="3"/>
  <c r="AZ375" i="3" s="1"/>
  <c r="BL385" i="3"/>
  <c r="G392" i="3"/>
  <c r="G213" i="3"/>
  <c r="BA214" i="3"/>
  <c r="AZ214" i="3" s="1"/>
  <c r="BL219" i="3"/>
  <c r="BL223" i="3"/>
  <c r="G226" i="3"/>
  <c r="BA229" i="3"/>
  <c r="AZ229" i="3" s="1"/>
  <c r="BL229" i="3"/>
  <c r="BA231" i="3"/>
  <c r="BL235" i="3"/>
  <c r="AZ235" i="3" s="1"/>
  <c r="BL236" i="3"/>
  <c r="BL238" i="3"/>
  <c r="BL243" i="3"/>
  <c r="BA247" i="3"/>
  <c r="AZ247" i="3" s="1"/>
  <c r="BL247" i="3"/>
  <c r="BA253" i="3"/>
  <c r="BL259" i="3"/>
  <c r="BL260" i="3"/>
  <c r="AZ260" i="3" s="1"/>
  <c r="BL263" i="3"/>
  <c r="BA272" i="3"/>
  <c r="AZ272" i="3" s="1"/>
  <c r="BA275" i="3"/>
  <c r="G287" i="3"/>
  <c r="BA290" i="3"/>
  <c r="G292" i="3"/>
  <c r="BA293" i="3"/>
  <c r="G128" i="3"/>
  <c r="G134" i="3"/>
  <c r="BL134" i="3"/>
  <c r="BL137" i="3"/>
  <c r="G143" i="3"/>
  <c r="BA144" i="3"/>
  <c r="AZ144" i="3" s="1"/>
  <c r="BA149" i="3"/>
  <c r="BA153" i="3"/>
  <c r="G158" i="3"/>
  <c r="BL163" i="3"/>
  <c r="AC21" i="21"/>
  <c r="W21" i="21"/>
  <c r="BA397" i="3"/>
  <c r="AZ397" i="3" s="1"/>
  <c r="BL397" i="3"/>
  <c r="BA210" i="3"/>
  <c r="BL210" i="3"/>
  <c r="BL212" i="3"/>
  <c r="AZ212" i="3" s="1"/>
  <c r="G214" i="3"/>
  <c r="BL214" i="3"/>
  <c r="G216" i="3"/>
  <c r="BL225" i="3"/>
  <c r="AZ225" i="3" s="1"/>
  <c r="BL226" i="3"/>
  <c r="G227" i="3"/>
  <c r="BA239" i="3"/>
  <c r="BL239" i="3"/>
  <c r="BA241" i="3"/>
  <c r="AZ241" i="3" s="1"/>
  <c r="BL241" i="3"/>
  <c r="BA244" i="3"/>
  <c r="BL244" i="3"/>
  <c r="BA246" i="3"/>
  <c r="BA252" i="3"/>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7" i="3"/>
  <c r="BA130" i="3"/>
  <c r="BL130" i="3"/>
  <c r="BA137" i="3"/>
  <c r="BL138" i="3"/>
  <c r="BA140" i="3"/>
  <c r="AZ140" i="3" s="1"/>
  <c r="BA142" i="3"/>
  <c r="BL149" i="3"/>
  <c r="BL150" i="3"/>
  <c r="AZ150" i="3" s="1"/>
  <c r="G151" i="3"/>
  <c r="BA152" i="3"/>
  <c r="AZ152" i="3" s="1"/>
  <c r="BA154" i="3"/>
  <c r="AZ154" i="3" s="1"/>
  <c r="BA160" i="3"/>
  <c r="AZ160" i="3" s="1"/>
  <c r="BL162" i="3"/>
  <c r="AZ162" i="3" s="1"/>
  <c r="BL165" i="3"/>
  <c r="BL177" i="3"/>
  <c r="AZ177" i="3" s="1"/>
  <c r="BL205" i="3"/>
  <c r="BA50" i="3"/>
  <c r="BA62" i="3"/>
  <c r="AZ62" i="3" s="1"/>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G140" i="3"/>
  <c r="BL141" i="3"/>
  <c r="BL143" i="3"/>
  <c r="AZ143" i="3" s="1"/>
  <c r="G146" i="3"/>
  <c r="G147" i="3"/>
  <c r="G154" i="3"/>
  <c r="G156" i="3"/>
  <c r="BL157" i="3"/>
  <c r="AZ157" i="3" s="1"/>
  <c r="BL159" i="3"/>
  <c r="G160" i="3"/>
  <c r="BL167" i="3"/>
  <c r="AZ167" i="3" s="1"/>
  <c r="G172" i="3"/>
  <c r="BA173" i="3"/>
  <c r="AZ173" i="3" s="1"/>
  <c r="BL181" i="3"/>
  <c r="BL186" i="3"/>
  <c r="AZ186" i="3" s="1"/>
  <c r="BA201" i="3"/>
  <c r="AZ201" i="3" s="1"/>
  <c r="G71" i="3"/>
  <c r="B13" i="1"/>
  <c r="E13" i="1" s="1"/>
  <c r="K13" i="1"/>
  <c r="M13" i="1" s="1"/>
  <c r="O13" i="1" s="1"/>
  <c r="P13" i="1"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BL54" i="3"/>
  <c r="AZ54" i="3" s="1"/>
  <c r="BL55" i="3"/>
  <c r="AZ55" i="3" s="1"/>
  <c r="G57" i="3"/>
  <c r="G58" i="3"/>
  <c r="BA59" i="3"/>
  <c r="AZ59" i="3" s="1"/>
  <c r="G61" i="3"/>
  <c r="BL61" i="3"/>
  <c r="G64" i="3"/>
  <c r="BA64" i="3"/>
  <c r="BA68" i="3"/>
  <c r="BA80" i="3"/>
  <c r="BL84" i="3"/>
  <c r="AZ108" i="3"/>
  <c r="BL111" i="3"/>
  <c r="U21" i="33"/>
  <c r="AB21" i="33"/>
  <c r="AB27" i="71"/>
  <c r="C51" i="71"/>
  <c r="E39" i="71"/>
  <c r="E40" i="71" s="1"/>
  <c r="U40" i="71" s="1"/>
  <c r="Y37" i="71"/>
  <c r="Z37" i="71" s="1"/>
  <c r="F66" i="71"/>
  <c r="Q65" i="71" s="1"/>
  <c r="Q67" i="71"/>
  <c r="X25" i="71"/>
  <c r="AA3" i="7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BA31" i="3"/>
  <c r="AZ31" i="3" s="1"/>
  <c r="BA32" i="3"/>
  <c r="BA38" i="3"/>
  <c r="BA41" i="3"/>
  <c r="BA42" i="3"/>
  <c r="BL48" i="3"/>
  <c r="BA51" i="3"/>
  <c r="BL56" i="3"/>
  <c r="BA58" i="3"/>
  <c r="BL59" i="3"/>
  <c r="BL60" i="3"/>
  <c r="BA61" i="3"/>
  <c r="AZ61" i="3" s="1"/>
  <c r="BL69" i="3"/>
  <c r="AZ69" i="3" s="1"/>
  <c r="BL70" i="3"/>
  <c r="AZ70" i="3" s="1"/>
  <c r="BL71" i="3"/>
  <c r="BL72" i="3"/>
  <c r="AZ72" i="3" s="1"/>
  <c r="G74" i="3"/>
  <c r="BA75" i="3"/>
  <c r="AZ75" i="3" s="1"/>
  <c r="BL86" i="3"/>
  <c r="AZ86" i="3" s="1"/>
  <c r="G87" i="3"/>
  <c r="BA88" i="3"/>
  <c r="BA89" i="3"/>
  <c r="G93" i="3"/>
  <c r="BA98" i="3"/>
  <c r="BL103" i="3"/>
  <c r="AZ103" i="3" s="1"/>
  <c r="G104" i="3"/>
  <c r="BA106" i="3"/>
  <c r="BL108" i="3"/>
  <c r="T32" i="71"/>
  <c r="D32" i="71"/>
  <c r="C47" i="71"/>
  <c r="D47" i="71" s="1"/>
  <c r="D46" i="71"/>
  <c r="C67" i="71"/>
  <c r="T68" i="71"/>
  <c r="O68" i="71"/>
  <c r="T76" i="71"/>
  <c r="D76" i="71"/>
  <c r="C75" i="71"/>
  <c r="Y27" i="71"/>
  <c r="Z27" i="71" s="1"/>
  <c r="Y26" i="71"/>
  <c r="Z26" i="71" s="1"/>
  <c r="C23" i="71"/>
  <c r="B22" i="71"/>
  <c r="B21" i="71" s="1"/>
  <c r="B20" i="71" s="1"/>
  <c r="BA181" i="3"/>
  <c r="BA182" i="3"/>
  <c r="AZ182" i="3" s="1"/>
  <c r="BL185" i="3"/>
  <c r="AZ185" i="3" s="1"/>
  <c r="G186" i="3"/>
  <c r="G187" i="3"/>
  <c r="BL193" i="3"/>
  <c r="G194" i="3"/>
  <c r="BL194" i="3"/>
  <c r="AZ194" i="3" s="1"/>
  <c r="BA198" i="3"/>
  <c r="AZ198" i="3" s="1"/>
  <c r="G204" i="3"/>
  <c r="BL206" i="3"/>
  <c r="BA19" i="3"/>
  <c r="G22" i="3"/>
  <c r="G24" i="3"/>
  <c r="G25" i="3"/>
  <c r="G27" i="3"/>
  <c r="BA27" i="3"/>
  <c r="G30" i="3"/>
  <c r="BL30" i="3"/>
  <c r="AZ30" i="3" s="1"/>
  <c r="BL31" i="3"/>
  <c r="G35" i="3"/>
  <c r="G36" i="3"/>
  <c r="G37" i="3"/>
  <c r="G40" i="3"/>
  <c r="BL40" i="3"/>
  <c r="BL41" i="3"/>
  <c r="G45" i="3"/>
  <c r="BL45" i="3"/>
  <c r="AZ45" i="3" s="1"/>
  <c r="BA48" i="3"/>
  <c r="BA49" i="3"/>
  <c r="AZ49" i="3" s="1"/>
  <c r="BL64" i="3"/>
  <c r="G65" i="3"/>
  <c r="BL65" i="3"/>
  <c r="BL66" i="3"/>
  <c r="BL67" i="3"/>
  <c r="AZ67" i="3" s="1"/>
  <c r="G69" i="3"/>
  <c r="BL73" i="3"/>
  <c r="BA74" i="3"/>
  <c r="AZ74" i="3" s="1"/>
  <c r="BL79" i="3"/>
  <c r="BL81" i="3"/>
  <c r="BA82" i="3"/>
  <c r="AZ82" i="3" s="1"/>
  <c r="BL83" i="3"/>
  <c r="G86" i="3"/>
  <c r="BA87" i="3"/>
  <c r="BL101" i="3"/>
  <c r="BL102" i="3"/>
  <c r="BA109" i="3"/>
  <c r="F3" i="35"/>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T44" i="71"/>
  <c r="P65" i="71"/>
  <c r="P66" i="71"/>
  <c r="AA28" i="71"/>
  <c r="Y25" i="71"/>
  <c r="Z25" i="71" s="1"/>
  <c r="C36" i="71"/>
  <c r="T36" i="71" s="1"/>
  <c r="D35" i="71"/>
  <c r="AB32" i="71"/>
  <c r="Y35" i="71"/>
  <c r="Z35" i="71" s="1"/>
  <c r="S80" i="71"/>
  <c r="B79" i="71"/>
  <c r="B78" i="71" s="1"/>
  <c r="AA27" i="71"/>
  <c r="S28" i="71"/>
  <c r="C83" i="71"/>
  <c r="C79" i="71"/>
  <c r="C71" i="71"/>
  <c r="C39" i="71"/>
  <c r="Y28" i="71"/>
  <c r="Z28" i="71" s="1"/>
  <c r="Y30" i="71"/>
  <c r="Z30" i="71" s="1"/>
  <c r="X28" i="71"/>
  <c r="X32" i="71"/>
  <c r="AB38" i="71"/>
  <c r="F75" i="71"/>
  <c r="F74" i="71" s="1"/>
  <c r="BL50" i="3"/>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S21" i="34"/>
  <c r="B88" i="43"/>
  <c r="F35" i="71"/>
  <c r="F36" i="71" s="1"/>
  <c r="V36" i="71" s="1"/>
  <c r="AA34" i="71"/>
  <c r="E23" i="71"/>
  <c r="E22" i="71" s="1"/>
  <c r="E21" i="71" s="1"/>
  <c r="E20" i="71" s="1"/>
  <c r="BA90" i="3"/>
  <c r="BL94" i="3"/>
  <c r="AZ94" i="3" s="1"/>
  <c r="BA100" i="3"/>
  <c r="AZ100" i="3" s="1"/>
  <c r="BA102" i="3"/>
  <c r="AZ102" i="3" s="1"/>
  <c r="BL105" i="3"/>
  <c r="AZ105" i="3" s="1"/>
  <c r="G107" i="3"/>
  <c r="BL107" i="3"/>
  <c r="BA111" i="3"/>
  <c r="AZ111" i="3" s="1"/>
  <c r="AC21" i="37"/>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29" i="33"/>
  <c r="W46" i="21"/>
  <c r="AC46" i="21"/>
  <c r="D16" i="53"/>
  <c r="B34" i="72" s="1"/>
  <c r="BL507" i="3"/>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5" i="3"/>
  <c r="AZ452" i="3"/>
  <c r="AZ468" i="3"/>
  <c r="AZ470" i="3"/>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46" i="3" s="1"/>
  <c r="AZ90" i="3"/>
  <c r="AZ92" i="3"/>
  <c r="BL78" i="3"/>
  <c r="BA83" i="3"/>
  <c r="AZ83" i="3" s="1"/>
  <c r="G91" i="3"/>
  <c r="BL95" i="3"/>
  <c r="AZ95" i="3" s="1"/>
  <c r="BL98" i="3"/>
  <c r="AZ98" i="3" s="1"/>
  <c r="BL109" i="3"/>
  <c r="AB21" i="21"/>
  <c r="D36" i="71"/>
  <c r="AZ78" i="3"/>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M7" i="15"/>
  <c r="F50" i="15"/>
  <c r="Q71" i="67"/>
  <c r="F71" i="67"/>
  <c r="F65" i="15"/>
  <c r="B13" i="70"/>
  <c r="C36" i="68"/>
  <c r="D9" i="69"/>
  <c r="C36" i="69"/>
  <c r="D9" i="68"/>
  <c r="J15" i="15"/>
  <c r="D4" i="73"/>
  <c r="M24" i="15"/>
  <c r="L48" i="15"/>
  <c r="F38" i="15"/>
  <c r="F6" i="15"/>
  <c r="F36" i="67"/>
  <c r="C76" i="15"/>
  <c r="F40" i="67"/>
  <c r="F36" i="15"/>
  <c r="C16" i="15"/>
  <c r="C16" i="67"/>
  <c r="F40" i="15"/>
  <c r="D3" i="73"/>
  <c r="F42" i="67"/>
  <c r="M22" i="15"/>
  <c r="M6" i="15"/>
  <c r="D7" i="73"/>
  <c r="F43" i="15"/>
  <c r="F38" i="67"/>
  <c r="F42" i="15"/>
  <c r="M9" i="15"/>
  <c r="F8" i="15"/>
  <c r="M23" i="15"/>
  <c r="L47" i="67"/>
  <c r="F26" i="15"/>
  <c r="L47" i="15"/>
  <c r="F26" i="67"/>
  <c r="F13" i="15"/>
  <c r="M24" i="67"/>
  <c r="F7" i="67"/>
  <c r="M26" i="15"/>
  <c r="D5" i="73"/>
  <c r="M29" i="15"/>
  <c r="M22" i="67"/>
  <c r="M8" i="15"/>
  <c r="C30" i="11" l="1"/>
  <c r="E26" i="43"/>
  <c r="H26" i="43"/>
  <c r="N94" i="46"/>
  <c r="J26" i="43"/>
  <c r="N370" i="46"/>
  <c r="F26" i="43"/>
  <c r="D26" i="43" s="1"/>
  <c r="C25" i="43" s="1"/>
  <c r="E14" i="6"/>
  <c r="E63" i="39" s="1"/>
  <c r="F68" i="67"/>
  <c r="C27" i="67"/>
  <c r="F51" i="15"/>
  <c r="C49" i="15" s="1"/>
  <c r="I54" i="15"/>
  <c r="J53" i="15"/>
  <c r="L56" i="15" s="1"/>
  <c r="J57" i="15"/>
  <c r="J55" i="15" s="1"/>
  <c r="J58" i="15" s="1"/>
  <c r="Q50" i="15" s="1"/>
  <c r="F50" i="67"/>
  <c r="C49" i="67" s="1"/>
  <c r="F31" i="67"/>
  <c r="C6" i="67"/>
  <c r="C32" i="67" s="1"/>
  <c r="M7" i="67"/>
  <c r="J6" i="67" s="1"/>
  <c r="J18" i="67" s="1"/>
  <c r="F64" i="67"/>
  <c r="F68" i="15"/>
  <c r="F66" i="67"/>
  <c r="M59" i="67"/>
  <c r="N59" i="67"/>
  <c r="L58" i="67"/>
  <c r="Q73" i="67" s="1"/>
  <c r="L59" i="67"/>
  <c r="Q61" i="67" s="1"/>
  <c r="N59" i="15"/>
  <c r="L58" i="15"/>
  <c r="Q60" i="15" s="1"/>
  <c r="M59" i="15"/>
  <c r="L59" i="15"/>
  <c r="Q61" i="15" s="1"/>
  <c r="F71" i="15"/>
  <c r="C27" i="15"/>
  <c r="C6" i="15"/>
  <c r="C32" i="15" s="1"/>
  <c r="F31" i="15"/>
  <c r="Q71" i="15"/>
  <c r="F66" i="15"/>
  <c r="F64" i="15"/>
  <c r="AA31" i="39"/>
  <c r="S31" i="39"/>
  <c r="S24" i="36"/>
  <c r="AA24" i="36"/>
  <c r="D83" i="71"/>
  <c r="C82" i="71"/>
  <c r="D82" i="71" s="1"/>
  <c r="C22" i="71"/>
  <c r="D23" i="71"/>
  <c r="D67" i="71"/>
  <c r="C66" i="71"/>
  <c r="O67" i="71"/>
  <c r="AZ88" i="3"/>
  <c r="AZ58" i="3"/>
  <c r="AZ64" i="3"/>
  <c r="U25" i="37"/>
  <c r="AB25" i="37"/>
  <c r="U37" i="39"/>
  <c r="AB37" i="39"/>
  <c r="AB26" i="33"/>
  <c r="U26" i="33"/>
  <c r="AB28" i="21"/>
  <c r="U28" i="21"/>
  <c r="AC27" i="34"/>
  <c r="W27" i="34"/>
  <c r="U12" i="35"/>
  <c r="AB12" i="35"/>
  <c r="AA45" i="33"/>
  <c r="S45" i="33"/>
  <c r="AB44" i="39"/>
  <c r="U44" i="39"/>
  <c r="W32" i="34"/>
  <c r="AC32" i="34"/>
  <c r="J7" i="36"/>
  <c r="P6" i="1"/>
  <c r="C13" i="12" s="1"/>
  <c r="E11" i="6"/>
  <c r="E60" i="39" s="1"/>
  <c r="Q16" i="1"/>
  <c r="F27" i="69" s="1"/>
  <c r="F45" i="69" s="1"/>
  <c r="AZ107" i="3"/>
  <c r="AZ165" i="3"/>
  <c r="AZ266" i="3"/>
  <c r="G16" i="1"/>
  <c r="F10" i="39" s="1"/>
  <c r="C40" i="71"/>
  <c r="D39" i="71"/>
  <c r="AZ41" i="3"/>
  <c r="AZ28" i="3"/>
  <c r="AZ121" i="3"/>
  <c r="AZ50" i="3"/>
  <c r="AZ130" i="3"/>
  <c r="AZ244" i="3"/>
  <c r="AZ239" i="3"/>
  <c r="AZ275" i="3"/>
  <c r="AC25" i="37"/>
  <c r="W25" i="37"/>
  <c r="AC37" i="39"/>
  <c r="W37" i="39"/>
  <c r="AB31" i="39"/>
  <c r="U31" i="39"/>
  <c r="S26" i="33"/>
  <c r="AA26" i="33"/>
  <c r="AC24" i="36"/>
  <c r="W24" i="36"/>
  <c r="S12" i="39"/>
  <c r="AA12" i="39"/>
  <c r="AZ557" i="3"/>
  <c r="W45" i="21"/>
  <c r="AC45" i="21"/>
  <c r="AZ510" i="3"/>
  <c r="AZ532" i="3"/>
  <c r="W12" i="35"/>
  <c r="AC12" i="35"/>
  <c r="W45" i="33"/>
  <c r="AC45" i="33"/>
  <c r="AB35" i="39"/>
  <c r="U35" i="39"/>
  <c r="AA33" i="40"/>
  <c r="S33" i="40"/>
  <c r="U29" i="33"/>
  <c r="AB29" i="33"/>
  <c r="AZ548" i="3"/>
  <c r="AA32" i="34"/>
  <c r="S32" i="34"/>
  <c r="S29" i="33"/>
  <c r="AA29" i="33"/>
  <c r="AZ109" i="3"/>
  <c r="AZ234" i="3"/>
  <c r="C70" i="71"/>
  <c r="D70" i="71" s="1"/>
  <c r="D71" i="71"/>
  <c r="C56" i="71"/>
  <c r="D55" i="71"/>
  <c r="AZ181" i="3"/>
  <c r="AZ51" i="3"/>
  <c r="AZ27" i="3"/>
  <c r="AZ178" i="3"/>
  <c r="AZ126" i="3"/>
  <c r="AZ271" i="3"/>
  <c r="AZ282" i="3"/>
  <c r="AZ252" i="3"/>
  <c r="AZ210" i="3"/>
  <c r="AZ149" i="3"/>
  <c r="AZ550" i="3"/>
  <c r="AZ401" i="3"/>
  <c r="AZ251" i="3"/>
  <c r="AZ218" i="3"/>
  <c r="AZ459" i="3"/>
  <c r="AZ547" i="3"/>
  <c r="AA43" i="39"/>
  <c r="S43" i="39"/>
  <c r="AC26" i="33"/>
  <c r="W26" i="33"/>
  <c r="AB39" i="37"/>
  <c r="U39" i="37"/>
  <c r="AC30" i="21"/>
  <c r="W30" i="21"/>
  <c r="W14" i="21"/>
  <c r="AC14" i="21"/>
  <c r="AB36" i="35"/>
  <c r="U36" i="35"/>
  <c r="AZ518" i="3"/>
  <c r="U45" i="21"/>
  <c r="AB45" i="21"/>
  <c r="AZ584" i="3"/>
  <c r="W44" i="39"/>
  <c r="AC44" i="39"/>
  <c r="U23" i="35"/>
  <c r="AB23" i="35"/>
  <c r="S38" i="37"/>
  <c r="AA38" i="37"/>
  <c r="W33" i="40"/>
  <c r="AC33" i="40"/>
  <c r="AB14" i="34"/>
  <c r="U14" i="34"/>
  <c r="J6" i="15"/>
  <c r="J18" i="15" s="1"/>
  <c r="B20" i="31"/>
  <c r="B21" i="31" s="1"/>
  <c r="K16" i="1"/>
  <c r="H16" i="1"/>
  <c r="E15" i="6"/>
  <c r="E64" i="39" s="1"/>
  <c r="D17" i="53"/>
  <c r="B36" i="72" s="1"/>
  <c r="E13" i="6"/>
  <c r="E12" i="6"/>
  <c r="E57" i="40" s="1"/>
  <c r="AZ206" i="3"/>
  <c r="W35" i="39"/>
  <c r="AZ507" i="3"/>
  <c r="D79" i="71"/>
  <c r="C78" i="71"/>
  <c r="D78" i="71" s="1"/>
  <c r="C26" i="71"/>
  <c r="D26" i="71" s="1"/>
  <c r="D27" i="71"/>
  <c r="AZ19" i="3"/>
  <c r="B19" i="71"/>
  <c r="B18" i="71" s="1"/>
  <c r="B17" i="71" s="1"/>
  <c r="B16" i="71" s="1"/>
  <c r="S20" i="71"/>
  <c r="D75" i="71"/>
  <c r="C74" i="71"/>
  <c r="D74" i="71" s="1"/>
  <c r="C52" i="71"/>
  <c r="D51" i="71"/>
  <c r="AZ25" i="3"/>
  <c r="AZ259" i="3"/>
  <c r="AZ137" i="3"/>
  <c r="AZ491" i="3"/>
  <c r="AZ483" i="3"/>
  <c r="W28" i="34"/>
  <c r="AC28" i="34"/>
  <c r="AA25" i="37"/>
  <c r="S25" i="37"/>
  <c r="AC43" i="39"/>
  <c r="W43" i="39"/>
  <c r="AZ570" i="3"/>
  <c r="AC39" i="37"/>
  <c r="W39" i="37"/>
  <c r="AB9" i="33"/>
  <c r="U9" i="33"/>
  <c r="S30" i="21"/>
  <c r="AA30" i="21"/>
  <c r="U14" i="21"/>
  <c r="AB14" i="21"/>
  <c r="AB12" i="39"/>
  <c r="U12" i="39"/>
  <c r="AZ504" i="3"/>
  <c r="AB27" i="34"/>
  <c r="U27" i="34"/>
  <c r="AZ513" i="3"/>
  <c r="AZ527" i="3"/>
  <c r="AB45" i="33"/>
  <c r="U45" i="33"/>
  <c r="AA44" i="39"/>
  <c r="S44" i="39"/>
  <c r="AC23" i="35"/>
  <c r="W23" i="35"/>
  <c r="U32" i="34"/>
  <c r="AB32" i="34"/>
  <c r="U33" i="40"/>
  <c r="AB33" i="40"/>
  <c r="AZ552" i="3"/>
  <c r="S14" i="34"/>
  <c r="AA14" i="34"/>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27" i="11"/>
  <c r="C29" i="11" s="1"/>
  <c r="D27" i="11" s="1"/>
  <c r="E60" i="40"/>
  <c r="F31" i="6"/>
  <c r="E51" i="40"/>
  <c r="M14" i="1"/>
  <c r="D5" i="43"/>
  <c r="J10" i="40"/>
  <c r="AC10" i="40" s="1"/>
  <c r="H10" i="39"/>
  <c r="U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67"/>
  <c r="Q52" i="67"/>
  <c r="AE11" i="1"/>
  <c r="AE9" i="1"/>
  <c r="F27" i="68"/>
  <c r="AE7" i="1"/>
  <c r="AE8" i="1"/>
  <c r="AE12" i="1"/>
  <c r="AE10" i="1"/>
  <c r="F41" i="67"/>
  <c r="G1" i="73"/>
  <c r="J5" i="67" l="1"/>
  <c r="J24" i="67" s="1"/>
  <c r="J10" i="39"/>
  <c r="W10" i="39" s="1"/>
  <c r="F10" i="40"/>
  <c r="S10" i="40" s="1"/>
  <c r="F28" i="12"/>
  <c r="C29" i="12" s="1"/>
  <c r="D28" i="12" s="1"/>
  <c r="Q52" i="15"/>
  <c r="AC6" i="3"/>
  <c r="Q74" i="15"/>
  <c r="F1" i="15"/>
  <c r="E59" i="40"/>
  <c r="E61" i="39"/>
  <c r="E16" i="6"/>
  <c r="E58" i="40"/>
  <c r="E62" i="39"/>
  <c r="Q60" i="67"/>
  <c r="Q73" i="15"/>
  <c r="Q74" i="67"/>
  <c r="J5" i="15"/>
  <c r="J24" i="15" s="1"/>
  <c r="T40" i="71"/>
  <c r="D40" i="71"/>
  <c r="O65" i="71"/>
  <c r="D66" i="71"/>
  <c r="O66" i="71"/>
  <c r="E3" i="6"/>
  <c r="T52" i="71"/>
  <c r="D52"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AE6" i="1"/>
  <c r="M27" i="67"/>
  <c r="F22" i="68" l="1"/>
  <c r="C44" i="68" s="1"/>
  <c r="D41" i="68" s="1"/>
  <c r="F25" i="12"/>
  <c r="C26" i="12" s="1"/>
  <c r="D25" i="12" s="1"/>
  <c r="D21" i="71"/>
  <c r="C20" i="7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15"/>
  <c r="C17" i="67"/>
  <c r="C17" i="15"/>
  <c r="C14" i="67"/>
  <c r="F69" i="15" l="1"/>
  <c r="C26" i="68"/>
  <c r="D22" i="68" s="1"/>
  <c r="F41" i="68"/>
  <c r="H22" i="6"/>
  <c r="C44" i="11"/>
  <c r="D41" i="11" s="1"/>
  <c r="H25" i="6"/>
  <c r="R25" i="6" s="1"/>
  <c r="R12" i="1" s="1"/>
  <c r="C19" i="71"/>
  <c r="T20" i="71"/>
  <c r="D20" i="71"/>
  <c r="U20" i="71" s="1"/>
  <c r="E53" i="34"/>
  <c r="F53" i="34" s="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18" i="12"/>
  <c r="D19" i="71"/>
  <c r="C18"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2" i="21"/>
  <c r="D35" i="9"/>
  <c r="C103" i="9" l="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8" i="1"/>
  <c r="AO7"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G19" i="9"/>
  <c r="D21" i="9"/>
  <c r="D22"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H4" i="52" l="1"/>
  <c r="I118" i="9"/>
  <c r="H102" i="9" s="1"/>
  <c r="C5" i="74" s="1"/>
  <c r="D4" i="52"/>
  <c r="B47" i="72" s="1"/>
  <c r="C104" i="9"/>
  <c r="M48" i="9"/>
  <c r="H107" i="9"/>
  <c r="D5" i="53"/>
  <c r="D45" i="9"/>
  <c r="F4" i="52"/>
  <c r="B51" i="72" s="1"/>
  <c r="F119" i="9"/>
  <c r="F5" i="52" s="1"/>
  <c r="B53" i="72" s="1"/>
  <c r="H119" i="9"/>
  <c r="H5" i="52" s="1"/>
  <c r="C105" i="9" l="1"/>
  <c r="E118" i="9"/>
  <c r="E4" i="52" s="1"/>
  <c r="B48" i="72" s="1"/>
  <c r="D7" i="53"/>
  <c r="B21" i="72" s="1"/>
  <c r="I4" i="52"/>
  <c r="C72" i="9"/>
  <c r="C85" i="9"/>
  <c r="D52" i="9"/>
  <c r="D53" i="9"/>
  <c r="D48" i="9" s="1"/>
  <c r="M52" i="9" s="1"/>
  <c r="Q52" i="9" s="1"/>
  <c r="D55" i="9"/>
  <c r="M53" i="9" s="1"/>
  <c r="Q53" i="9" s="1"/>
  <c r="C64" i="9"/>
  <c r="C63" i="9" s="1"/>
  <c r="C67" i="9" s="1"/>
  <c r="C78" i="9"/>
  <c r="C73" i="9" s="1"/>
  <c r="C93" i="9"/>
  <c r="C86" i="9" s="1"/>
  <c r="M49" i="9"/>
  <c r="Q54" i="9" s="1"/>
  <c r="H108" i="9"/>
  <c r="D13" i="53"/>
  <c r="D122" i="9"/>
  <c r="B20" i="72"/>
  <c r="D6" i="53"/>
  <c r="B22" i="72" s="1"/>
  <c r="Q57" i="9" l="1"/>
  <c r="Q49" i="9"/>
  <c r="C6" i="74"/>
  <c r="D15" i="53"/>
  <c r="B31" i="72" s="1"/>
  <c r="C68" i="9"/>
  <c r="D54" i="9" s="1"/>
  <c r="D59" i="9"/>
  <c r="M55" i="9" s="1"/>
  <c r="C95" i="9"/>
  <c r="D123" i="9"/>
  <c r="D9" i="52" s="1"/>
  <c r="D8" i="52"/>
  <c r="D14" i="53"/>
  <c r="B32" i="72" s="1"/>
  <c r="B30" i="72"/>
  <c r="L65" i="9"/>
  <c r="M65" i="9" s="1"/>
  <c r="L68" i="9"/>
  <c r="M68" i="9" s="1"/>
  <c r="L63" i="9"/>
  <c r="M63" i="9" s="1"/>
  <c r="L67" i="9"/>
  <c r="M67" i="9" s="1"/>
  <c r="L64" i="9"/>
  <c r="M64" i="9" s="1"/>
  <c r="L66" i="9"/>
  <c r="M66" i="9" s="1"/>
  <c r="C79" i="9"/>
  <c r="Q59" i="9" l="1"/>
  <c r="Q61" i="9" s="1"/>
  <c r="C80" i="9"/>
  <c r="E80" i="9" s="1"/>
  <c r="E81" i="9" s="1"/>
  <c r="M69" i="9"/>
  <c r="N69" i="9" s="1"/>
  <c r="C96" i="9"/>
  <c r="E96" i="9" s="1"/>
  <c r="E97" i="9" s="1"/>
  <c r="Q60" i="9" l="1"/>
  <c r="C97" i="9"/>
  <c r="D58" i="9" s="1"/>
  <c r="D56" i="9" s="1"/>
  <c r="M54" i="9" s="1"/>
  <c r="N57" i="9" s="1"/>
  <c r="P57" i="9" s="1"/>
  <c r="C81" i="9"/>
  <c r="N59" i="9" l="1"/>
  <c r="N61" i="9" s="1"/>
  <c r="H112" i="9" s="1"/>
  <c r="N58" i="9"/>
  <c r="H111" i="9" l="1"/>
  <c r="D19" i="53" s="1"/>
  <c r="N60" i="9"/>
  <c r="D21" i="53"/>
  <c r="B39" i="72" s="1"/>
  <c r="C8" i="74"/>
  <c r="D126" i="9" l="1"/>
  <c r="D127" i="9" s="1"/>
  <c r="D13" i="52" s="1"/>
  <c r="D20" i="53"/>
  <c r="B40" i="72" s="1"/>
  <c r="B38" i="72"/>
  <c r="D12"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<sst xmlns="http://schemas.openxmlformats.org/spreadsheetml/2006/main" count="7875" uniqueCount="3452">
  <si>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</si>
  <si>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</si>
  <si>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</si>
  <si>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</si>
  <si>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</si>
  <si>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</si>
  <si>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</si>
  <si>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</si>
  <si>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</si>
  <si>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</si>
  <si>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</si>
  <si>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</si>
  <si>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</si>
  <si>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</si>
  <si>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</si>
  <si>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</si>
  <si>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</si>
  <si>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</si>
  <si>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</si>
  <si>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</si>
  <si>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</si>
  <si>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</si>
  <si>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</si>
  <si>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</si>
  <si>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</si>
  <si>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</si>
  <si>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</si>
  <si>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</si>
  <si>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</si>
  <si>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</si>
  <si>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</si>
  <si>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</si>
  <si>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</si>
  <si>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</si>
  <si>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</si>
  <si>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</si>
  <si>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</si>
  <si>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</si>
  <si>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</si>
  <si>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</si>
  <si>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</si>
  <si>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</si>
  <si>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</si>
  <si>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</si>
  <si>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</si>
  <si>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</si>
  <si>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</si>
  <si>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</si>
  <si>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</si>
  <si>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</si>
  <si>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</si>
  <si>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</si>
  <si>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</si>
  <si>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</si>
  <si>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</si>
  <si>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</si>
  <si>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</si>
  <si>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</si>
  <si>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</si>
  <si>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</si>
  <si>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</si>
  <si>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</si>
  <si>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</si>
  <si>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</si>
  <si>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</si>
  <si>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</si>
  <si>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</si>
  <si>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</si>
  <si>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</si>
  <si>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</si>
  <si>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</si>
  <si>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</si>
  <si>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</si>
  <si>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</si>
  <si>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</si>
  <si>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</si>
  <si>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</si>
  <si>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</si>
  <si>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</si>
  <si>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</si>
  <si>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</si>
  <si>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</si>
  <si>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</si>
  <si>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</si>
  <si>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</si>
  <si>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</si>
  <si>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</si>
  <si>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</si>
  <si>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</si>
  <si>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</si>
  <si>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</si>
  <si>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</si>
  <si>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</si>
  <si>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</si>
  <si>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</si>
  <si>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</si>
  <si>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</si>
  <si>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</si>
  <si>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</si>
  <si>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</si>
  <si>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</si>
  <si>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</si>
  <si>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</si>
  <si>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</si>
  <si>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</si>
  <si>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</si>
  <si>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</si>
  <si>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</si>
  <si>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</si>
  <si>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</si>
  <si>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</si>
  <si>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</si>
  <si>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</si>
  <si>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</si>
  <si>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</si>
  <si>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</si>
  <si>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</si>
  <si>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</si>
  <si>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</si>
  <si>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</si>
  <si>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</si>
  <si>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</si>
  <si>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</si>
  <si>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</si>
  <si>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</si>
  <si>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</si>
  <si>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</si>
  <si>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</si>
  <si>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</si>
  <si>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</si>
  <si>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</si>
  <si>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</si>
  <si>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</si>
  <si>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</si>
  <si>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</si>
  <si>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</si>
  <si>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</si>
  <si>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</si>
  <si>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</si>
  <si>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</si>
  <si>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</si>
  <si>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</si>
  <si>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</si>
  <si>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</si>
  <si>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</si>
  <si>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</si>
  <si>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</si>
  <si>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</si>
  <si>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</si>
  <si>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</si>
  <si>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</si>
  <si>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</si>
  <si>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</si>
  <si>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</si>
  <si>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</si>
  <si>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</si>
  <si>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</si>
  <si>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</si>
  <si>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</si>
  <si>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</si>
  <si>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</si>
  <si>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</si>
  <si>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</si>
  <si>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</si>
  <si>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</si>
  <si>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</si>
  <si>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</si>
  <si>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</si>
  <si>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</si>
  <si>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</si>
  <si>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</si>
  <si>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</si>
  <si>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</si>
  <si>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</si>
  <si>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</si>
  <si>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</si>
  <si>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</si>
  <si>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</si>
  <si>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</si>
  <si>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</si>
  <si>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</si>
  <si>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</si>
  <si>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</si>
  <si>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</si>
  <si>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</si>
  <si>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</si>
  <si>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</si>
  <si>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</si>
  <si>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</si>
  <si>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</si>
  <si>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</si>
  <si>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</si>
  <si>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</si>
  <si>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</si>
  <si>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</si>
  <si>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</si>
  <si>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</si>
  <si>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</si>
  <si>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</si>
  <si>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</si>
  <si>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</si>
  <si>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</si>
  <si>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</si>
  <si>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</si>
  <si>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</si>
  <si>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</si>
  <si>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</si>
  <si>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</si>
  <si>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</si>
  <si>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</si>
  <si>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</si>
  <si>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</si>
  <si>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</si>
  <si>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</si>
  <si>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</si>
  <si>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</si>
  <si>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</si>
  <si>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</si>
  <si>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</si>
  <si>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</si>
  <si>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</si>
  <si>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</si>
  <si>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</si>
  <si>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</si>
  <si>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</si>
  <si>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</si>
  <si>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</si>
  <si>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</si>
  <si>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</si>
  <si>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</si>
  <si>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</si>
  <si>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</si>
  <si>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</si>
  <si>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</si>
  <si>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</si>
  <si>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</si>
  <si>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</si>
  <si>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</si>
  <si>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</si>
  <si>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</si>
  <si>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</si>
  <si>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</si>
  <si>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</si>
  <si>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</si>
  <si>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</si>
  <si>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</si>
  <si>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</si>
  <si>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</si>
  <si>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</si>
  <si>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</si>
  <si>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</si>
  <si>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</si>
  <si>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</si>
  <si>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</si>
  <si>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</si>
  <si>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</si>
  <si>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</si>
  <si>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</si>
  <si>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</si>
  <si>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</si>
  <si>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</si>
  <si>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</si>
  <si>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</si>
  <si>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</si>
  <si>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</si>
  <si>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</si>
  <si>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</si>
  <si>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</si>
  <si>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</si>
  <si>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</si>
  <si>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</si>
  <si>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</si>
  <si>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</si>
  <si>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</si>
  <si>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</si>
  <si>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</si>
  <si>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</si>
  <si>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</si>
  <si>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</si>
  <si>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</si>
  <si>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</si>
  <si>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</si>
  <si>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</si>
  <si>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</si>
  <si>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</si>
  <si>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</si>
  <si>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</si>
  <si>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</si>
  <si>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</si>
  <si>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</si>
  <si>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</si>
  <si>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</si>
  <si>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</si>
  <si>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</si>
  <si>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</si>
  <si>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</si>
  <si>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</si>
  <si>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</si>
  <si>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</si>
  <si>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</si>
  <si>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</si>
  <si>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</si>
  <si>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</si>
  <si>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</si>
  <si>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</si>
  <si>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</si>
  <si>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</si>
  <si>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</si>
  <si>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</si>
  <si>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</si>
  <si>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</si>
  <si>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</si>
  <si>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</si>
  <si>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</si>
  <si>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</si>
  <si>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</si>
  <si>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</si>
  <si>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</si>
  <si>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</si>
  <si>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</si>
  <si>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</si>
  <si>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</si>
  <si>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</si>
  <si>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</si>
  <si>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</si>
  <si>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</si>
  <si>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</si>
  <si>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</si>
  <si>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</si>
  <si>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</si>
  <si>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</si>
  <si>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</si>
  <si>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</si>
  <si>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</si>
  <si>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</si>
  <si>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</si>
  <si>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</si>
  <si>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</si>
  <si>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</si>
  <si>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</si>
  <si>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</si>
  <si>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</si>
  <si>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</si>
  <si>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</si>
  <si>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</si>
  <si>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</si>
  <si>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</si>
  <si>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</si>
  <si>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</si>
  <si>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</si>
  <si>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</si>
  <si>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</si>
  <si>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</si>
  <si>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</si>
  <si>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</si>
  <si>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</si>
  <si>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</si>
  <si>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</si>
  <si>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</si>
  <si>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</si>
  <si>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</si>
  <si>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</si>
  <si>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</si>
  <si>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</si>
  <si>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</si>
  <si>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</si>
  <si>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</si>
  <si>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</si>
  <si>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</si>
  <si>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</si>
  <si>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</si>
  <si>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</si>
  <si>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</si>
  <si>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</si>
  <si>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</si>
  <si>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</si>
  <si>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</si>
  <si>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</si>
  <si>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</si>
  <si>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</si>
  <si>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</si>
  <si>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</si>
  <si>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</si>
  <si>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</si>
  <si>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</si>
  <si>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</si>
  <si>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</si>
  <si>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</si>
  <si>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</si>
  <si>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</si>
  <si>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</si>
  <si>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</si>
  <si>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</si>
  <si>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</si>
  <si>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</si>
  <si>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</si>
  <si>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</si>
  <si>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</si>
  <si>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</si>
  <si>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</si>
  <si>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</si>
  <si>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</si>
  <si>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</si>
  <si>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</si>
  <si>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</si>
  <si>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</si>
  <si>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</si>
  <si>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</si>
  <si>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</si>
  <si>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</si>
  <si>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</si>
  <si>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</si>
  <si>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</si>
  <si>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</si>
  <si>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</si>
  <si>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</si>
  <si>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</si>
  <si>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</si>
  <si>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</si>
  <si>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</si>
  <si>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</si>
  <si>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</si>
  <si>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</si>
  <si>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</si>
  <si>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</si>
  <si>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</si>
  <si>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</si>
  <si>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</si>
  <si>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</si>
  <si>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</si>
  <si>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</si>
  <si>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</si>
  <si>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</si>
  <si>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</si>
  <si>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</si>
  <si>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</si>
  <si>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</si>
  <si>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</si>
  <si>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</si>
  <si>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</si>
  <si>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</si>
  <si>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</si>
  <si>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</si>
  <si>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</si>
  <si>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</si>
  <si>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</si>
  <si>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</si>
  <si>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</si>
  <si>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</si>
  <si>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</si>
  <si>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</si>
  <si>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</si>
  <si>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</si>
  <si>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</si>
  <si>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</si>
  <si>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</si>
  <si>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</si>
  <si>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</si>
  <si>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</si>
  <si>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</si>
  <si>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</si>
  <si>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</si>
  <si>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</si>
  <si>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</si>
  <si>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</si>
  <si>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</si>
  <si>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</si>
  <si>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</si>
  <si>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</si>
  <si>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</si>
  <si>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</si>
  <si>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</si>
  <si>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</si>
  <si>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</si>
  <si>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</si>
  <si>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</si>
  <si>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</si>
  <si>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</si>
  <si>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</si>
  <si>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</si>
  <si>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</si>
  <si>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</si>
  <si>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</si>
  <si>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</si>
  <si>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</si>
  <si>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</si>
  <si>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</si>
  <si>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</si>
  <si>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</si>
  <si>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</si>
  <si>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</si>
  <si>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</si>
  <si>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</si>
  <si>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</si>
  <si>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</si>
  <si>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</si>
  <si>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</si>
  <si>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</si>
  <si>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</si>
  <si>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</si>
  <si>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</si>
  <si>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</si>
  <si>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</si>
  <si>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</si>
  <si>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</si>
  <si>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</si>
  <si>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</si>
  <si>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</si>
  <si>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</si>
  <si>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</si>
  <si>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</si>
  <si>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</si>
  <si>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</si>
  <si>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</si>
  <si>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</si>
  <si>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</si>
  <si>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</si>
  <si>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</si>
  <si>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</si>
  <si>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</si>
  <si>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</si>
  <si>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</si>
  <si>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</si>
  <si>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</si>
  <si>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</si>
  <si>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</si>
  <si>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</si>
  <si>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</si>
  <si>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</si>
  <si>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</si>
  <si>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</si>
  <si>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</si>
  <si>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</si>
  <si>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</si>
  <si>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</si>
  <si>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</si>
  <si>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</si>
  <si>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</si>
  <si>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</si>
  <si>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</si>
  <si>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</si>
  <si>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</si>
  <si>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</si>
  <si>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</si>
  <si>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</si>
  <si>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</si>
  <si>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</si>
  <si>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</si>
  <si>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</si>
  <si>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</si>
  <si>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</si>
  <si>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</si>
  <si>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</si>
  <si>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</si>
  <si>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</si>
  <si>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</si>
  <si>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</si>
  <si>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</si>
  <si>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</si>
  <si>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</si>
  <si>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</si>
  <si>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</si>
  <si>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</si>
  <si>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</si>
  <si>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</si>
  <si>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</si>
  <si>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</si>
  <si>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</si>
  <si>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</si>
  <si>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</si>
  <si>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</si>
  <si>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</si>
  <si>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</si>
  <si>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</si>
  <si>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</si>
  <si>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</si>
  <si>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</si>
  <si>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</si>
  <si>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</si>
  <si>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</si>
  <si>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</si>
  <si>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</si>
  <si>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</si>
  <si>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</si>
  <si>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</si>
  <si>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</si>
  <si>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</si>
  <si>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</si>
  <si>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</si>
  <si>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</si>
  <si>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</si>
  <si>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</si>
  <si>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</si>
  <si>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</si>
  <si>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</si>
  <si>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</si>
  <si>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</si>
  <si>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</si>
  <si>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</si>
  <si>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</si>
  <si>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</si>
  <si>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</si>
  <si>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</si>
  <si>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</si>
  <si>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</si>
  <si>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</si>
  <si>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</si>
  <si>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</si>
  <si>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</si>
  <si>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</si>
  <si>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</si>
  <si>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</si>
  <si>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</si>
  <si>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</si>
  <si>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</si>
  <si>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</si>
  <si>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</si>
  <si>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</si>
  <si>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</si>
  <si>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</si>
  <si>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</si>
  <si>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</si>
  <si>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</si>
  <si>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</si>
  <si>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</si>
  <si>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</si>
  <si>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</si>
  <si>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</si>
  <si>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</si>
  <si>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</si>
  <si>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</si>
  <si>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</si>
  <si>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</si>
  <si>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</si>
  <si>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</si>
  <si>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</si>
  <si>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</si>
  <si>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</si>
  <si>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</si>
  <si>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</si>
  <si>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</si>
  <si>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</si>
  <si>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</si>
  <si>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</si>
  <si>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</si>
  <si>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</si>
  <si>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</si>
  <si>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</si>
  <si>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</si>
  <si>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</si>
  <si>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</si>
  <si>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</si>
  <si>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</si>
  <si>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</si>
  <si>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</si>
  <si>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</si>
  <si>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</si>
  <si>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</si>
  <si>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</si>
  <si>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</si>
  <si>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</si>
  <si>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</si>
  <si>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</si>
  <si>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</si>
  <si>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</si>
  <si>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</si>
  <si>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</si>
  <si>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</si>
  <si>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</si>
  <si>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</si>
  <si>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</si>
  <si>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</si>
  <si>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</si>
  <si>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</si>
  <si>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</si>
  <si>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</si>
  <si>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</si>
  <si>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</si>
  <si>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</si>
  <si>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</si>
  <si>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</si>
  <si>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</si>
  <si>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</si>
  <si>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</si>
  <si>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</si>
  <si>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</si>
  <si>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</si>
  <si>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</si>
  <si>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</si>
  <si>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</si>
  <si>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</si>
  <si>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</si>
  <si>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</si>
  <si>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</si>
  <si>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</si>
  <si>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</si>
  <si>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</si>
  <si>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</si>
  <si>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</si>
  <si>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</si>
  <si>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</si>
  <si>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</si>
  <si>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</si>
  <si>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</si>
  <si>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</si>
  <si>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</si>
  <si>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</si>
  <si>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</si>
  <si>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</si>
  <si>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</si>
  <si>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</si>
  <si>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</si>
  <si>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</si>
  <si>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</si>
  <si>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</si>
  <si>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</si>
  <si>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</si>
  <si>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</si>
  <si>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</si>
  <si>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</si>
  <si>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</si>
  <si>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</si>
  <si>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</si>
  <si>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</si>
  <si>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</si>
  <si>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</si>
  <si>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</si>
  <si>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</si>
  <si>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</si>
  <si>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</si>
  <si>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</si>
  <si>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</si>
  <si>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</si>
  <si>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</si>
  <si>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</si>
  <si>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</si>
  <si>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</si>
  <si>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</si>
  <si>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</si>
  <si>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</si>
  <si>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</si>
  <si>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</si>
  <si>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</si>
  <si>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</si>
  <si>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</si>
  <si>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</si>
  <si>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</si>
  <si>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</si>
  <si>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</si>
  <si>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</si>
  <si>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</si>
  <si>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</si>
  <si>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</si>
  <si>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</si>
  <si>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</si>
  <si>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</si>
  <si>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</si>
  <si>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</si>
  <si>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</si>
  <si>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</si>
  <si>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</si>
  <si>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</si>
  <si>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</si>
  <si>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</si>
  <si>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</si>
  <si>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</si>
  <si>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</si>
  <si>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</si>
  <si>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</si>
  <si>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</si>
  <si>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</si>
  <si>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</si>
  <si>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</si>
  <si>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</si>
  <si>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</si>
  <si>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</si>
  <si>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</si>
  <si>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</si>
  <si>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</si>
  <si>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</si>
  <si>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</si>
  <si>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</si>
  <si>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</si>
  <si>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</si>
  <si>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</si>
  <si>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</si>
  <si>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</si>
  <si>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</si>
  <si>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</si>
  <si>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</si>
  <si>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</si>
  <si>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</si>
  <si>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</si>
  <si>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</si>
  <si>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</si>
  <si>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</si>
  <si>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</si>
  <si>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</si>
  <si>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</si>
  <si>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</si>
  <si>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</si>
  <si>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</si>
  <si>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</si>
  <si>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</si>
  <si>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</si>
  <si>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</si>
  <si>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</si>
  <si>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</si>
  <si>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</si>
  <si>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</si>
  <si>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</si>
  <si>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</si>
  <si>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</si>
  <si>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</si>
  <si>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</si>
  <si>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</si>
  <si>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</si>
  <si>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</si>
  <si>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</si>
  <si>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</si>
  <si>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</si>
  <si>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</si>
  <si>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</si>
  <si>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</si>
  <si>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</si>
  <si>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</si>
  <si>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</si>
  <si>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</si>
  <si>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</si>
  <si>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</si>
  <si>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</si>
  <si>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</si>
  <si>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</si>
  <si>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</si>
  <si>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</si>
  <si>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</si>
  <si>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</si>
  <si>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</si>
  <si>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</si>
  <si>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</si>
  <si>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</si>
  <si>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</si>
  <si>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</si>
  <si>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</si>
  <si>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</si>
  <si>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</si>
  <si>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</si>
  <si>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</si>
  <si>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</si>
  <si>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</si>
  <si>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</si>
  <si>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</si>
  <si>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</si>
  <si>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</si>
  <si>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</si>
  <si>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</si>
  <si>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</si>
  <si>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</si>
  <si>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</si>
  <si>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</si>
  <si>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</si>
  <si>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</si>
  <si>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</si>
  <si>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</si>
  <si>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</si>
  <si>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</si>
  <si>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</si>
  <si>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</si>
  <si>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</si>
  <si>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</si>
  <si>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</si>
  <si>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</si>
  <si>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</si>
  <si>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</si>
  <si>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</si>
  <si>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</si>
  <si>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</si>
  <si>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</si>
  <si>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</si>
  <si>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</si>
  <si>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</si>
  <si>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</si>
  <si>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</si>
  <si>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</si>
  <si>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</si>
  <si>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</si>
  <si>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</si>
  <si>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</si>
  <si>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</si>
  <si>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</si>
  <si>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</si>
  <si>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</si>
  <si>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</si>
  <si>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</si>
  <si>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</si>
  <si>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</si>
  <si>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</si>
  <si>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</si>
  <si>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</si>
  <si>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</si>
  <si>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</si>
  <si>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</si>
  <si>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</si>
  <si>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</si>
  <si>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</si>
  <si>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</si>
  <si>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</si>
  <si>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</si>
  <si>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</si>
  <si>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</si>
  <si>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</si>
  <si>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</si>
  <si>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</si>
  <si>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</si>
  <si>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</si>
  <si>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</si>
  <si>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</si>
  <si>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</si>
  <si>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</si>
  <si>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</si>
  <si>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</si>
  <si>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</si>
  <si>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</si>
  <si>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</si>
  <si>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</si>
  <si>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</si>
  <si>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</si>
  <si>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</si>
  <si>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</si>
  <si>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</si>
  <si>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</si>
  <si>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</si>
  <si>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</si>
  <si>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</si>
  <si>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</si>
  <si>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</si>
  <si>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</si>
  <si>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</si>
  <si>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</si>
  <si>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</si>
  <si>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</si>
  <si>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</si>
  <si>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</si>
  <si>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</si>
  <si>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</si>
  <si>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</si>
  <si>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</si>
  <si>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</si>
  <si>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</si>
  <si>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</si>
  <si>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</si>
  <si>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</si>
  <si>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</si>
  <si>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</si>
  <si>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</si>
  <si>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</si>
  <si>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</si>
  <si>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</si>
  <si>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</si>
  <si>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</si>
  <si>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</si>
  <si>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</si>
  <si>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</si>
  <si>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</si>
  <si>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</si>
  <si>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</si>
  <si>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</si>
  <si>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</si>
  <si>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</si>
  <si>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</si>
  <si>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</si>
  <si>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</si>
  <si>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</si>
  <si>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</si>
  <si>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</si>
  <si>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</si>
  <si>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</si>
  <si>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</si>
  <si>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</si>
  <si>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</si>
  <si>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</si>
  <si>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</si>
  <si>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</si>
  <si>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</si>
  <si>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</si>
  <si>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</si>
  <si>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</si>
  <si>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</si>
  <si>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</si>
  <si>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</si>
  <si>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</si>
  <si>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</si>
  <si>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</si>
  <si>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</si>
  <si>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</si>
  <si>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</si>
  <si>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</si>
  <si>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</si>
  <si>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</si>
  <si>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</si>
  <si>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</si>
  <si>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</si>
  <si>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</si>
  <si>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</si>
  <si>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</si>
  <si>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</si>
  <si>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</si>
  <si>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</si>
  <si>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</si>
  <si>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</si>
  <si>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</si>
  <si>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</si>
  <si>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</si>
  <si>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</si>
  <si>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</si>
  <si>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</si>
  <si>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</si>
  <si>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</si>
  <si>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</si>
  <si>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</si>
  <si>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</si>
  <si>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</si>
  <si>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</si>
  <si>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</si>
  <si>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</si>
  <si>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</si>
  <si>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</si>
  <si>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</si>
  <si>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</si>
  <si>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</si>
  <si>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</si>
  <si>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</si>
  <si>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</si>
  <si>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</si>
  <si>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</si>
  <si>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</si>
  <si>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</si>
  <si>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</si>
  <si>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</si>
  <si>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</si>
  <si>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</si>
  <si>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</si>
  <si>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</si>
  <si>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</si>
  <si>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</si>
  <si>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</si>
  <si>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</si>
  <si>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</si>
  <si>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</si>
  <si>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</si>
  <si>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</si>
  <si>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</si>
  <si>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</si>
  <si>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</si>
  <si>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</si>
  <si>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</si>
  <si>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</si>
  <si>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</si>
  <si>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</si>
  <si>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</si>
  <si>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</si>
  <si>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</si>
  <si>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</si>
  <si>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</si>
  <si>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</si>
  <si>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</si>
  <si>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</si>
  <si>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</si>
  <si>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</si>
  <si>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</si>
  <si>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</si>
  <si>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</si>
  <si>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</si>
  <si>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</si>
  <si>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</si>
  <si>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</si>
  <si>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</si>
  <si>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</si>
  <si>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</si>
  <si>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</si>
  <si>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</si>
  <si>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</si>
  <si>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</si>
  <si>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</si>
  <si>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</si>
  <si>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</si>
  <si>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</si>
  <si>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</si>
  <si>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</si>
  <si>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</si>
  <si>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</si>
  <si>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</si>
  <si>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</si>
  <si>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</si>
  <si>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</si>
  <si>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</si>
  <si>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</si>
  <si>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</si>
  <si>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</si>
  <si>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</si>
  <si>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</si>
  <si>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</si>
  <si>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</si>
  <si>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</si>
  <si>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</si>
  <si>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</si>
  <si>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</si>
  <si>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</si>
  <si>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</si>
  <si>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</si>
  <si>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</si>
  <si>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</si>
  <si>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</si>
  <si>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</si>
  <si>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</si>
  <si>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</si>
  <si>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</si>
  <si>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</si>
  <si>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</si>
  <si>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</si>
  <si>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</si>
  <si>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</si>
  <si>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</si>
  <si>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</si>
  <si>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</si>
  <si>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</si>
  <si>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</si>
  <si>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</si>
  <si>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</si>
  <si>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</si>
  <si>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</si>
  <si>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</si>
  <si>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</si>
  <si>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</si>
  <si>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</si>
  <si>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</si>
  <si>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</si>
  <si>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</si>
  <si>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</si>
  <si>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</si>
  <si>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</si>
  <si>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</si>
  <si>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</si>
  <si>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</si>
  <si>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</si>
  <si>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</si>
  <si>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</si>
  <si>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</si>
  <si>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</si>
  <si>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</si>
  <si>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</si>
  <si>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</si>
  <si>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</si>
  <si>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</si>
  <si>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</si>
  <si>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</si>
  <si>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</si>
  <si>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</si>
  <si>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</si>
  <si>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</si>
  <si>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</si>
  <si>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</si>
  <si>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</si>
  <si>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</si>
  <si>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</si>
  <si>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</si>
  <si>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</si>
  <si>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</si>
  <si>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</si>
  <si>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</si>
  <si>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</si>
  <si>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</si>
  <si>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</si>
  <si>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</si>
  <si>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</si>
  <si>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</si>
  <si>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</si>
  <si>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</si>
  <si>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</si>
  <si>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</si>
  <si>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</si>
  <si>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</si>
  <si>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</si>
  <si>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</si>
  <si>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</si>
  <si>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</si>
  <si>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</si>
  <si>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</si>
  <si>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</si>
  <si>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</si>
  <si>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</si>
  <si>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</si>
  <si>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</si>
  <si>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</si>
  <si>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</si>
  <si>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</si>
  <si>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</si>
  <si>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</si>
  <si>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</si>
  <si>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</si>
  <si>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</si>
  <si>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</si>
  <si>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</si>
  <si>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</si>
  <si>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</si>
  <si>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</si>
  <si>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</si>
  <si>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</si>
  <si>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</si>
  <si>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</si>
  <si>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</si>
  <si>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</si>
  <si>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</si>
  <si>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</si>
  <si>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</si>
  <si>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</si>
  <si>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</si>
  <si>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</si>
  <si>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</si>
  <si>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</si>
  <si>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</si>
  <si>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</si>
  <si>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</si>
  <si>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</si>
  <si>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</si>
  <si>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</si>
  <si>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</si>
  <si>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</si>
  <si>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</si>
  <si>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</si>
  <si>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</si>
  <si>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</si>
  <si>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</si>
  <si>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</si>
  <si>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</si>
  <si>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</si>
  <si>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</si>
  <si>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</si>
  <si>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</si>
  <si>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</si>
  <si>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</si>
  <si>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</si>
  <si>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</si>
  <si>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</si>
  <si>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</si>
  <si>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</si>
  <si>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</si>
  <si>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</si>
  <si>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</si>
  <si>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</si>
  <si>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</si>
  <si>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</si>
  <si>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</si>
  <si>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</si>
  <si>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</si>
  <si>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</si>
  <si>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</si>
  <si>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</si>
  <si>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</si>
  <si>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</si>
  <si>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</si>
  <si>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</si>
  <si>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</si>
  <si>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</si>
  <si>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</si>
  <si>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</si>
  <si>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</si>
  <si>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</si>
  <si>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</si>
  <si>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</si>
  <si>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</si>
  <si>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</si>
  <si>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</si>
  <si>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</si>
  <si>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</si>
  <si>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</si>
  <si>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</si>
  <si>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</si>
  <si>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</si>
  <si>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</si>
  <si>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</si>
  <si>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</si>
  <si>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</si>
  <si>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</si>
  <si>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</si>
  <si>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</si>
  <si>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</si>
  <si>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</si>
  <si>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</si>
  <si>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</si>
  <si>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</si>
  <si>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</si>
  <si>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</si>
  <si>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</si>
  <si>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</si>
  <si>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</si>
  <si>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</si>
  <si>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</si>
  <si>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</si>
  <si>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</si>
  <si>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</si>
  <si>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</si>
  <si>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</si>
  <si>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</si>
  <si>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</si>
  <si>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</si>
  <si>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</si>
  <si>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</si>
  <si>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</si>
  <si>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</si>
  <si>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</si>
  <si>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</si>
  <si>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</si>
  <si>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</si>
  <si>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</si>
  <si>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</si>
  <si>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</si>
  <si>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</si>
  <si>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</si>
  <si>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</si>
  <si>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</si>
  <si>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</si>
  <si>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</si>
  <si>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</si>
  <si>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</si>
  <si>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</si>
  <si>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</si>
  <si>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</si>
  <si>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</si>
  <si>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</si>
  <si>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</si>
  <si>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</si>
  <si>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</si>
  <si>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</si>
  <si>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</si>
  <si>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</si>
  <si>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</si>
  <si>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</si>
  <si>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</si>
  <si>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</si>
  <si>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</si>
  <si>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</si>
  <si>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</si>
  <si>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</si>
  <si>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</si>
  <si>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</si>
  <si>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</si>
  <si>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</si>
  <si>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</si>
  <si>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</si>
  <si>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</si>
  <si>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</si>
  <si>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</si>
  <si>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</si>
  <si>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</si>
  <si>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</si>
  <si>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</si>
  <si>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</si>
  <si>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</si>
  <si>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</si>
  <si>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</si>
  <si>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</si>
  <si>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</si>
  <si>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</si>
  <si>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</si>
  <si>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</si>
  <si>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</si>
  <si>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</si>
  <si>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</si>
  <si>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</si>
  <si>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</si>
  <si>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</si>
  <si>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</si>
  <si>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</si>
  <si>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</si>
  <si>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</si>
  <si>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</si>
  <si>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</si>
  <si>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</si>
  <si>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</si>
  <si>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</si>
  <si>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</si>
  <si>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</si>
  <si>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</si>
  <si>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</si>
  <si>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</si>
  <si>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</si>
  <si>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</si>
  <si>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</si>
  <si>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</si>
  <si>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</si>
  <si>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</si>
  <si>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</si>
  <si>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</si>
  <si>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</si>
  <si>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</si>
  <si>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</si>
  <si>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</si>
  <si>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</si>
  <si>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</si>
  <si>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</si>
  <si>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</si>
  <si>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</si>
  <si>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</si>
  <si>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</si>
  <si>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</si>
  <si>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</si>
  <si>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</si>
  <si>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</si>
  <si>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</si>
  <si>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</si>
  <si>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</si>
  <si>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</si>
  <si>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</si>
  <si>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</si>
  <si>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</si>
  <si>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</si>
  <si>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</si>
  <si>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</si>
  <si>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</si>
  <si>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</si>
  <si>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</si>
  <si>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</si>
  <si>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</si>
  <si>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</si>
  <si>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</si>
  <si>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</si>
  <si>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</si>
  <si>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</si>
  <si>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</si>
  <si>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</si>
  <si>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</si>
  <si>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</si>
  <si>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</si>
  <si>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</si>
  <si>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</si>
  <si>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</si>
  <si>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</si>
  <si>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</si>
  <si>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</si>
  <si>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</si>
  <si>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</si>
  <si>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</si>
  <si>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</si>
  <si>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</si>
  <si>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</si>
  <si>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</si>
  <si>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</si>
  <si>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</si>
  <si>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</si>
  <si>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</si>
  <si>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</si>
  <si>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</si>
  <si>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</si>
  <si>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</si>
  <si>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</si>
  <si>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</si>
  <si>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</si>
  <si>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</si>
  <si>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</si>
  <si>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</si>
  <si>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</si>
  <si>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</si>
  <si>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</si>
  <si>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</si>
  <si>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</si>
  <si>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</si>
  <si>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</si>
  <si>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</si>
  <si>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</si>
  <si>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</si>
  <si>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</si>
  <si>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</si>
  <si>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</si>
  <si>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</si>
  <si>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</si>
  <si>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</si>
  <si>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</si>
  <si>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</si>
  <si>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</si>
  <si>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</si>
  <si>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</si>
  <si>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</si>
  <si>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</si>
  <si>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</si>
  <si>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</si>
  <si>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</si>
  <si>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</si>
  <si>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</si>
  <si>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</si>
  <si>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</si>
  <si>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</si>
  <si>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</si>
  <si>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</si>
  <si>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</si>
  <si>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</si>
  <si>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</si>
  <si>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</si>
  <si>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</si>
  <si>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</si>
  <si>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</si>
  <si>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</si>
  <si>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</si>
  <si>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</si>
  <si>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</si>
  <si>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</si>
  <si>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</si>
  <si>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</si>
  <si>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</si>
  <si>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</si>
  <si>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</si>
  <si>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</si>
  <si>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</si>
  <si>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</si>
  <si>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</si>
  <si>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</si>
  <si>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</si>
  <si>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</si>
  <si>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</si>
  <si>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</si>
  <si>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</si>
  <si>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</si>
  <si>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</si>
  <si>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</si>
  <si>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</si>
  <si>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</si>
  <si>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</si>
  <si>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</si>
  <si>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</si>
  <si>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</si>
  <si>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</si>
  <si>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</si>
  <si>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</si>
  <si>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</si>
  <si>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</si>
  <si>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</si>
  <si>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</si>
  <si>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</si>
  <si>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</si>
  <si>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</si>
  <si>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</si>
  <si>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</si>
  <si>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</si>
  <si>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</si>
  <si>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</si>
  <si>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</si>
  <si>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</si>
  <si>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</si>
  <si>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</si>
  <si>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</si>
  <si>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</si>
  <si>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</si>
  <si>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</si>
  <si>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</si>
  <si>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</si>
  <si>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</si>
  <si>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</si>
  <si>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</si>
  <si>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</si>
  <si>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</si>
  <si>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</si>
  <si>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</si>
  <si>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</si>
  <si>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</si>
  <si>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</si>
  <si>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</si>
  <si>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</si>
  <si>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</si>
  <si>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</si>
  <si>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</si>
  <si>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</si>
  <si>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</si>
  <si>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</si>
  <si>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</si>
  <si>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</si>
  <si>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</si>
  <si>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</si>
  <si>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</si>
  <si>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</si>
  <si>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</si>
  <si>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</si>
  <si>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</si>
  <si>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</si>
  <si>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</si>
  <si>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</si>
  <si>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</si>
  <si>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</si>
  <si>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</si>
  <si>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</si>
  <si>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</si>
  <si>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</si>
  <si>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</si>
  <si>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</si>
  <si>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</si>
  <si>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</si>
  <si>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</si>
  <si>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</si>
  <si>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</si>
  <si>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</si>
  <si>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</si>
  <si>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</si>
  <si>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</si>
  <si>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</si>
  <si>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</si>
  <si>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</si>
  <si>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</si>
  <si>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</si>
  <si>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</si>
  <si>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</si>
  <si>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</si>
  <si>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</si>
  <si>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</si>
  <si>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</si>
  <si>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</si>
  <si>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</si>
  <si>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</si>
  <si>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</si>
  <si>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</si>
  <si>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</si>
  <si>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</si>
  <si>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</si>
  <si>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</si>
  <si>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</si>
  <si>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</si>
  <si>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</si>
  <si>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</si>
  <si>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</si>
  <si>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</si>
  <si>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</si>
  <si>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</si>
  <si>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</si>
  <si>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</si>
  <si>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</si>
  <si>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</si>
  <si>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</si>
  <si>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</si>
  <si>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</si>
  <si>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</si>
  <si>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</si>
  <si>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</si>
  <si>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</si>
  <si>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</si>
  <si>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</si>
  <si>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</si>
  <si>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</si>
  <si>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</si>
  <si>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</si>
  <si>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</si>
  <si>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</si>
  <si>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</si>
  <si>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</si>
  <si>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</si>
  <si>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</si>
  <si>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</si>
  <si>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</si>
  <si>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</si>
  <si>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</si>
  <si>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</si>
  <si>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</si>
  <si>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</si>
  <si>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</si>
  <si>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</si>
  <si>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</si>
  <si>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</si>
  <si>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</si>
  <si>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</si>
  <si>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</si>
  <si>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</si>
  <si>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</si>
  <si>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</si>
  <si>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</si>
  <si>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</si>
  <si>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</si>
  <si>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</si>
  <si>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</si>
  <si>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</si>
  <si>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</si>
  <si>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</si>
  <si>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</si>
  <si>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</si>
  <si>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</si>
  <si>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</si>
  <si>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</si>
  <si>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</si>
  <si>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</si>
  <si>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</si>
  <si>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</si>
  <si>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</si>
  <si>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</si>
  <si>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</si>
  <si>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</si>
  <si>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</si>
  <si>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</si>
  <si>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</si>
  <si>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</si>
  <si>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</si>
  <si>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</si>
  <si>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</si>
  <si>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</si>
  <si>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</si>
  <si>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</si>
  <si>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</si>
  <si>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</si>
  <si>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</si>
  <si>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</si>
  <si>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</si>
  <si>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</si>
  <si>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</si>
  <si>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</si>
  <si>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</si>
  <si>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</si>
  <si>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</si>
  <si>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</si>
  <si>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</si>
  <si>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</si>
  <si>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</si>
  <si>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</si>
  <si>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</si>
  <si>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</si>
  <si>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</si>
  <si>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</si>
  <si>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</si>
  <si>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</si>
  <si>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</si>
  <si>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</si>
  <si>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</si>
  <si>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</si>
  <si>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</si>
  <si>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</si>
  <si>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</si>
  <si>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</si>
  <si>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</si>
  <si>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</si>
  <si>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</si>
  <si>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</si>
  <si>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</si>
  <si>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</si>
  <si>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</si>
  <si>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</si>
  <si>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</si>
  <si>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</si>
  <si>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</si>
  <si>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</si>
  <si>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</si>
  <si>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</si>
  <si>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</si>
  <si>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</si>
  <si>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</si>
  <si>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</si>
  <si>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</si>
  <si>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</si>
  <si>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</si>
  <si>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</si>
  <si>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</si>
  <si>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</si>
  <si>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</si>
  <si>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</si>
  <si>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</si>
  <si>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</si>
  <si>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</si>
  <si>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</si>
  <si>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</si>
  <si>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</si>
  <si>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</si>
  <si>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</si>
  <si>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</si>
  <si>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</si>
  <si>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</si>
  <si>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</si>
  <si>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</si>
  <si>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</si>
  <si>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</si>
  <si>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</si>
  <si>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</si>
  <si>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</si>
  <si>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</si>
  <si>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</si>
  <si>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</si>
  <si>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</si>
  <si>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</si>
  <si>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</si>
  <si>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</si>
  <si>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</si>
  <si>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</si>
  <si>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</si>
  <si>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</si>
  <si>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</si>
  <si>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</si>
  <si>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</si>
  <si>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</si>
  <si>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</si>
  <si>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</si>
  <si>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</si>
  <si>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</si>
  <si>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</si>
  <si>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</si>
  <si>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</si>
  <si>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</si>
  <si>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</si>
  <si>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</si>
  <si>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</si>
  <si>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</si>
  <si>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</si>
  <si>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</si>
  <si>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</si>
  <si>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</si>
  <si>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</si>
  <si>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</si>
  <si>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</si>
  <si>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</si>
  <si>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</si>
  <si>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</si>
  <si>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</si>
  <si>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</si>
  <si>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</si>
  <si>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</si>
  <si>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</si>
  <si>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</si>
  <si>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</si>
  <si>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</si>
  <si>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</si>
  <si>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</si>
  <si>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</si>
  <si>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</si>
  <si>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</si>
  <si>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</si>
  <si>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</si>
  <si>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</si>
  <si>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</si>
  <si>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</si>
  <si>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</si>
  <si>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</si>
  <si>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</si>
  <si>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</si>
  <si>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</si>
  <si>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</si>
  <si>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</si>
  <si>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</si>
  <si>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</si>
  <si>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</si>
  <si>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</si>
  <si>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</si>
  <si>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</si>
  <si>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</si>
  <si>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</si>
  <si>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</si>
  <si>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</si>
  <si>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</si>
  <si>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</si>
  <si>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</si>
  <si>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</si>
  <si>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</si>
  <si>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</si>
  <si>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</si>
  <si>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</si>
  <si>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</si>
  <si>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</si>
  <si>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</si>
  <si>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</si>
  <si>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</si>
  <si>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</si>
  <si>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</si>
  <si>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</si>
  <si>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</si>
  <si>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</si>
  <si>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</si>
  <si>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</si>
  <si>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</si>
  <si>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</si>
  <si>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</si>
  <si>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</si>
  <si>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</si>
  <si>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</si>
  <si>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</si>
  <si>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</si>
  <si>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</si>
  <si>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</si>
  <si>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</si>
  <si>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</si>
  <si>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</si>
  <si>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</si>
  <si>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</si>
  <si>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</si>
  <si>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</si>
  <si>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</si>
  <si>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</si>
  <si>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</si>
  <si>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</si>
  <si>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</si>
  <si>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</si>
  <si>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</si>
  <si>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</si>
  <si>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</si>
  <si>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</si>
  <si>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</si>
  <si>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</si>
  <si>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</si>
  <si>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</si>
  <si>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</si>
  <si>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</si>
  <si>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</si>
  <si>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</si>
  <si>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</si>
  <si>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</si>
  <si>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</si>
  <si>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</si>
  <si>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</si>
  <si>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</si>
  <si>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</si>
  <si>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</si>
  <si>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</si>
  <si>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</si>
  <si>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</si>
  <si>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</si>
  <si>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</si>
  <si>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</si>
  <si>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</si>
  <si>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</si>
  <si>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</si>
  <si>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</si>
  <si>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</si>
  <si>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</si>
  <si>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</si>
  <si>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</si>
  <si>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</si>
  <si>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</si>
  <si>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</si>
  <si>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</si>
  <si>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</si>
  <si>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</si>
  <si>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</si>
  <si>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</si>
  <si>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</si>
  <si>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</si>
  <si>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</si>
  <si>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</si>
  <si>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</si>
  <si>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</si>
  <si>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</si>
  <si>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</si>
  <si>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</si>
  <si>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</si>
  <si>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</si>
  <si>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</si>
  <si>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</si>
  <si>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</si>
  <si>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</si>
  <si>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</si>
  <si>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</si>
  <si>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</si>
  <si>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</si>
  <si>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</si>
  <si>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</si>
  <si>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</si>
  <si>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</si>
  <si>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</si>
  <si>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</si>
  <si>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</si>
  <si>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</si>
  <si>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</si>
  <si>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</si>
  <si>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</si>
  <si>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</si>
  <si>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</si>
  <si>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</si>
  <si>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</si>
  <si>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</si>
  <si>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</si>
  <si>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</si>
  <si>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</si>
  <si>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</si>
  <si>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</si>
  <si>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</si>
  <si>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</si>
  <si>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</si>
  <si>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</si>
  <si>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</si>
  <si>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</si>
  <si>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</si>
  <si>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</si>
  <si>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</si>
  <si>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</si>
  <si>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</si>
  <si>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</si>
  <si>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</si>
  <si>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</si>
  <si>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</si>
  <si>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</si>
  <si>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</si>
  <si>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</si>
  <si>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</si>
  <si>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</si>
  <si>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</si>
  <si>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</si>
  <si>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</si>
  <si>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</si>
  <si>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</si>
  <si>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</si>
  <si>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</si>
  <si>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</si>
  <si>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</si>
  <si>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</si>
  <si>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</si>
  <si>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</si>
  <si>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</si>
  <si>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</si>
  <si>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</si>
  <si>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</si>
  <si>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</si>
  <si>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</si>
  <si>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</si>
  <si>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</si>
  <si>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</si>
  <si>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</si>
  <si>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</si>
  <si>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</si>
  <si>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</si>
  <si>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</si>
  <si>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</si>
  <si>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</si>
  <si>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</si>
  <si>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</si>
  <si>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</si>
  <si>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</si>
  <si>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</si>
  <si>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</si>
  <si>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</si>
  <si>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</si>
  <si>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</si>
  <si>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</si>
  <si>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</si>
  <si>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</si>
  <si>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</si>
  <si>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</si>
  <si>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</si>
  <si>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</si>
  <si>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</si>
  <si>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</si>
  <si>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</si>
  <si>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</si>
  <si>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</si>
  <si>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</si>
  <si>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</si>
  <si>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</si>
  <si>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</si>
  <si>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</si>
  <si>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</si>
  <si>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</si>
  <si>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</si>
  <si>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</si>
  <si>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</si>
  <si>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</si>
  <si>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</si>
  <si>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</si>
  <si>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</si>
  <si>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</si>
  <si>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</si>
  <si>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</si>
  <si>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</si>
  <si>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</si>
  <si>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</si>
  <si>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</si>
  <si>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</si>
  <si>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</si>
  <si>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</si>
  <si>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</si>
  <si>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</si>
  <si>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</si>
  <si>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</si>
  <si>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</si>
  <si>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</si>
  <si>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</si>
  <si>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</si>
  <si>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</si>
  <si>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</si>
  <si>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</si>
  <si>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</si>
  <si>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</si>
  <si>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</si>
  <si>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</si>
  <si>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</si>
  <si>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</si>
  <si>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</si>
  <si>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</si>
  <si>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</si>
  <si>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</si>
  <si>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</si>
  <si>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</si>
  <si>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</si>
  <si>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</si>
  <si>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</si>
  <si>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</si>
  <si>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</si>
  <si>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</si>
  <si>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</si>
  <si>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</si>
  <si>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</si>
  <si>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</si>
  <si>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</si>
  <si>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</si>
  <si>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</si>
  <si>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</si>
  <si>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</si>
  <si>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</si>
  <si>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</si>
  <si>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</si>
  <si>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</si>
  <si>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</si>
  <si>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</si>
  <si>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</si>
  <si>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</si>
  <si>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</si>
  <si>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</si>
  <si>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</si>
  <si>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</si>
  <si>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</si>
  <si>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</si>
  <si>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</si>
  <si>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</si>
  <si>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</si>
  <si>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</si>
  <si>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</si>
  <si>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</si>
  <si>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</si>
  <si>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</si>
  <si>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</si>
  <si>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</si>
  <si>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</si>
  <si>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</si>
  <si>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</si>
  <si>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</si>
  <si>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</si>
  <si>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</si>
  <si>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</si>
  <si>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</si>
  <si>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</si>
  <si>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</si>
  <si>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</si>
  <si>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</si>
  <si>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</si>
  <si>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</si>
  <si>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</si>
  <si>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</si>
  <si>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</si>
  <si>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</si>
  <si>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</si>
  <si>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</si>
  <si>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</si>
  <si>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</si>
  <si>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</si>
  <si>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</si>
  <si>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</si>
  <si>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</si>
  <si>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</si>
  <si>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</si>
  <si>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</si>
  <si>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</si>
  <si>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</si>
  <si>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</si>
  <si>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</si>
  <si>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</si>
  <si>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</si>
  <si>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</si>
  <si>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</si>
  <si>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</si>
  <si>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</si>
  <si>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</si>
  <si>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</si>
  <si>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</si>
  <si>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</si>
  <si>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</si>
  <si>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</si>
  <si>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</si>
  <si>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</si>
  <si>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</si>
  <si>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</si>
  <si>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</si>
  <si>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</si>
  <si>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</si>
  <si>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</si>
  <si>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</si>
  <si>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</si>
  <si>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</si>
  <si>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</si>
  <si>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</si>
  <si>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</si>
  <si>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</si>
  <si>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</si>
  <si>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</si>
  <si>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</si>
  <si>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</si>
  <si>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</si>
  <si>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</si>
  <si>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</si>
  <si>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</si>
  <si>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</si>
  <si>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</si>
  <si>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</si>
  <si>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</si>
  <si>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</si>
  <si>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</si>
  <si>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</si>
  <si>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</si>
  <si>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</si>
  <si>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</si>
  <si>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</si>
  <si>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</si>
  <si>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</si>
  <si>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</si>
  <si>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</si>
  <si>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</si>
  <si>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</si>
  <si>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</si>
  <si>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</si>
  <si>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</si>
  <si>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</si>
  <si>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</si>
  <si>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</si>
  <si>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</si>
  <si>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</si>
  <si>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</si>
  <si>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</si>
  <si>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</si>
  <si>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</si>
  <si>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</si>
  <si>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</si>
  <si>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</si>
  <si>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</si>
  <si>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</si>
  <si>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</si>
  <si>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</si>
  <si>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</si>
  <si>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</si>
  <si>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</si>
  <si>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</si>
  <si>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</si>
  <si>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</si>
  <si>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</si>
  <si>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</si>
  <si>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</si>
  <si>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</si>
  <si>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</si>
  <si>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</si>
  <si>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</si>
  <si>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</si>
  <si>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</si>
  <si>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</si>
  <si>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</si>
  <si>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</si>
  <si>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</si>
  <si>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</si>
  <si>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</si>
  <si>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</si>
  <si>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</si>
  <si>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</si>
  <si>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</si>
  <si>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</si>
  <si>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</si>
  <si>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</si>
  <si>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</si>
  <si>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</si>
  <si>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</si>
  <si>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</si>
  <si>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</si>
  <si>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</si>
  <si>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</si>
  <si>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</si>
  <si>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</si>
  <si>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</si>
  <si>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</si>
  <si>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</si>
  <si>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</si>
  <si>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</si>
  <si>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</si>
  <si>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</si>
  <si>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</si>
  <si>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</si>
  <si>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</si>
  <si>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</si>
  <si>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</si>
  <si>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</si>
  <si>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</si>
  <si>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</si>
  <si>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</si>
  <si>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</si>
  <si>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</si>
  <si>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</si>
  <si>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</si>
  <si>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</si>
  <si>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</si>
  <si>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</si>
  <si>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</si>
  <si>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</si>
  <si>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</si>
  <si>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</si>
  <si>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</si>
  <si>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</si>
  <si>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</si>
  <si>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</si>
  <si>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</si>
  <si>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</si>
  <si>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</si>
  <si>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</si>
  <si>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</si>
  <si>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</si>
  <si>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</si>
  <si>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</si>
  <si>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</si>
  <si>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</si>
  <si>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</si>
  <si>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</si>
  <si>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</si>
  <si>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</si>
  <si>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</si>
  <si>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</si>
  <si>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</si>
  <si>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</si>
  <si>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</si>
  <si>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</si>
  <si>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</si>
  <si>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</si>
  <si>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</si>
  <si>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</si>
  <si>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</si>
  <si>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</si>
  <si>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</si>
  <si>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</si>
  <si>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</si>
  <si>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</si>
  <si>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</si>
  <si>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</si>
  <si>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</si>
  <si>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</si>
  <si>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</si>
  <si>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</si>
  <si>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</si>
  <si>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</si>
  <si>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</si>
  <si>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</si>
  <si>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</si>
  <si>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</si>
  <si>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</si>
  <si>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</si>
  <si>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</si>
  <si>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</si>
  <si>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</si>
  <si>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</si>
  <si>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</si>
  <si>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</si>
  <si>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</si>
  <si>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</si>
  <si>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</si>
  <si>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</si>
  <si>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</si>
  <si>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</si>
  <si>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</si>
  <si>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</si>
  <si>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</si>
  <si>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</si>
  <si>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</si>
  <si>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</si>
  <si>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</si>
  <si>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</si>
  <si>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</si>
  <si>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</si>
  <si>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</si>
  <si>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</si>
  <si>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</si>
  <si>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</si>
  <si>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</si>
  <si>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</si>
  <si>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</si>
  <si>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</si>
  <si>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</si>
  <si>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</si>
  <si>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</si>
  <si>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</si>
  <si>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</si>
  <si>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</si>
  <si>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</si>
  <si>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</si>
  <si>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</si>
  <si>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</si>
  <si>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</si>
  <si>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</si>
  <si>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</si>
  <si>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</si>
  <si>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</si>
  <si>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</si>
  <si>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</si>
  <si>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</si>
  <si>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</si>
  <si>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</si>
  <si>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</si>
  <si>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</si>
  <si>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</si>
  <si>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</si>
  <si>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</si>
  <si>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</si>
  <si>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</si>
  <si>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</si>
  <si>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</si>
  <si>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</si>
  <si>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</si>
  <si>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</si>
  <si>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</si>
  <si>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</si>
  <si>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</si>
  <si>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</si>
  <si>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</si>
  <si>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</si>
  <si>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</si>
  <si>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</si>
  <si>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</si>
  <si>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</si>
  <si>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</si>
  <si>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</si>
  <si>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</si>
  <si>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</si>
  <si>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</si>
  <si>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</si>
  <si>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</si>
  <si>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</si>
  <si>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</si>
  <si>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</si>
  <si>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</si>
  <si>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</si>
  <si>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</si>
  <si>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</si>
  <si>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</si>
  <si>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</si>
  <si>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</si>
  <si>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</si>
  <si>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</si>
  <si>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</si>
  <si>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</si>
  <si>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</si>
  <si>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</si>
  <si>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</si>
  <si>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</si>
  <si>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</si>
  <si>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</si>
  <si>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</si>
  <si>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</si>
  <si>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</si>
  <si>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</si>
  <si>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</si>
  <si>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</si>
  <si>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</si>
  <si>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</si>
  <si>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</si>
  <si>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</si>
  <si>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</si>
  <si>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</si>
  <si>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</si>
  <si>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</si>
  <si>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</si>
  <si>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</si>
  <si>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</si>
  <si>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</si>
  <si>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</si>
  <si>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</si>
  <si>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</si>
  <si>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</si>
  <si>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</si>
  <si>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</si>
  <si>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</si>
  <si>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</si>
  <si>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</si>
  <si>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</si>
  <si>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</si>
  <si>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</si>
  <si>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</si>
  <si>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</si>
  <si>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</si>
  <si>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</si>
  <si>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</si>
  <si>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</si>
  <si>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</si>
  <si>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</si>
  <si>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</si>
  <si>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</si>
  <si>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</si>
  <si>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</si>
  <si>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</si>
  <si>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</si>
  <si>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</si>
  <si>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</si>
  <si>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</si>
  <si>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</si>
  <si>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</si>
  <si>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</si>
  <si>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</si>
  <si>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</si>
  <si>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</si>
  <si>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</si>
  <si>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</si>
  <si>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</si>
  <si>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</si>
  <si>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</si>
  <si>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</si>
  <si>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</si>
  <si>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</si>
  <si>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</si>
  <si>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</si>
  <si>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</si>
  <si>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</si>
  <si>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</si>
  <si>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</si>
  <si>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</si>
  <si>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</si>
  <si>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</si>
  <si>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</si>
  <si>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</si>
  <si>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</si>
  <si>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</si>
  <si>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</si>
  <si>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</si>
  <si>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</si>
  <si>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</si>
  <si>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</si>
  <si>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</si>
  <si>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</si>
  <si>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</si>
  <si>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</si>
  <si>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</si>
  <si>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</si>
  <si>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</si>
  <si>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</si>
  <si>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</si>
  <si>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</si>
  <si>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</si>
  <si>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</si>
  <si>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</si>
  <si>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</si>
  <si>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</si>
  <si>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</si>
  <si>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</si>
  <si>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</si>
  <si>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</si>
  <si>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</si>
  <si>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</si>
  <si>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</si>
  <si>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</si>
  <si>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</si>
  <si>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</si>
  <si>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</si>
  <si>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</si>
  <si>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</si>
  <si>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</si>
  <si>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</si>
  <si>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</si>
  <si>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</si>
  <si>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</si>
  <si>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</si>
  <si>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</si>
  <si>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</si>
  <si>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</si>
  <si>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</si>
  <si>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</si>
  <si>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</si>
  <si>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</si>
  <si>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</si>
  <si>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</si>
  <si>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</si>
  <si>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</si>
  <si>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</si>
  <si>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</si>
  <si>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</si>
  <si>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</si>
  <si>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</si>
  <si>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</si>
  <si>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</si>
  <si>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</si>
  <si>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</si>
  <si>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</si>
  <si>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</si>
  <si>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</si>
  <si>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</si>
  <si>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</si>
  <si>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</si>
  <si>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</si>
  <si>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</si>
  <si>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</si>
  <si>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</si>
  <si>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</si>
  <si>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</si>
  <si>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</si>
  <si>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</si>
  <si>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</si>
  <si>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</si>
  <si>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</si>
  <si>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</si>
  <si>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</si>
  <si>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</si>
  <si>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</si>
  <si>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</si>
  <si>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</si>
  <si>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</si>
  <si>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</si>
  <si>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</si>
  <si>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</si>
  <si>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</si>
  <si>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</si>
  <si>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</si>
  <si>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</si>
  <si>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</si>
  <si>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</si>
  <si>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</si>
  <si>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</si>
  <si>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</si>
  <si>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</si>
  <si>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</si>
  <si>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</si>
  <si>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</si>
  <si>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</si>
  <si>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</si>
  <si>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</si>
  <si>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</si>
  <si>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</si>
  <si>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</si>
  <si>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</si>
  <si>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</si>
  <si>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</si>
  <si>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</si>
  <si>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</si>
  <si>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</si>
  <si>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</si>
  <si>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</si>
  <si>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</si>
  <si>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</si>
  <si>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</si>
  <si>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</si>
  <si>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</si>
  <si>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</si>
  <si>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</si>
  <si>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</si>
  <si>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</si>
  <si>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</si>
  <si>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</si>
  <si>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</si>
  <si>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</si>
  <si>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</si>
  <si>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</si>
  <si>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</si>
  <si>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</si>
  <si>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</si>
  <si>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</si>
  <si>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</si>
  <si>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</si>
  <si>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</si>
  <si>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</si>
  <si>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</si>
  <si>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</si>
  <si>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</si>
  <si>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</si>
  <si>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</si>
  <si>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</si>
  <si>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</si>
  <si>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</si>
  <si>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</si>
  <si>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</si>
  <si>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</si>
  <si>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</si>
  <si>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</si>
  <si>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</si>
  <si>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</si>
  <si>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</si>
  <si>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</si>
  <si>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</si>
  <si>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</si>
  <si>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</si>
  <si>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</si>
  <si>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</si>
  <si>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</si>
  <si>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</si>
  <si>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</si>
  <si>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</si>
  <si>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</si>
  <si>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</si>
  <si>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</si>
  <si>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</si>
  <si>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</si>
  <si>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</si>
  <si>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</si>
  <si>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</si>
  <si>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</si>
  <si>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</si>
  <si>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</si>
  <si>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</si>
  <si>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</si>
  <si>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</si>
  <si>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</si>
  <si>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</si>
  <si>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</si>
  <si>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</si>
  <si>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</si>
  <si>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</si>
  <si>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</si>
  <si>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</si>
  <si>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</si>
  <si>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</si>
  <si>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</si>
  <si>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</si>
  <si>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</si>
  <si>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</si>
  <si>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</si>
  <si>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</si>
  <si>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</si>
  <si>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</si>
  <si>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</si>
  <si>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</si>
  <si>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</si>
  <si>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</si>
  <si>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</si>
  <si>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</si>
  <si>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</si>
  <si>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</si>
  <si>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</si>
  <si>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</si>
  <si>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</si>
  <si>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</si>
  <si>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</si>
  <si>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</si>
  <si>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</si>
  <si>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</si>
  <si>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</si>
  <si>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</si>
  <si>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</si>
  <si>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</si>
  <si>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</si>
  <si>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</si>
  <si>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</si>
  <si>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</si>
  <si>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</si>
  <si>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</si>
  <si>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</si>
  <si>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</si>
  <si>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</si>
  <si>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</si>
  <si>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</si>
  <si>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</si>
  <si>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</si>
  <si>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</si>
  <si>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</si>
  <si>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</si>
  <si>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</si>
  <si>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</si>
  <si>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</si>
  <si>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</si>
  <si>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</si>
  <si>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</si>
  <si>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</si>
  <si>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</si>
  <si>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</si>
  <si>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</si>
  <si>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</si>
  <si>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</si>
  <si>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</si>
  <si>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</si>
  <si>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</si>
  <si>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</si>
  <si>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</si>
  <si>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</si>
  <si>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</si>
  <si>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</si>
  <si>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</si>
  <si>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</si>
  <si>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</si>
  <si>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</si>
  <si>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</si>
  <si>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</si>
  <si>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</si>
  <si>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</si>
  <si>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</si>
  <si>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</si>
  <si>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</si>
  <si>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</si>
  <si>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</si>
  <si>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</si>
  <si>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</si>
  <si>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</si>
  <si>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</si>
  <si>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</si>
  <si>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</si>
  <si>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</si>
  <si>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</si>
  <si>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</si>
  <si>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</si>
  <si>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</si>
  <si>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</si>
  <si>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</si>
  <si>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</si>
  <si>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</si>
  <si>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</si>
  <si>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</si>
  <si>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</si>
  <si>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</si>
  <si>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</si>
  <si>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</si>
  <si>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</si>
  <si>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</si>
  <si>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</si>
  <si>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</si>
  <si>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</si>
  <si>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</si>
  <si>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</si>
  <si>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</si>
  <si>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</si>
  <si>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</si>
  <si>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</si>
  <si>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</si>
  <si>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</si>
  <si>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</si>
  <si>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</si>
  <si>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</si>
  <si>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</si>
  <si>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</si>
  <si>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</si>
  <si>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</si>
  <si>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</si>
  <si>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</si>
  <si>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</si>
  <si>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</si>
  <si>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</si>
  <si>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</si>
  <si>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</si>
  <si>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</si>
  <si>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</si>
  <si>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</si>
  <si>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</si>
  <si>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</si>
  <si>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</si>
  <si>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</si>
  <si>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</si>
  <si>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</si>
  <si>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</si>
  <si>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</si>
  <si>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</si>
  <si>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</si>
  <si>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</si>
  <si>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</si>
  <si>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</si>
  <si>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</si>
  <si>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</si>
  <si>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</si>
  <si>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</si>
  <si>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</si>
  <si>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</si>
  <si>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</si>
  <si>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</si>
  <si>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</si>
  <si>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</si>
  <si>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</si>
  <si>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</si>
  <si>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</si>
  <si>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</si>
  <si>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</si>
  <si>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</si>
  <si>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</si>
  <si>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</si>
  <si>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</si>
  <si>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</si>
  <si>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</si>
  <si>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</si>
  <si>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</si>
  <si>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</si>
  <si>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</si>
  <si>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</si>
  <si>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</si>
  <si>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</si>
  <si>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</si>
  <si>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</si>
  <si>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</si>
  <si>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</si>
  <si>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</si>
  <si>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</si>
  <si>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</si>
  <si>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</si>
  <si>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</si>
  <si>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</si>
  <si>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</si>
  <si>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</si>
  <si>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</si>
  <si>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</si>
  <si>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</si>
  <si>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</si>
  <si>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</si>
  <si>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</si>
  <si>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</si>
  <si>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</si>
  <si>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</si>
  <si>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</si>
  <si>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</si>
  <si>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</si>
  <si>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</si>
  <si>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</si>
  <si>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</si>
  <si>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</si>
  <si>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</si>
  <si>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</si>
  <si>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</si>
  <si>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</si>
  <si>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</si>
  <si>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</si>
  <si>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</si>
  <si>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</si>
  <si>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</si>
  <si>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</si>
  <si>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</si>
  <si>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</si>
  <si>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</si>
  <si>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</si>
  <si>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</si>
  <si>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</si>
  <si>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</si>
  <si>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</si>
  <si>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</si>
  <si>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</si>
  <si>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</si>
  <si>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</si>
  <si>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</si>
  <si>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</si>
  <si>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</si>
  <si>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</si>
  <si>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</si>
  <si>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</si>
  <si>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</si>
  <si>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</si>
  <si>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</si>
  <si>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</si>
  <si>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</si>
  <si>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</si>
  <si>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</si>
  <si>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</si>
  <si>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</si>
  <si>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</si>
  <si>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</si>
  <si>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</si>
  <si>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</si>
  <si>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</si>
  <si>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</si>
  <si>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</si>
  <si>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</si>
  <si>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</si>
  <si>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</si>
  <si>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</si>
  <si>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</si>
  <si>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</si>
  <si>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</si>
  <si>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</si>
  <si>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</si>
  <si>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</si>
  <si>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</si>
  <si>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</si>
  <si>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</si>
  <si>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</si>
  <si>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</si>
  <si>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</si>
  <si>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</si>
  <si>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</si>
  <si>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</si>
  <si>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</si>
  <si>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</si>
  <si>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</si>
  <si>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</si>
  <si>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</si>
  <si>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</si>
  <si>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</si>
  <si>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</si>
  <si>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</si>
  <si>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</si>
  <si>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</si>
  <si>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</si>
  <si>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</si>
  <si>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</si>
  <si>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</si>
  <si>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</si>
  <si>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</si>
  <si>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</si>
  <si>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</si>
  <si>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</si>
  <si>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</si>
  <si>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</si>
  <si>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</si>
  <si>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</si>
  <si>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</si>
  <si>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</si>
  <si>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</si>
  <si>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</si>
  <si>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</si>
  <si>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</si>
  <si>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</si>
  <si>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</si>
  <si>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</si>
  <si>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</si>
  <si>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</si>
  <si>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</si>
  <si>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</si>
  <si>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</si>
  <si>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</si>
  <si>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</si>
  <si>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</si>
  <si>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</si>
  <si>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</si>
  <si>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</si>
  <si>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</si>
  <si>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</si>
  <si>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</si>
  <si>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</si>
  <si>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</si>
  <si>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</si>
  <si>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</si>
  <si>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</si>
  <si>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</si>
  <si>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</si>
  <si>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</si>
  <si>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</si>
  <si>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</si>
  <si>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</si>
  <si>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</si>
  <si>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</si>
  <si>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</si>
  <si>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</si>
  <si>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</si>
  <si>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</si>
  <si>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</si>
  <si>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</si>
  <si>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</si>
  <si>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</si>
  <si>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</si>
  <si>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</si>
  <si>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</si>
  <si>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</si>
  <si>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</si>
  <si>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</si>
  <si>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</si>
  <si>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</si>
  <si>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</si>
  <si>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</si>
  <si>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</si>
  <si>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</si>
  <si>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</si>
  <si>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</si>
  <si>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</si>
  <si>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</si>
  <si>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</si>
  <si>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</si>
  <si>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</si>
  <si>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</si>
  <si>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</si>
  <si>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</si>
  <si>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</si>
  <si>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</si>
  <si>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</si>
  <si>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</si>
  <si>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</si>
  <si>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</si>
  <si>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</si>
  <si>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</si>
  <si>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</si>
  <si>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</si>
  <si>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</si>
  <si>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</si>
  <si>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</si>
  <si>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</si>
  <si>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</si>
  <si>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</si>
  <si>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</si>
  <si>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</si>
  <si>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</si>
  <si>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</si>
  <si>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</si>
  <si>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</si>
  <si>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</si>
  <si>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</si>
  <si>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</si>
  <si>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</si>
  <si>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</si>
  <si>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</si>
  <si>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</si>
  <si>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</si>
  <si>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</si>
  <si>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</si>
  <si>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</si>
  <si>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</si>
  <si>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</si>
  <si>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</si>
  <si>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</si>
  <si>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</si>
  <si>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</si>
  <si>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</si>
  <si>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</si>
  <si>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</si>
  <si>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</si>
  <si>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</si>
  <si>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</si>
  <si>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</si>
  <si>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</si>
  <si>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</si>
  <si>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</si>
  <si>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</si>
  <si>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</si>
  <si>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</si>
  <si>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</si>
  <si>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</si>
  <si>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</si>
  <si>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</si>
  <si>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</si>
  <si>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</si>
  <si>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</si>
  <si>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</si>
  <si>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</si>
  <si>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</si>
  <si>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</si>
  <si>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</si>
  <si>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</si>
  <si>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</si>
  <si>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</si>
  <si>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</si>
  <si>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</si>
  <si>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</si>
  <si>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</si>
  <si>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</si>
  <si>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</si>
  <si>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</si>
  <si>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</si>
  <si>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</si>
  <si>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</si>
  <si>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</si>
  <si>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</si>
  <si>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</si>
  <si>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</si>
  <si>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</si>
  <si>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</si>
  <si>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</si>
  <si>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</si>
  <si>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</si>
  <si>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</si>
  <si>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</si>
  <si>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</si>
  <si>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</si>
  <si>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</si>
  <si>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</si>
  <si>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</si>
  <si>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</si>
  <si>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</si>
  <si>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</si>
  <si>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</si>
  <si>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</si>
  <si>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</si>
  <si>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</si>
  <si>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</si>
  <si>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</si>
  <si>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</si>
  <si>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</si>
  <si>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</si>
  <si>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</si>
  <si>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</si>
  <si>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</si>
  <si>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</si>
  <si>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</si>
  <si>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</si>
  <si>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</si>
  <si>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</si>
  <si>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</si>
  <si>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</si>
  <si>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</si>
  <si>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</si>
  <si>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</si>
  <si>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</si>
  <si>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</si>
  <si>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</si>
  <si>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</si>
  <si>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</si>
  <si>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</si>
  <si>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</si>
  <si>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</si>
  <si>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</si>
  <si>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</si>
  <si>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</si>
  <si>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</si>
  <si>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</si>
  <si>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</si>
  <si>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</si>
  <si>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</si>
  <si>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</si>
  <si>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</si>
  <si>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</si>
  <si>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</si>
  <si>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</si>
  <si>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</si>
  <si>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</si>
  <si>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</si>
  <si>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</si>
  <si>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</si>
  <si>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</si>
  <si>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</si>
  <si>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</si>
  <si>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</si>
  <si>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</si>
  <si>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</si>
  <si>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</si>
  <si>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</si>
  <si>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</si>
  <si>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</si>
  <si>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</si>
  <si>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</si>
  <si>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</si>
  <si>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</si>
  <si>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</si>
  <si>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</si>
  <si>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</si>
  <si>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</si>
  <si>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</si>
  <si>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</si>
  <si>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</si>
  <si>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</si>
  <si>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</si>
  <si>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</si>
  <si>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</si>
  <si>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</si>
  <si>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</si>
  <si>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</si>
  <si>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</si>
  <si>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</si>
  <si>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</si>
  <si>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</si>
  <si>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</si>
  <si>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</si>
  <si>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</si>
  <si>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</si>
  <si>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</si>
  <si>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</si>
  <si>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</si>
  <si>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</si>
  <si>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</si>
  <si>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</si>
  <si>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</si>
  <si>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</si>
  <si>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</si>
  <si>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</si>
  <si>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</si>
  <si>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</si>
  <si>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</si>
  <si>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</si>
  <si>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</si>
  <si>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</si>
  <si>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</si>
  <si>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</si>
  <si>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</si>
  <si>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</si>
  <si>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</si>
  <si>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</si>
  <si>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</si>
  <si>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</si>
  <si>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</si>
  <si>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</si>
  <si>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</si>
  <si>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</si>
  <si>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</si>
  <si>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</si>
  <si>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</si>
  <si>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</si>
  <si>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</si>
  <si>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</si>
  <si>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</si>
  <si>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</si>
  <si>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</si>
  <si>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</si>
  <si>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</si>
  <si>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</si>
  <si>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</si>
  <si>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</si>
  <si>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</si>
  <si>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</si>
  <si>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</si>
  <si>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</si>
  <si>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</si>
  <si>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</si>
  <si>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</si>
  <si>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</si>
  <si>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</si>
  <si>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</si>
  <si>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</si>
  <si>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</si>
  <si>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</si>
  <si>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</si>
  <si>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</si>
  <si>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</si>
  <si>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</si>
  <si>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</si>
  <si>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</si>
  <si>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</si>
  <si>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</si>
  <si>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</si>
  <si>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</si>
  <si>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</si>
  <si>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</si>
  <si>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</si>
  <si>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</si>
  <si>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</si>
  <si>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</si>
  <si>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</si>
  <si>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</si>
  <si>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</si>
  <si>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</si>
  <si>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</si>
  <si>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</si>
  <si>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</si>
  <si>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</si>
  <si>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</si>
  <si>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</si>
  <si>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</si>
  <si>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</si>
  <si>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</si>
  <si>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</si>
  <si>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</si>
  <si>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</si>
  <si>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</si>
  <si>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</si>
  <si>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</si>
  <si>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</si>
  <si>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</si>
  <si>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</si>
  <si>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</si>
  <si>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</si>
  <si>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</si>
  <si>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</si>
  <si>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</si>
  <si>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</si>
  <si>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</si>
  <si>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</si>
  <si>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</si>
  <si>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</si>
  <si>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</si>
  <si>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</si>
  <si>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</si>
  <si>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</si>
  <si>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</si>
  <si>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</si>
  <si>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</si>
  <si>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</si>
  <si>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</si>
  <si>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</si>
  <si>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</si>
  <si>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</si>
  <si>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</si>
  <si>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</si>
  <si>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</si>
  <si>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</si>
  <si>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</si>
  <si>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</si>
  <si>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</si>
  <si>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</si>
  <si>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</si>
  <si>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</si>
  <si>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</si>
  <si>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</si>
  <si>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</si>
  <si>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</si>
  <si>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</si>
  <si>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</si>
  <si>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</si>
  <si>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</si>
  <si>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</si>
  <si>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</si>
  <si>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</si>
  <si>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</si>
  <si>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</si>
  <si>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</si>
  <si>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</si>
  <si>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</si>
  <si>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</si>
  <si>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</si>
  <si>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</si>
  <si>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</si>
  <si>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</si>
  <si>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</si>
  <si>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</si>
  <si>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</si>
  <si>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</si>
  <si>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</si>
  <si>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</si>
  <si>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</si>
  <si>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</si>
  <si>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</si>
  <si>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</si>
  <si>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</si>
  <si>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</si>
  <si>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</si>
  <si>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</si>
  <si>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</si>
  <si>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</si>
  <si>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</si>
  <si>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</si>
  <si>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</si>
  <si>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</si>
  <si>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</si>
  <si>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</si>
  <si>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</si>
  <si>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</si>
  <si>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</si>
  <si>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</si>
  <si>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</si>
  <si>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</si>
  <si>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</si>
  <si>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Ⅵ-光机电</t>
  </si>
  <si>
    <t>幢号</t>
    <phoneticPr fontId="134" type="noConversion"/>
  </si>
  <si>
    <t>总楼层</t>
    <phoneticPr fontId="134" type="noConversion"/>
  </si>
  <si>
    <t>建筑面积</t>
    <phoneticPr fontId="134" type="noConversion"/>
  </si>
  <si>
    <t>结构</t>
    <phoneticPr fontId="134" type="noConversion"/>
  </si>
  <si>
    <t>钢混</t>
  </si>
  <si>
    <t>钢混</t>
    <phoneticPr fontId="134" type="noConversion"/>
  </si>
  <si>
    <t>钢</t>
    <phoneticPr fontId="134" type="noConversion"/>
  </si>
  <si>
    <t>厂房</t>
    <phoneticPr fontId="134" type="noConversion"/>
  </si>
  <si>
    <t>工业</t>
    <phoneticPr fontId="3" type="noConversion"/>
  </si>
  <si>
    <t>是</t>
  </si>
  <si>
    <t>地上</t>
  </si>
  <si>
    <t>成新度</t>
  </si>
  <si>
    <t>收益法</t>
  </si>
  <si>
    <t>押一</t>
  </si>
  <si>
    <t>否</t>
  </si>
  <si>
    <t>非生产用房</t>
  </si>
  <si>
    <t>自定义容积率</t>
  </si>
  <si>
    <t>不临65条商业街</t>
  </si>
  <si>
    <t>较好</t>
  </si>
  <si>
    <t>一般</t>
  </si>
  <si>
    <t>较差</t>
  </si>
  <si>
    <t>未包含在土地购买价格中</t>
  </si>
  <si>
    <t>全部缴纳</t>
  </si>
  <si>
    <t>已包含在土地取得成本中</t>
  </si>
  <si>
    <t>成本法</t>
  </si>
  <si>
    <t>总价</t>
  </si>
  <si>
    <t>成本比率</t>
  </si>
  <si>
    <t>年租金</t>
    <phoneticPr fontId="134" type="noConversion"/>
  </si>
  <si>
    <t>日租金</t>
    <phoneticPr fontId="134" type="noConversion"/>
  </si>
  <si>
    <t>现房</t>
  </si>
  <si>
    <t>项目全部</t>
  </si>
  <si>
    <t>情况3</t>
  </si>
  <si>
    <t>正常</t>
  </si>
  <si>
    <t>自行开发建设</t>
  </si>
  <si>
    <t>非个人房产</t>
  </si>
  <si>
    <t>与级别开发程度不一致</t>
  </si>
  <si>
    <t>通路</t>
  </si>
  <si>
    <t>通讯</t>
  </si>
  <si>
    <t>通电</t>
  </si>
  <si>
    <t>通上水</t>
  </si>
  <si>
    <t>通下水</t>
  </si>
  <si>
    <t>燃气</t>
  </si>
  <si>
    <t>平整</t>
  </si>
  <si>
    <t>办公用房、食堂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</si>
</sst>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9" fontId="95" fillId="0" borderId="0" xfId="17" applyFont="1">
      <alignment vertical="center"/>
    </xf>
    <xf numFmtId="9" fontId="0" fillId="0" borderId="0" xfId="17" applyFont="1">
      <alignment vertical="center"/>
    </xf>
    <xf numFmtId="0" fontId="126" fillId="6" borderId="1" xfId="0" applyFont="1" applyFill="1" applyBorder="1" applyAlignment="1" applyProtection="1">
      <alignment horizontal="center" vertical="center" wrapText="1"/>
      <protection locked="0"/>
    </xf>
    <xf numFmtId="14" fontId="0" fillId="0" borderId="0" xfId="0" applyNumberFormat="1">
      <alignment vertical="center"/>
    </xf>
    <xf numFmtId="10" fontId="0" fillId="0" borderId="0" xfId="17" applyNumberFormat="1" applyFont="1">
      <alignment vertical="center"/>
    </xf>
    <xf numFmtId="1" fontId="52" fillId="6" borderId="1"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1" xfId="0" applyFont="1" applyBorder="1">
      <alignment vertical="center"/>
    </xf>
    <xf numFmtId="0" fontId="0" fillId="0" borderId="1" xfId="0"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332990</xdr:colOff>
      <xdr:row>16</xdr:row>
      <xdr:rowOff>66324</xdr:rowOff>
    </xdr:to>
    <xdr:pic>
      <xdr:nvPicPr>
        <xdr:cNvPr id="2" name="图片 1">
          <a:extLst>
            <a:ext uri="{FF2B5EF4-FFF2-40B4-BE49-F238E27FC236}">
              <a16:creationId xmlns:a16="http://schemas.microsoft.com/office/drawing/2014/main" id="{C7082813-9525-3E7C-937E-2F0C9796E600}"/>
            </a:ext>
          </a:extLst>
        </xdr:cNvPr>
        <xdr:cNvPicPr>
          <a:picLocks noChangeAspect="1"/>
        </xdr:cNvPicPr>
      </xdr:nvPicPr>
      <xdr:blipFill>
        <a:blip xmlns:r="http://schemas.openxmlformats.org/officeDocument/2006/relationships" r:embed="rId1"/>
        <a:stretch>
          <a:fillRect/>
        </a:stretch>
      </xdr:blipFill>
      <xdr:spPr>
        <a:xfrm>
          <a:off x="0" y="0"/>
          <a:ext cx="3076190" cy="2809524"/>
        </a:xfrm>
        <a:prstGeom prst="rect">
          <a:avLst/>
        </a:prstGeom>
      </xdr:spPr>
    </xdr:pic>
    <xdr:clientData/>
  </xdr:twoCellAnchor>
  <xdr:twoCellAnchor editAs="oneCell">
    <xdr:from>
      <xdr:col>4</xdr:col>
      <xdr:colOff>419100</xdr:colOff>
      <xdr:row>0</xdr:row>
      <xdr:rowOff>0</xdr:rowOff>
    </xdr:from>
    <xdr:to>
      <xdr:col>18</xdr:col>
      <xdr:colOff>141651</xdr:colOff>
      <xdr:row>32</xdr:row>
      <xdr:rowOff>151695</xdr:rowOff>
    </xdr:to>
    <xdr:pic>
      <xdr:nvPicPr>
        <xdr:cNvPr id="3" name="图片 2">
          <a:extLst>
            <a:ext uri="{FF2B5EF4-FFF2-40B4-BE49-F238E27FC236}">
              <a16:creationId xmlns:a16="http://schemas.microsoft.com/office/drawing/2014/main" id="{6E8287C8-53D0-1767-87C6-89779928AA1C}"/>
            </a:ext>
          </a:extLst>
        </xdr:cNvPr>
        <xdr:cNvPicPr>
          <a:picLocks noChangeAspect="1"/>
        </xdr:cNvPicPr>
      </xdr:nvPicPr>
      <xdr:blipFill>
        <a:blip xmlns:r="http://schemas.openxmlformats.org/officeDocument/2006/relationships" r:embed="rId2"/>
        <a:stretch>
          <a:fillRect/>
        </a:stretch>
      </xdr:blipFill>
      <xdr:spPr>
        <a:xfrm>
          <a:off x="3162300" y="0"/>
          <a:ext cx="9790476" cy="5638095"/>
        </a:xfrm>
        <a:prstGeom prst="rect">
          <a:avLst/>
        </a:prstGeom>
      </xdr:spPr>
    </xdr:pic>
    <xdr:clientData/>
  </xdr:twoCellAnchor>
  <xdr:twoCellAnchor editAs="oneCell">
    <xdr:from>
      <xdr:col>10</xdr:col>
      <xdr:colOff>561975</xdr:colOff>
      <xdr:row>34</xdr:row>
      <xdr:rowOff>76200</xdr:rowOff>
    </xdr:from>
    <xdr:to>
      <xdr:col>19</xdr:col>
      <xdr:colOff>351680</xdr:colOff>
      <xdr:row>50</xdr:row>
      <xdr:rowOff>113952</xdr:rowOff>
    </xdr:to>
    <xdr:pic>
      <xdr:nvPicPr>
        <xdr:cNvPr id="4" name="图片 3">
          <a:extLst>
            <a:ext uri="{FF2B5EF4-FFF2-40B4-BE49-F238E27FC236}">
              <a16:creationId xmlns:a16="http://schemas.microsoft.com/office/drawing/2014/main" id="{F22D8D99-70AF-8D41-BEE2-C8EED600E09A}"/>
            </a:ext>
          </a:extLst>
        </xdr:cNvPr>
        <xdr:cNvPicPr>
          <a:picLocks noChangeAspect="1"/>
        </xdr:cNvPicPr>
      </xdr:nvPicPr>
      <xdr:blipFill>
        <a:blip xmlns:r="http://schemas.openxmlformats.org/officeDocument/2006/relationships" r:embed="rId3"/>
        <a:stretch>
          <a:fillRect/>
        </a:stretch>
      </xdr:blipFill>
      <xdr:spPr>
        <a:xfrm>
          <a:off x="7419975" y="5905500"/>
          <a:ext cx="5961905" cy="2780952"/>
        </a:xfrm>
        <a:prstGeom prst="rect">
          <a:avLst/>
        </a:prstGeom>
      </xdr:spPr>
    </xdr:pic>
    <xdr:clientData/>
  </xdr:twoCellAnchor>
  <xdr:twoCellAnchor editAs="oneCell">
    <xdr:from>
      <xdr:col>19</xdr:col>
      <xdr:colOff>66675</xdr:colOff>
      <xdr:row>0</xdr:row>
      <xdr:rowOff>0</xdr:rowOff>
    </xdr:from>
    <xdr:to>
      <xdr:col>27</xdr:col>
      <xdr:colOff>313608</xdr:colOff>
      <xdr:row>40</xdr:row>
      <xdr:rowOff>161048</xdr:rowOff>
    </xdr:to>
    <xdr:pic>
      <xdr:nvPicPr>
        <xdr:cNvPr id="5" name="图片 4">
          <a:extLst>
            <a:ext uri="{FF2B5EF4-FFF2-40B4-BE49-F238E27FC236}">
              <a16:creationId xmlns:a16="http://schemas.microsoft.com/office/drawing/2014/main" id="{AC2AC075-8442-DDF5-F18F-F41E492C3DCF}"/>
            </a:ext>
          </a:extLst>
        </xdr:cNvPr>
        <xdr:cNvPicPr>
          <a:picLocks noChangeAspect="1"/>
        </xdr:cNvPicPr>
      </xdr:nvPicPr>
      <xdr:blipFill>
        <a:blip xmlns:r="http://schemas.openxmlformats.org/officeDocument/2006/relationships" r:embed="rId4"/>
        <a:stretch>
          <a:fillRect/>
        </a:stretch>
      </xdr:blipFill>
      <xdr:spPr>
        <a:xfrm>
          <a:off x="13096875" y="0"/>
          <a:ext cx="5733333" cy="7019048"/>
        </a:xfrm>
        <a:prstGeom prst="rect">
          <a:avLst/>
        </a:prstGeom>
      </xdr:spPr>
    </xdr:pic>
    <xdr:clientData/>
  </xdr:twoCellAnchor>
  <xdr:twoCellAnchor editAs="oneCell">
    <xdr:from>
      <xdr:col>19</xdr:col>
      <xdr:colOff>133351</xdr:colOff>
      <xdr:row>40</xdr:row>
      <xdr:rowOff>142875</xdr:rowOff>
    </xdr:from>
    <xdr:to>
      <xdr:col>27</xdr:col>
      <xdr:colOff>323851</xdr:colOff>
      <xdr:row>43</xdr:row>
      <xdr:rowOff>122463</xdr:rowOff>
    </xdr:to>
    <xdr:pic>
      <xdr:nvPicPr>
        <xdr:cNvPr id="6" name="图片 5">
          <a:extLst>
            <a:ext uri="{FF2B5EF4-FFF2-40B4-BE49-F238E27FC236}">
              <a16:creationId xmlns:a16="http://schemas.microsoft.com/office/drawing/2014/main" id="{71E4EA8D-B403-5C74-7D85-4D5C655D3674}"/>
            </a:ext>
          </a:extLst>
        </xdr:cNvPr>
        <xdr:cNvPicPr>
          <a:picLocks noChangeAspect="1"/>
        </xdr:cNvPicPr>
      </xdr:nvPicPr>
      <xdr:blipFill>
        <a:blip xmlns:r="http://schemas.openxmlformats.org/officeDocument/2006/relationships" r:embed="rId5"/>
        <a:stretch>
          <a:fillRect/>
        </a:stretch>
      </xdr:blipFill>
      <xdr:spPr>
        <a:xfrm>
          <a:off x="13163551" y="7000875"/>
          <a:ext cx="5676900" cy="493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估价对象为北京市房地产，为所有。根据《国有土地使用证》[]，估价对象（分摊）出让国有建设用地使用权面积为27600平方米，建筑面积为16594.73平方米。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估价对象为北京市房地产,为开发建设的，该项目尚在开发建设中。根据《国有土地使用证》[]，估价对象（分摊）出让国有建设用地使用权面积为27600平方米，规划建筑面积为16594.73平方米。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2025年6月19日（评估专业人员实地查勘之日）</v>
      </c>
    </row>
    <row r="13" spans="1:2">
      <c r="A13" s="1119" t="s">
        <v>529</v>
      </c>
      <c r="B13" s="1120"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13222</v>
      </c>
    </row>
    <row r="21" spans="1:2">
      <c r="A21" s="1119" t="s">
        <v>537</v>
      </c>
      <c r="B21" s="1120">
        <f ca="1">'预评函-2'!D7</f>
        <v>7968</v>
      </c>
    </row>
    <row r="22" spans="1:2">
      <c r="A22" s="1119" t="s">
        <v>538</v>
      </c>
      <c r="B22" s="1120" t="str">
        <f ca="1">'预评函-2'!D6</f>
        <v>壹亿叁仟贰佰贰拾贰万元整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13222</v>
      </c>
    </row>
    <row r="31" spans="1:2">
      <c r="A31" s="1119" t="s">
        <v>576</v>
      </c>
      <c r="B31" s="1120">
        <f ca="1">'预评函-2'!D15</f>
        <v>7968</v>
      </c>
    </row>
    <row r="32" spans="1:2">
      <c r="A32" s="1119" t="s">
        <v>543</v>
      </c>
      <c r="B32" s="1120" t="str">
        <f ca="1">'预评函-2'!D14</f>
        <v>壹亿叁仟贰佰贰拾贰万元整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5027</v>
      </c>
    </row>
    <row r="39" spans="1:2">
      <c r="A39" s="1119" t="s">
        <v>545</v>
      </c>
      <c r="B39" s="1120">
        <f ca="1">'预评函-2'!D21</f>
        <v>3029</v>
      </c>
    </row>
    <row r="40" spans="1:2">
      <c r="A40" s="1119" t="s">
        <v>546</v>
      </c>
      <c r="B40" s="1120" t="str">
        <f ca="1">'预评函-2'!D20</f>
        <v>伍仟零贰拾柒万元整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16594.73</v>
      </c>
    </row>
    <row r="44" spans="1:2">
      <c r="A44" s="1119" t="s">
        <v>575</v>
      </c>
      <c r="B44" s="1120" t="str">
        <f>'预评函-3'!C2</f>
        <v>(分摊)土地面积</v>
      </c>
    </row>
    <row r="45" spans="1:2">
      <c r="A45" s="1119" t="s">
        <v>547</v>
      </c>
      <c r="B45" s="1120">
        <f>'预评函-3'!C4</f>
        <v>27600</v>
      </c>
    </row>
    <row r="46" spans="1:2">
      <c r="A46" s="1119" t="s">
        <v>573</v>
      </c>
      <c r="B46" s="1120" t="str">
        <f>'预评函-3'!D2</f>
        <v>出让国有建设用地使用权价值</v>
      </c>
    </row>
    <row r="47" spans="1:2">
      <c r="A47" s="1119" t="s">
        <v>548</v>
      </c>
      <c r="B47" s="1120">
        <f ca="1">'预评函-3'!D4</f>
        <v>6875</v>
      </c>
    </row>
    <row r="48" spans="1:2">
      <c r="A48" s="1119" t="s">
        <v>549</v>
      </c>
      <c r="B48" s="1120">
        <f ca="1">'预评函-3'!E4</f>
        <v>4143</v>
      </c>
    </row>
    <row r="49" spans="1:2">
      <c r="A49" s="1119" t="s">
        <v>550</v>
      </c>
      <c r="B49" s="1120" t="str">
        <f ca="1">'预评函-3'!D5</f>
        <v>陆仟捌佰柒拾伍万元整</v>
      </c>
    </row>
    <row r="50" spans="1:2">
      <c r="A50" s="1119" t="s">
        <v>574</v>
      </c>
      <c r="B50" s="1120" t="str">
        <f>'预评函-3'!F2</f>
        <v>在建建筑物价值</v>
      </c>
    </row>
    <row r="51" spans="1:2">
      <c r="A51" s="1119" t="s">
        <v>551</v>
      </c>
      <c r="B51" s="1120">
        <f ca="1">'预评函-3'!F4</f>
        <v>6347</v>
      </c>
    </row>
    <row r="52" spans="1:2">
      <c r="A52" s="1119" t="s">
        <v>552</v>
      </c>
      <c r="B52" s="1120">
        <f ca="1">'预评函-3'!G4</f>
        <v>3825</v>
      </c>
    </row>
    <row r="53" spans="1:2">
      <c r="A53" s="1119" t="s">
        <v>580</v>
      </c>
      <c r="B53" s="1120" t="str">
        <f ca="1">'预评函-3'!F5</f>
        <v>陆仟叁佰肆拾柒万元整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3" sqref="F23"/>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1" t="s">
        <v>2571</v>
      </c>
      <c r="J2" s="3211"/>
      <c r="K2" s="3211"/>
      <c r="L2" s="3211"/>
      <c r="M2" s="3211"/>
      <c r="N2" s="3211"/>
      <c r="O2" s="3211"/>
      <c r="P2" s="3211"/>
      <c r="Q2" s="3211"/>
      <c r="R2" s="3211"/>
    </row>
    <row r="3" spans="1:18">
      <c r="A3" s="2763" t="s">
        <v>2492</v>
      </c>
      <c r="B3" s="2764">
        <f>项目基本情况!D3</f>
        <v>45827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7" sqref="M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45827</v>
      </c>
      <c r="C3" s="2186" t="s">
        <v>2171</v>
      </c>
      <c r="D3" s="2185">
        <v>45827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5"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6"/>
      <c r="E9" s="2205" t="s">
        <v>587</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55220</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25.73</v>
      </c>
      <c r="I15" s="2221" t="str">
        <f>IF(A13="出让",IF(I13="","",ROUNDDOWN(MIN((I13-$D$3)/365,I14),2)),I14)</f>
        <v/>
      </c>
      <c r="J15" s="2805"/>
      <c r="K15" s="1670"/>
      <c r="L15" s="1670"/>
      <c r="M15" s="2245"/>
      <c r="N15" s="1670"/>
      <c r="O15" s="2245"/>
      <c r="P15" s="2245"/>
      <c r="Q15" s="2245"/>
      <c r="AD15" s="1618"/>
    </row>
    <row r="16" spans="1:30">
      <c r="A16" s="2211" t="s">
        <v>2193</v>
      </c>
      <c r="B16" s="3222"/>
      <c r="C16" s="3223"/>
      <c r="D16" s="3224"/>
      <c r="E16" s="2222" t="s">
        <v>2194</v>
      </c>
      <c r="F16" s="3225"/>
      <c r="G16" s="3226"/>
      <c r="H16" s="3226"/>
      <c r="I16" s="3227"/>
      <c r="J16" s="2245"/>
      <c r="K16" s="2403"/>
      <c r="L16" s="1670"/>
      <c r="M16" s="1670"/>
      <c r="N16" s="2245"/>
      <c r="O16" s="1670"/>
      <c r="P16" s="2245"/>
      <c r="Q16" s="2245"/>
      <c r="R16" s="2245"/>
    </row>
    <row r="17" spans="1:28">
      <c r="A17" s="305" t="s">
        <v>2195</v>
      </c>
      <c r="B17" s="294" t="s">
        <v>2196</v>
      </c>
      <c r="C17" s="8">
        <f>'数据-汇总表'!E3</f>
        <v>16594.73</v>
      </c>
      <c r="D17" s="1256" t="s">
        <v>2197</v>
      </c>
      <c r="E17" s="3228" t="s">
        <v>2198</v>
      </c>
      <c r="F17" s="3229"/>
      <c r="G17" s="3229"/>
      <c r="H17" s="3229"/>
      <c r="I17" s="323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27600</v>
      </c>
      <c r="D18" s="1029" t="s">
        <v>2201</v>
      </c>
      <c r="E18" s="3231" t="s">
        <v>2202</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8" t="s">
        <v>2206</v>
      </c>
      <c r="C20" s="3219"/>
      <c r="D20" s="3220" t="s">
        <v>2207</v>
      </c>
      <c r="E20" s="3221"/>
      <c r="F20" s="2430" t="s">
        <v>1056</v>
      </c>
      <c r="G20" s="2442"/>
      <c r="H20" s="2442"/>
      <c r="I20" s="2442"/>
      <c r="J20" s="2245"/>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6"/>
      <c r="B30" s="294" t="s">
        <v>2218</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5"/>
      <c r="V34" s="2245"/>
    </row>
    <row r="35" spans="1:30">
      <c r="A35" s="2236"/>
      <c r="B35" s="3234" t="s">
        <v>2229</v>
      </c>
      <c r="C35" s="3234"/>
      <c r="D35" s="3234"/>
      <c r="E35" s="323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3407</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27600</v>
      </c>
      <c r="B3" s="11">
        <f>IF(C3="否",G5-AT5,G5)</f>
        <v>16594.73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16594.73</v>
      </c>
      <c r="H5" s="13">
        <f t="shared" ref="H5:AT5" si="0">SUM(H13:H656)</f>
        <v>16594.73</v>
      </c>
      <c r="I5" s="13">
        <f t="shared" si="0"/>
        <v>16594.73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16594.73</v>
      </c>
      <c r="BA5" s="15">
        <f t="shared" si="1"/>
        <v>16594.73</v>
      </c>
      <c r="BB5" s="15">
        <f t="shared" si="1"/>
        <v>16594.73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27600</v>
      </c>
      <c r="F6" s="13" t="s">
        <v>0</v>
      </c>
      <c r="G6" s="13" t="s">
        <v>1</v>
      </c>
      <c r="H6" s="17">
        <f>SUMIF(I$12:AB$12,"总值",I6:AB6)</f>
        <v>27600</v>
      </c>
      <c r="I6" s="13">
        <f t="shared" ref="I6:AB6" si="2">ROUND($A$3*I5/$B$3,2)</f>
        <v>27600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27600</v>
      </c>
      <c r="AZ6" s="13" t="s">
        <v>2</v>
      </c>
      <c r="BA6" s="13">
        <f>ROUND($AY$6*BA5/$AZ$5,2)</f>
        <v>27600</v>
      </c>
      <c r="BB6" s="13">
        <f>ROUND($AY$6*BB5/$AZ$5,2)</f>
        <v>27600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3416</v>
      </c>
      <c r="D13" s="1513" t="s">
        <v>3417</v>
      </c>
      <c r="E13" s="13">
        <f>IF($C$3="是",ROUND($A$3*G13/$B$3,2),ROUND($A$3*(G13-AT13)/$B$3,2))</f>
        <v>27600</v>
      </c>
      <c r="F13" s="29"/>
      <c r="G13" s="30">
        <f>H13+AC13+AT13</f>
        <v>16594.73</v>
      </c>
      <c r="H13" s="17">
        <f>SUMIF(I$12:AB$12,"总值",I13:AB13)</f>
        <v>16594.73</v>
      </c>
      <c r="I13" s="1514">
        <f>面积位置!F43</f>
        <v>16594.73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27600</v>
      </c>
      <c r="AZ13" s="13">
        <f>BA13+BL13</f>
        <v>16594.73</v>
      </c>
      <c r="BA13" s="13">
        <f>SUM(BB13:BK13)</f>
        <v>16594.73</v>
      </c>
      <c r="BB13" s="13">
        <f>IF($D13="是",I13-J13,0)</f>
        <v>16594.73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AAAD-7DC3-4559-8CFF-F7EE944EC363}">
  <dimension ref="D3:AD46"/>
  <sheetViews>
    <sheetView topLeftCell="A22" workbookViewId="0">
      <selection activeCell="D36" sqref="D36:H42"/>
    </sheetView>
  </sheetViews>
  <sheetFormatPr defaultRowHeight="13.5"/>
  <cols>
    <col min="8" max="8" width="15.125" bestFit="1" customWidth="1"/>
    <col min="29" max="30" width="10.5" bestFit="1" customWidth="1"/>
  </cols>
  <sheetData>
    <row r="3" spans="29:30">
      <c r="AC3" s="3167">
        <v>44866</v>
      </c>
      <c r="AD3" s="3167">
        <v>52443</v>
      </c>
    </row>
    <row r="4" spans="29:30">
      <c r="AC4">
        <f>9000000*5+10000000*5+11000000*5+12000000*5</f>
        <v>210000000</v>
      </c>
      <c r="AD4">
        <f>'数据-汇总表'!E6</f>
        <v>16594.73</v>
      </c>
    </row>
    <row r="5" spans="29:30">
      <c r="AC5">
        <f>AC4/AD4/(AD3-AC3)</f>
        <v>1.6701359205865278</v>
      </c>
    </row>
    <row r="6" spans="29:30">
      <c r="AC6" s="3168">
        <f>(1200-900)/(AD3-AC3)</f>
        <v>3.9593506664906956E-2</v>
      </c>
    </row>
    <row r="36" spans="4:10">
      <c r="D36" s="3505" t="s">
        <v>3408</v>
      </c>
      <c r="E36" s="3505" t="s">
        <v>3409</v>
      </c>
      <c r="F36" s="3505" t="s">
        <v>3410</v>
      </c>
      <c r="G36" s="3505" t="s">
        <v>3411</v>
      </c>
      <c r="H36" s="3505" t="s">
        <v>2534</v>
      </c>
      <c r="I36" s="1405"/>
    </row>
    <row r="37" spans="4:10">
      <c r="D37" s="3506">
        <v>1</v>
      </c>
      <c r="E37" s="3506">
        <v>5</v>
      </c>
      <c r="F37" s="3506">
        <v>3540.97</v>
      </c>
      <c r="G37" s="3505" t="s">
        <v>3413</v>
      </c>
      <c r="H37" s="3505" t="s">
        <v>3451</v>
      </c>
      <c r="I37" s="3164">
        <f>ROUND(1-(2025-2007)/60,2)</f>
        <v>0.7</v>
      </c>
      <c r="J37">
        <v>3500</v>
      </c>
    </row>
    <row r="38" spans="4:10">
      <c r="D38" s="3506">
        <v>2</v>
      </c>
      <c r="E38" s="3506">
        <v>1</v>
      </c>
      <c r="F38" s="3506">
        <v>3133.66</v>
      </c>
      <c r="G38" s="3505" t="s">
        <v>3414</v>
      </c>
      <c r="H38" s="3505" t="s">
        <v>3415</v>
      </c>
      <c r="I38" s="3165">
        <f>ROUND(1*0.98-(2025-2007)/80,2)</f>
        <v>0.76</v>
      </c>
      <c r="J38">
        <v>4000</v>
      </c>
    </row>
    <row r="39" spans="4:10">
      <c r="D39" s="3506">
        <v>3</v>
      </c>
      <c r="E39" s="3506">
        <v>1</v>
      </c>
      <c r="F39" s="3506">
        <v>3133.66</v>
      </c>
      <c r="G39" s="3505" t="s">
        <v>3414</v>
      </c>
      <c r="H39" s="3505" t="s">
        <v>3415</v>
      </c>
      <c r="I39" s="3165">
        <f t="shared" ref="I39:I42" si="0">ROUND(1*0.98-(2025-2007)/80,2)</f>
        <v>0.76</v>
      </c>
      <c r="J39">
        <f>J38</f>
        <v>4000</v>
      </c>
    </row>
    <row r="40" spans="4:10">
      <c r="D40" s="3506">
        <v>4</v>
      </c>
      <c r="E40" s="3506">
        <v>1</v>
      </c>
      <c r="F40" s="3506">
        <v>3098.39</v>
      </c>
      <c r="G40" s="3505" t="s">
        <v>3414</v>
      </c>
      <c r="H40" s="3505" t="s">
        <v>3415</v>
      </c>
      <c r="I40" s="3165">
        <f t="shared" si="0"/>
        <v>0.76</v>
      </c>
      <c r="J40">
        <f t="shared" ref="J40:J41" si="1">J39</f>
        <v>4000</v>
      </c>
    </row>
    <row r="41" spans="4:10">
      <c r="D41" s="3506">
        <v>5</v>
      </c>
      <c r="E41" s="3506">
        <v>1</v>
      </c>
      <c r="F41" s="3506">
        <v>3098.39</v>
      </c>
      <c r="G41" s="3505" t="s">
        <v>3414</v>
      </c>
      <c r="H41" s="3505" t="s">
        <v>3415</v>
      </c>
      <c r="I41" s="3165">
        <f t="shared" si="0"/>
        <v>0.76</v>
      </c>
      <c r="J41">
        <f t="shared" si="1"/>
        <v>4000</v>
      </c>
    </row>
    <row r="42" spans="4:10">
      <c r="D42" s="3506">
        <v>6</v>
      </c>
      <c r="E42" s="3506">
        <v>1</v>
      </c>
      <c r="F42" s="3506">
        <v>589.66</v>
      </c>
      <c r="G42" s="3505" t="s">
        <v>3414</v>
      </c>
      <c r="H42" s="3505" t="s">
        <v>3415</v>
      </c>
      <c r="I42" s="3165">
        <f t="shared" si="0"/>
        <v>0.76</v>
      </c>
      <c r="J42">
        <v>4000</v>
      </c>
    </row>
    <row r="43" spans="4:10">
      <c r="F43">
        <f>SUM(F37:F42)</f>
        <v>16594.73</v>
      </c>
      <c r="I43" s="3165">
        <f>ROUND((I37*F37+I38*F38+I39*F39+I40*F40+I41*F41+I42*F42)/F43,2)</f>
        <v>0.75</v>
      </c>
      <c r="J43">
        <f>ROUND((J37*F37+J38*F38+J39*F39+J40*F40+J41*F41+J42*F42)/F43,0)</f>
        <v>3893</v>
      </c>
    </row>
    <row r="45" spans="4:10">
      <c r="E45" s="1405" t="s">
        <v>3435</v>
      </c>
      <c r="F45">
        <v>1000</v>
      </c>
    </row>
    <row r="46" spans="4:10">
      <c r="E46" s="1405" t="s">
        <v>3436</v>
      </c>
      <c r="F46">
        <f>ROUND(F45/F43/365*10000,2)</f>
        <v>1.65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3" sqref="I3:J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27600</v>
      </c>
      <c r="E3" s="41">
        <f>'数据-基础表'!AZ5</f>
        <v>16594.73</v>
      </c>
      <c r="F3" s="2439"/>
      <c r="G3" s="42"/>
      <c r="H3" s="43" t="s">
        <v>1106</v>
      </c>
      <c r="I3" s="802">
        <f>ROUND('数据-基础表'!B3/'数据-基础表'!A3,2)</f>
        <v>0.6</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0.6</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0.6</v>
      </c>
      <c r="J5" s="2439"/>
      <c r="K5" s="2439"/>
      <c r="L5" s="2439"/>
      <c r="M5" s="2439"/>
      <c r="N5" s="2439"/>
      <c r="O5" s="2439"/>
      <c r="P5" s="2439"/>
    </row>
    <row r="6" spans="1:16" ht="15" thickBot="1">
      <c r="A6" s="1527"/>
      <c r="B6" s="3255" t="s">
        <v>1111</v>
      </c>
      <c r="C6" s="3255"/>
      <c r="D6" s="43">
        <f>ROUND($D$3*E6/$E$3,2)</f>
        <v>27600</v>
      </c>
      <c r="E6" s="44">
        <f>E3-E5</f>
        <v>16594.73</v>
      </c>
      <c r="F6" s="2439"/>
      <c r="G6" s="1529" t="s">
        <v>1112</v>
      </c>
      <c r="H6" s="45" t="s">
        <v>1113</v>
      </c>
      <c r="I6" s="2435">
        <f>ROUND(F31/D31,2)</f>
        <v>0.6</v>
      </c>
      <c r="J6" s="2439"/>
      <c r="K6" s="2439"/>
      <c r="L6" s="2439"/>
      <c r="M6" s="2439"/>
      <c r="N6" s="2439"/>
      <c r="O6" s="2439"/>
      <c r="P6" s="2439"/>
    </row>
    <row r="7" spans="1:16" ht="15.75" thickBot="1">
      <c r="A7" s="3247"/>
      <c r="B7" s="3248"/>
      <c r="C7" s="3249"/>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27600</v>
      </c>
      <c r="E8" s="46">
        <f>SUMIF('数据-基础表'!BB10:BK10,"地上",'数据-基础表'!BB5:BK5)</f>
        <v>16594.73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27600</v>
      </c>
      <c r="E16" s="48">
        <f>SUM(E8:E15)</f>
        <v>16594.73</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27600</v>
      </c>
      <c r="E19" s="51">
        <f t="shared" ref="E19:E26" si="1">SUM(F19:G19)</f>
        <v>16594.73</v>
      </c>
      <c r="F19" s="2558">
        <f>'数据-基础表'!I13</f>
        <v>16594.73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27600</v>
      </c>
      <c r="S19" s="51">
        <f t="shared" si="5"/>
        <v>16594.73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27600</v>
      </c>
      <c r="E27" s="1073">
        <f>IF(SUM(E19:E26)='数据-基础表'!BA5,SUM(E19:E26),IF(F27="地上面积有误","面积有误","地下面积有误"))</f>
        <v>16594.73</v>
      </c>
      <c r="F27" s="1072">
        <f>IF(SUM(F19:F26)=E8,SUM(F19:F26),"地上面积有误")</f>
        <v>16594.73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27600</v>
      </c>
      <c r="S27" s="43">
        <f>IF(SUM(S19:S26)=$E$3,SUM(S19:S26),SUM(S19:S26)&amp;"误差"&amp;ROUND(SUM(S19:S26)-E3,2))</f>
        <v>16594.73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27600</v>
      </c>
      <c r="E31" s="643">
        <f>E27+E30</f>
        <v>16594.73</v>
      </c>
      <c r="F31" s="644">
        <f>F27+F30</f>
        <v>16594.73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55220</v>
      </c>
      <c r="F6" s="61">
        <f>SUMIF(项目基本情况!C$12:I$12,C6,项目基本情况!C$15:I$15)</f>
        <v>25.73</v>
      </c>
      <c r="G6" s="62">
        <f>IF(ISERROR(ROUND(POWER(1+H6,D6-F6)*(POWER(1+H6,F6)-1)/(POWER(1+H6,D6)-1),3)),0,ROUND(POWER(1+H6,D6-F6)*(POWER(1+H6,F6)-1)/(POWER(1+H6,D6)-1),3))</f>
        <v>0.76200000000000001</v>
      </c>
      <c r="H6" s="691">
        <v>4.4999999999999998E-2</v>
      </c>
      <c r="I6" s="691">
        <v>0.05</v>
      </c>
      <c r="J6" s="63">
        <v>7.0000000000000007E-2</v>
      </c>
      <c r="K6" s="970">
        <f>SUMIF('数据-汇总表'!C$19:C$33,A6,'数据-汇总表'!E$19:E$33)</f>
        <v>16594.73</v>
      </c>
      <c r="L6" s="692">
        <f>面积位置!J43</f>
        <v>3893</v>
      </c>
      <c r="M6" s="64">
        <f t="shared" ref="M6:M14" si="0">ROUND(K6*L6/10000,0)</f>
        <v>6460</v>
      </c>
      <c r="N6" s="690">
        <f>面积位置!I43</f>
        <v>0.75</v>
      </c>
      <c r="O6" s="64" t="str">
        <f>IF($N$5="成新度","——",ROUND(M6*N6,0))</f>
        <v>——</v>
      </c>
      <c r="P6" s="65" t="str">
        <f>IF($N$5="成新度","——",M6-O6)</f>
        <v>——</v>
      </c>
      <c r="Q6" s="693">
        <v>0.05</v>
      </c>
      <c r="R6" s="66">
        <f ca="1">SUMIF('数据-汇总表'!C$19:C$33,A6,'数据-汇总表'!R$19:R$27)</f>
        <v>27600</v>
      </c>
      <c r="S6" s="49">
        <f>IF('数据-汇总表'!$I$17="按面积比例",SUMIF('数据-汇总表'!C$19:C$33,A6,'数据-汇总表'!K$19:K$33),SUMIF('数据-汇总表'!C$19:C$33,A6,'数据-汇总表'!N$19:N$33))</f>
        <v>0</v>
      </c>
      <c r="T6" s="1092">
        <f>ROUND($L$14*S6/10000,0)</f>
        <v>0</v>
      </c>
      <c r="U6" s="3127">
        <f>面积位置!F46</f>
        <v>1.65</v>
      </c>
      <c r="V6" s="67">
        <v>0.02</v>
      </c>
      <c r="W6" s="67">
        <v>0.1</v>
      </c>
      <c r="X6" s="979"/>
      <c r="Y6" s="68">
        <f>N6</f>
        <v>0.75</v>
      </c>
      <c r="Z6" s="69"/>
      <c r="AA6" s="63"/>
      <c r="AB6" s="63"/>
      <c r="AC6" s="979"/>
      <c r="AD6" s="70"/>
      <c r="AE6" s="980">
        <f ca="1">IF(AN6="",0,SUMIF(INDIRECT("'"&amp;AN6&amp;"'"&amp;"!E:E"),$AE$5,INDIRECT("'"&amp;AN6&amp;"'"&amp;"!F:F")))</f>
        <v>25.73</v>
      </c>
      <c r="AF6" s="74"/>
      <c r="AG6" s="130">
        <f>IF(AF6="",0,AE6-AF6)</f>
        <v>0</v>
      </c>
      <c r="AH6" s="71"/>
      <c r="AI6" s="73">
        <v>365</v>
      </c>
      <c r="AJ6" s="74"/>
      <c r="AK6" s="75">
        <v>2E-3</v>
      </c>
      <c r="AL6" s="76">
        <v>1E-3</v>
      </c>
      <c r="AM6" s="77">
        <v>0.01</v>
      </c>
      <c r="AN6" s="1589" t="s">
        <v>3420</v>
      </c>
      <c r="AO6" s="50">
        <f ca="1">SUMIF(INDIRECT("'"&amp;AN6&amp;"'"&amp;"!A:A"),"总价",INDIRECT("'"&amp;AN6&amp;"'"&amp;"!B:B"))</f>
        <v>12960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0.76200000000000001</v>
      </c>
      <c r="H16" s="84">
        <f>ROUND(SUMPRODUCT(H6:H13,K6:K13)/SUMPRODUCT((H6:H13&gt;0)*(K6:K13)),3)</f>
        <v>4.4999999999999998E-2</v>
      </c>
      <c r="I16" s="85"/>
      <c r="J16" s="85"/>
      <c r="K16" s="86">
        <f>SUM(K6:K15)</f>
        <v>16594.73</v>
      </c>
      <c r="L16" s="87">
        <f>ROUND(M16*10000/SUM(K6:K14),0)</f>
        <v>3893</v>
      </c>
      <c r="M16" s="87">
        <f>SUM(M6:M14)</f>
        <v>6460</v>
      </c>
      <c r="N16" s="88">
        <f>ROUND(SUMPRODUCT(M6:M14,N6:N14)/M16,3)</f>
        <v>0.75</v>
      </c>
      <c r="O16" s="87">
        <f>SUM(O6:O14)</f>
        <v>0</v>
      </c>
      <c r="P16" s="87">
        <f>SUM(P6:P14)</f>
        <v>0</v>
      </c>
      <c r="Q16" s="89">
        <f>ROUND(SUMPRODUCT(Q6:Q13,K6:K13)/SUMPRODUCT((Q6:Q13&gt;0)*(K6:K13)),2)</f>
        <v>0.05</v>
      </c>
      <c r="R16" s="974">
        <f ca="1">SUM(R6:R13)</f>
        <v>27600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332</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2277</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16594.73</v>
      </c>
      <c r="C1" s="2462"/>
      <c r="D1" s="2462"/>
      <c r="E1" s="2462"/>
      <c r="F1" s="2462"/>
      <c r="G1" s="2463"/>
      <c r="H1" s="2463"/>
      <c r="I1" s="2463"/>
      <c r="J1" s="2463"/>
      <c r="K1" s="2463"/>
    </row>
    <row r="2" spans="1:11" ht="16.5">
      <c r="A2" s="2300" t="s">
        <v>653</v>
      </c>
      <c r="B2" s="2300">
        <f>SUM(C14:C23)</f>
        <v>27600</v>
      </c>
      <c r="C2" s="2462"/>
      <c r="D2" s="2462"/>
      <c r="E2" s="2462"/>
      <c r="F2" s="2462"/>
      <c r="G2" s="2463"/>
      <c r="H2" s="2463"/>
      <c r="I2" s="2463"/>
      <c r="J2" s="2463"/>
      <c r="K2" s="2463"/>
    </row>
    <row r="3" spans="1:11" ht="16.5">
      <c r="A3" s="2300" t="s">
        <v>662</v>
      </c>
      <c r="B3" s="2302">
        <f>项目基本情况!D3</f>
        <v>45827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13222</v>
      </c>
      <c r="C5" s="2300">
        <f ca="1">IF(B5=D14,结果表!H102,ROUND(B5*10000/$B$1,0))</f>
        <v>7968</v>
      </c>
      <c r="D5" s="2300">
        <f ca="1">ROUND(B5*10000/$B$2,0)</f>
        <v>4791</v>
      </c>
      <c r="E5" s="2462"/>
      <c r="F5" s="2463"/>
      <c r="G5" s="2463"/>
      <c r="H5" s="2463"/>
      <c r="I5" s="2463"/>
      <c r="J5" s="2463"/>
      <c r="K5" s="2463"/>
    </row>
    <row r="6" spans="1:11" ht="16.5">
      <c r="A6" s="2300" t="s">
        <v>656</v>
      </c>
      <c r="B6" s="2300">
        <f ca="1">SUM(G14:G23)</f>
        <v>13222</v>
      </c>
      <c r="C6" s="2300">
        <f ca="1">IF(B6=G14,结果表!H108,ROUND(B6*10000/$B$1,0))</f>
        <v>7968</v>
      </c>
      <c r="D6" s="2300">
        <f ca="1">ROUND(B6*10000/$B$2,0)</f>
        <v>4791</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f ca="1">IF(B8=I14,结果表!H112,ROUND(B8*10000/$B$1,0))</f>
        <v>3029</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16594.73</v>
      </c>
      <c r="C14" s="2306">
        <f>'数据-汇总表'!D3</f>
        <v>27600</v>
      </c>
      <c r="D14" s="2306">
        <f ca="1">结果表!G19</f>
        <v>13222</v>
      </c>
      <c r="E14" s="2306">
        <f ca="1">ROUND(D14*10000/B14,0)</f>
        <v>7968</v>
      </c>
      <c r="F14" s="2306">
        <f ca="1">ROUND(D14*10000/C14,0)</f>
        <v>4791</v>
      </c>
      <c r="G14" s="2306">
        <f ca="1">D14</f>
        <v>13222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H40" zoomScaleNormal="100" zoomScaleSheetLayoutView="100" zoomScalePageLayoutView="80" workbookViewId="0">
      <selection activeCell="S59" sqref="S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3437</v>
      </c>
      <c r="H1" s="1621" t="str">
        <f>IF(G1="现房","——","估价对象范围")</f>
        <v>——</v>
      </c>
      <c r="I1" s="1622" t="s">
        <v>3438</v>
      </c>
    </row>
    <row r="2" spans="1:12" ht="21.75" customHeight="1" thickBot="1">
      <c r="A2" s="3325" t="str">
        <f>项目基本情况!S2</f>
        <v>北京市房地产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4" t="s">
        <v>1265</v>
      </c>
      <c r="B4" s="1625" t="s">
        <v>1266</v>
      </c>
      <c r="C4" s="1626" t="s">
        <v>3432</v>
      </c>
      <c r="D4" s="1626" t="s">
        <v>3420</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328">
        <v>25</v>
      </c>
      <c r="C5" s="3331"/>
      <c r="D5" s="3319"/>
      <c r="E5" s="123" t="s">
        <v>1269</v>
      </c>
      <c r="F5" s="1627"/>
      <c r="G5" s="1627"/>
      <c r="H5" s="1627"/>
      <c r="I5" s="1281"/>
    </row>
    <row r="6" spans="1:12" ht="12.75">
      <c r="A6" s="3273"/>
      <c r="B6" s="3328"/>
      <c r="C6" s="3333"/>
      <c r="D6" s="3319"/>
      <c r="E6" s="123" t="s">
        <v>1270</v>
      </c>
      <c r="F6" s="1627"/>
      <c r="G6" s="1627"/>
      <c r="H6" s="1627"/>
      <c r="I6" s="1281"/>
    </row>
    <row r="7" spans="1:12" ht="12.75">
      <c r="A7" s="3273"/>
      <c r="B7" s="3328"/>
      <c r="C7" s="3332"/>
      <c r="D7" s="3319"/>
      <c r="E7" s="123" t="s">
        <v>1271</v>
      </c>
      <c r="F7" s="1627"/>
      <c r="G7" s="1627"/>
      <c r="H7" s="1627"/>
      <c r="I7" s="1281"/>
    </row>
    <row r="8" spans="1:12" ht="12.75">
      <c r="A8" s="3273" t="s">
        <v>1272</v>
      </c>
      <c r="B8" s="3328">
        <v>15</v>
      </c>
      <c r="C8" s="3331"/>
      <c r="D8" s="3319"/>
      <c r="E8" s="123" t="s">
        <v>1273</v>
      </c>
      <c r="F8" s="1627"/>
      <c r="G8" s="1627"/>
      <c r="H8" s="1627"/>
      <c r="I8" s="1281"/>
    </row>
    <row r="9" spans="1:12" ht="12.75">
      <c r="A9" s="3273"/>
      <c r="B9" s="3328"/>
      <c r="C9" s="3332"/>
      <c r="D9" s="3319"/>
      <c r="E9" s="123" t="s">
        <v>1274</v>
      </c>
      <c r="F9" s="1627"/>
      <c r="G9" s="1627"/>
      <c r="H9" s="1627"/>
      <c r="I9" s="1281"/>
    </row>
    <row r="10" spans="1:12" ht="12.75">
      <c r="A10" s="3273" t="s">
        <v>1275</v>
      </c>
      <c r="B10" s="3328">
        <v>15</v>
      </c>
      <c r="C10" s="3331"/>
      <c r="D10" s="3319"/>
      <c r="E10" s="123" t="s">
        <v>1276</v>
      </c>
      <c r="F10" s="1627"/>
      <c r="G10" s="1627"/>
      <c r="H10" s="1627"/>
      <c r="I10" s="1281"/>
    </row>
    <row r="11" spans="1:12" ht="12.75">
      <c r="A11" s="3273"/>
      <c r="B11" s="3328"/>
      <c r="C11" s="3332"/>
      <c r="D11" s="3319"/>
      <c r="E11" s="123" t="s">
        <v>1277</v>
      </c>
      <c r="F11" s="1627"/>
      <c r="G11" s="1627"/>
      <c r="H11" s="1627"/>
      <c r="I11" s="1281"/>
    </row>
    <row r="12" spans="1:12" ht="12.75">
      <c r="A12" s="3273" t="s">
        <v>1278</v>
      </c>
      <c r="B12" s="3328">
        <v>15</v>
      </c>
      <c r="C12" s="3331"/>
      <c r="D12" s="3319"/>
      <c r="E12" s="123" t="s">
        <v>1279</v>
      </c>
      <c r="F12" s="1627"/>
      <c r="G12" s="1627"/>
      <c r="H12" s="1627"/>
      <c r="I12" s="1281"/>
    </row>
    <row r="13" spans="1:12" ht="12.75">
      <c r="A13" s="3273"/>
      <c r="B13" s="3328"/>
      <c r="C13" s="3332"/>
      <c r="D13" s="3319"/>
      <c r="E13" s="123" t="s">
        <v>1280</v>
      </c>
      <c r="F13" s="1627"/>
      <c r="G13" s="1627"/>
      <c r="H13" s="1627"/>
      <c r="I13" s="1281"/>
    </row>
    <row r="14" spans="1:12" ht="12.75">
      <c r="A14" s="3273" t="s">
        <v>1281</v>
      </c>
      <c r="B14" s="3328">
        <v>30</v>
      </c>
      <c r="C14" s="3331">
        <v>5</v>
      </c>
      <c r="D14" s="3319">
        <v>5</v>
      </c>
      <c r="E14" s="123" t="s">
        <v>1282</v>
      </c>
      <c r="F14" s="1627"/>
      <c r="G14" s="1627"/>
      <c r="H14" s="1627"/>
      <c r="I14" s="1281"/>
    </row>
    <row r="15" spans="1:12" ht="12.75">
      <c r="A15" s="3273"/>
      <c r="B15" s="3328"/>
      <c r="C15" s="3333"/>
      <c r="D15" s="3319"/>
      <c r="E15" s="123" t="s">
        <v>1283</v>
      </c>
      <c r="F15" s="1627"/>
      <c r="G15" s="1627"/>
      <c r="H15" s="1627"/>
      <c r="I15" s="1281"/>
    </row>
    <row r="16" spans="1:12" ht="12.75">
      <c r="A16" s="3273"/>
      <c r="B16" s="3328"/>
      <c r="C16" s="3332"/>
      <c r="D16" s="331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0" t="s">
        <v>2131</v>
      </c>
      <c r="F18" s="3351"/>
      <c r="G18" s="3351"/>
      <c r="H18" s="3351"/>
      <c r="I18" s="3351"/>
      <c r="K18" s="294" t="s">
        <v>1289</v>
      </c>
      <c r="L18" s="294">
        <f>IF(C1="",'数据-汇总表'!E3,SUMIF(项目类型,C1,'数据-汇总表'!E17:E26)+SUMIF(项目类型,C1,'数据-汇总表'!I17:I26))</f>
        <v>16594.73</v>
      </c>
      <c r="M18" s="294">
        <f>IF(C1="",'数据-汇总表'!E3,SUMIF(项目类型,C1,'数据-汇总表'!E17:E26))</f>
        <v>16594.73</v>
      </c>
    </row>
    <row r="19" spans="1:36" ht="15">
      <c r="A19" s="1630" t="s">
        <v>1290</v>
      </c>
      <c r="B19" s="1631" t="s">
        <v>1291</v>
      </c>
      <c r="C19" s="126">
        <f ca="1">SUMIF(INDIRECT("'"&amp;C4&amp;"'"&amp;"!A:A"),结果表!B19,INDIRECT("'"&amp;C4&amp;"'"&amp;"!B:B"))</f>
        <v>13484</v>
      </c>
      <c r="D19" s="127">
        <f ca="1">SUMIF(INDIRECT("'"&amp;D4&amp;"'"&amp;"!A:A"),结果表!B19,INDIRECT("'"&amp;D4&amp;"'"&amp;"!B:B"))</f>
        <v>12960</v>
      </c>
      <c r="E19" s="1630" t="s">
        <v>1292</v>
      </c>
      <c r="F19" s="1631" t="s">
        <v>1291</v>
      </c>
      <c r="G19" s="128">
        <f ca="1">ROUND(C19*$C$18+D19*$D$18,0)</f>
        <v>13222</v>
      </c>
      <c r="H19" s="1632" t="s">
        <v>1293</v>
      </c>
      <c r="I19" s="121"/>
      <c r="K19" s="294" t="s">
        <v>1294</v>
      </c>
      <c r="L19" s="294">
        <f>IF(C1="",'数据-汇总表'!D3,SUMIF(项目类型,C1,'数据-汇总表'!D17:D26)+SUMIF(项目类型,C1,'数据-汇总表'!H17:H27))</f>
        <v>27600</v>
      </c>
      <c r="M19" s="294">
        <f>IF(C1="",'数据-汇总表'!D3,SUMIF(项目类型,C1,'数据-汇总表'!D17:D26))</f>
        <v>27600</v>
      </c>
    </row>
    <row r="20" spans="1:36" ht="15">
      <c r="A20" s="1633"/>
      <c r="B20" s="43" t="s">
        <v>1295</v>
      </c>
      <c r="C20" s="129">
        <f ca="1">SUMIF(INDIRECT("'"&amp;C4&amp;"'"&amp;"!A:A"),结果表!B20,INDIRECT("'"&amp;C4&amp;"'"&amp;"!B:B"))</f>
        <v>8125</v>
      </c>
      <c r="D20" s="130">
        <f ca="1">SUMIF(INDIRECT("'"&amp;D4&amp;"'"&amp;"!A:A"),结果表!B20,INDIRECT("'"&amp;D4&amp;"'"&amp;"!B:B"))</f>
        <v>7810</v>
      </c>
      <c r="E20" s="1633"/>
      <c r="F20" s="43" t="s">
        <v>1295</v>
      </c>
      <c r="G20" s="131">
        <f ca="1">ROUND(C20*$C$18+D20*$D$18,0)</f>
        <v>7968</v>
      </c>
      <c r="H20" s="760" t="s">
        <v>1296</v>
      </c>
      <c r="I20" s="121"/>
    </row>
    <row r="21" spans="1:36" ht="15" customHeight="1" thickBot="1">
      <c r="A21" s="449"/>
      <c r="B21" s="93" t="s">
        <v>1297</v>
      </c>
      <c r="C21" s="678">
        <f ca="1">ROUND(C19*10000/L19,0)</f>
        <v>4886</v>
      </c>
      <c r="D21" s="679">
        <f ca="1">ROUND(D19*10000/L19,0)</f>
        <v>4696</v>
      </c>
      <c r="E21" s="449"/>
      <c r="F21" s="93" t="s">
        <v>1297</v>
      </c>
      <c r="G21" s="132">
        <f ca="1">ROUND(G19*10000/L19,0)</f>
        <v>4791</v>
      </c>
      <c r="H21" s="1634" t="s">
        <v>1296</v>
      </c>
      <c r="I21" s="121"/>
    </row>
    <row r="22" spans="1:36" ht="15" thickBot="1">
      <c r="A22" s="1564" t="s">
        <v>1298</v>
      </c>
      <c r="B22" s="1635"/>
      <c r="C22" s="1636"/>
      <c r="D22" s="680">
        <f ca="1">IF(C19&lt;D19,D19/C19-1,C19/D19-1)</f>
        <v>4.0432098765432078E-2</v>
      </c>
      <c r="E22" s="121"/>
      <c r="F22" s="121"/>
      <c r="G22" s="121"/>
      <c r="H22" s="121"/>
      <c r="I22" s="121"/>
    </row>
    <row r="23" spans="1:36" ht="13.5" thickBot="1">
      <c r="A23" s="646"/>
      <c r="B23" s="646"/>
      <c r="C23" s="646"/>
      <c r="D23" s="646"/>
      <c r="E23" s="121"/>
      <c r="F23" s="121"/>
      <c r="G23" s="121"/>
      <c r="H23" s="121"/>
      <c r="I23" s="121"/>
    </row>
    <row r="24" spans="1:36" ht="14.25">
      <c r="A24" s="3343" t="s">
        <v>1299</v>
      </c>
      <c r="B24" s="1631" t="s">
        <v>1291</v>
      </c>
      <c r="C24" s="128">
        <f>IF(B30=0,0,D30)</f>
        <v>0</v>
      </c>
      <c r="D24" s="1637"/>
      <c r="E24" s="121"/>
      <c r="F24" s="121"/>
      <c r="G24" s="121"/>
      <c r="H24" s="121"/>
      <c r="I24" s="121"/>
    </row>
    <row r="25" spans="1:36" ht="14.25">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13222</v>
      </c>
      <c r="D32" s="1641" t="s">
        <v>3433</v>
      </c>
      <c r="E32" s="121"/>
      <c r="F32" s="121"/>
      <c r="G32" s="121"/>
      <c r="H32" s="121"/>
      <c r="I32" s="121"/>
    </row>
    <row r="33" spans="1:15" ht="15">
      <c r="A33" s="740" t="s">
        <v>1306</v>
      </c>
      <c r="B33" s="123"/>
      <c r="C33" s="1642" t="s">
        <v>3434</v>
      </c>
      <c r="D33" s="1643" t="s">
        <v>3432</v>
      </c>
      <c r="E33" s="1644" t="s">
        <v>1307</v>
      </c>
      <c r="F33" s="1645" t="str">
        <f>IF(D32="楼面单价","取值（单价）","取值（总价）")</f>
        <v>取值（总价）</v>
      </c>
      <c r="G33" s="121"/>
      <c r="H33" s="121"/>
      <c r="I33" s="121"/>
    </row>
    <row r="34" spans="1:15" ht="15">
      <c r="A34" s="1646"/>
      <c r="B34" s="1647" t="s">
        <v>1308</v>
      </c>
      <c r="C34" s="140">
        <f ca="1">IF(C33="自定义",F34,C32-C35)</f>
        <v>6875</v>
      </c>
      <c r="D34" s="808">
        <f ca="1">IF(C33="自定义",ROUND(C34/C32,3),IF(C33="收益比率",SUMIF(INDIRECT("'"&amp;D33&amp;"'"&amp;"!b:b"),"土地收益比率",INDIRECT("'"&amp;D33&amp;"'"&amp;"!c:c")),SUMIF(INDIRECT("'"&amp;D33&amp;"'"&amp;"!b:b"),"土地成本比率",INDIRECT("'"&amp;D33&amp;"'"&amp;"!c:c"))))</f>
        <v>0.52</v>
      </c>
      <c r="E34" s="1648" t="s">
        <v>1309</v>
      </c>
      <c r="F34" s="1243"/>
      <c r="G34" s="121"/>
      <c r="H34" s="121"/>
      <c r="I34" s="121"/>
    </row>
    <row r="35" spans="1:15" ht="15.75" thickBot="1">
      <c r="A35" s="1649"/>
      <c r="B35" s="1650" t="s">
        <v>1310</v>
      </c>
      <c r="C35" s="1090">
        <f ca="1">IF(C33="自定义",F35,ROUND(C32*D35,0))</f>
        <v>6347</v>
      </c>
      <c r="D35" s="1091">
        <f ca="1">IF(C33="自定义",ROUND(C35/C32,3),IF(C33="收益比率",SUMIF(INDIRECT("'"&amp;D33&amp;"'"&amp;"!b:b"),"建筑物收益比率",INDIRECT("'"&amp;D33&amp;"'"&amp;"!c:c")),SUMIF(INDIRECT("'"&amp;D33&amp;"'"&amp;"!b:b"),"建筑物成本比率",INDIRECT("'"&amp;D33&amp;"'"&amp;"!c:c"))))</f>
        <v>0.48</v>
      </c>
      <c r="E35" s="1651" t="s">
        <v>1311</v>
      </c>
      <c r="F35" s="146"/>
      <c r="G35" s="121"/>
      <c r="H35" s="121"/>
      <c r="I35" s="121"/>
    </row>
    <row r="36" spans="1:15" ht="15.75" thickBot="1">
      <c r="A36" s="3320" t="s">
        <v>1312</v>
      </c>
      <c r="B36" s="1652" t="s">
        <v>1313</v>
      </c>
      <c r="C36" s="137"/>
      <c r="D36" s="1653"/>
      <c r="E36" s="1567"/>
      <c r="F36" s="1654"/>
      <c r="G36" s="121"/>
      <c r="H36" s="121"/>
      <c r="I36" s="121"/>
    </row>
    <row r="37" spans="1:15" ht="15.75" thickBot="1">
      <c r="A37" s="3321"/>
      <c r="B37" s="1555" t="s">
        <v>1314</v>
      </c>
      <c r="C37" s="139"/>
      <c r="D37" s="1071"/>
      <c r="E37" s="1071"/>
      <c r="F37" s="1654"/>
      <c r="G37" s="121"/>
      <c r="H37" s="121"/>
      <c r="I37" s="121"/>
    </row>
    <row r="38" spans="1:15" ht="15.75" thickBot="1">
      <c r="A38" s="332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f ca="1">ROUND(H101*F45,0)</f>
        <v>13222</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10">
        <v>1</v>
      </c>
      <c r="K46" s="3261" t="s">
        <v>1331</v>
      </c>
      <c r="L46" s="3261"/>
      <c r="M46" s="3262"/>
      <c r="N46" s="3262"/>
      <c r="O46" s="3262"/>
    </row>
    <row r="47" spans="1:15" ht="12" customHeight="1">
      <c r="A47" s="152" t="s">
        <v>1332</v>
      </c>
      <c r="B47" s="153"/>
      <c r="C47" s="154"/>
      <c r="D47" s="1024" t="s">
        <v>1333</v>
      </c>
      <c r="E47" s="294" t="s">
        <v>1334</v>
      </c>
      <c r="F47" s="155" t="s">
        <v>1335</v>
      </c>
      <c r="G47" s="2333" t="s">
        <v>1336</v>
      </c>
      <c r="H47" s="2334"/>
      <c r="I47" s="151"/>
      <c r="J47" s="2310">
        <v>2</v>
      </c>
      <c r="K47" s="3261" t="s">
        <v>1337</v>
      </c>
      <c r="L47" s="3261"/>
      <c r="M47" s="3263">
        <f>'数据-取费表'!B2</f>
        <v>45827</v>
      </c>
      <c r="N47" s="3263"/>
      <c r="O47" s="3263"/>
    </row>
    <row r="48" spans="1:15" ht="25.5">
      <c r="A48" s="3323" t="s">
        <v>1338</v>
      </c>
      <c r="B48" s="3324"/>
      <c r="C48" s="3324"/>
      <c r="D48" s="12">
        <f ca="1">IF(H48="情况1",0,IF(H48="情况2",D52,IF(H48="情况3",D53,IF(H48="情况4",D54))))</f>
        <v>693</v>
      </c>
      <c r="E48" s="1256" t="str">
        <f>IF(H48="情况4","(销售额-原购置价)×税（费）率","销售额×税（费）率")</f>
        <v>销售额×税（费）率</v>
      </c>
      <c r="F48" s="2335">
        <f>IF(H48="情况1","免征",'数据-取费表'!B41)</f>
        <v>5.5000000000000007E-2</v>
      </c>
      <c r="G48" s="2336" t="s">
        <v>1339</v>
      </c>
      <c r="H48" s="2337" t="s">
        <v>3439</v>
      </c>
      <c r="I48" s="1668"/>
      <c r="J48" s="2310">
        <v>3</v>
      </c>
      <c r="K48" s="3261" t="s">
        <v>1340</v>
      </c>
      <c r="L48" s="3261"/>
      <c r="M48" s="3264">
        <f ca="1">H101</f>
        <v>13222</v>
      </c>
      <c r="N48" s="3264"/>
      <c r="O48" s="3264"/>
    </row>
    <row r="49" spans="1:35" ht="25.5" customHeight="1">
      <c r="A49" s="2152" t="s">
        <v>1341</v>
      </c>
      <c r="B49" s="3309" t="s">
        <v>1342</v>
      </c>
      <c r="C49" s="3309"/>
      <c r="D49" s="1478">
        <v>0</v>
      </c>
      <c r="E49" s="316" t="s">
        <v>1343</v>
      </c>
      <c r="F49" s="2233" t="s">
        <v>28</v>
      </c>
      <c r="G49" s="3292"/>
      <c r="H49" s="2134" t="s">
        <v>2134</v>
      </c>
      <c r="I49" s="2135"/>
      <c r="J49" s="2310">
        <v>4</v>
      </c>
      <c r="K49" s="3261" t="str">
        <f>IF(项目基本情况!E8="房地产抵押价值","房地产抵押价值","抵押担保权已注销时的房地产抵押价值")</f>
        <v>房地产抵押价值</v>
      </c>
      <c r="L49" s="3261"/>
      <c r="M49" s="3264">
        <f ca="1">IF(项目基本情况!E8="房地产抵押价值",H107,H109)</f>
        <v>13222</v>
      </c>
      <c r="N49" s="3264"/>
      <c r="O49" s="3264"/>
      <c r="Q49" s="3166">
        <f ca="1">M49</f>
        <v>13222</v>
      </c>
    </row>
    <row r="50" spans="1:35" ht="25.5" customHeight="1">
      <c r="A50" s="2338"/>
      <c r="B50" s="3309" t="s">
        <v>1344</v>
      </c>
      <c r="C50" s="3309"/>
      <c r="D50" s="2189"/>
      <c r="E50" s="323"/>
      <c r="F50" s="2233"/>
      <c r="G50" s="3293"/>
      <c r="H50" s="2136" t="s">
        <v>2135</v>
      </c>
      <c r="I50" s="2135"/>
      <c r="J50" s="3260" t="s">
        <v>1345</v>
      </c>
      <c r="K50" s="3260"/>
      <c r="L50" s="3260"/>
      <c r="M50" s="3260"/>
      <c r="N50" s="3260"/>
      <c r="O50" s="3260"/>
      <c r="Q50" s="3166"/>
    </row>
    <row r="51" spans="1:35" ht="20.45" customHeight="1">
      <c r="A51" s="2339"/>
      <c r="B51" s="3309" t="s">
        <v>1346</v>
      </c>
      <c r="C51" s="3309"/>
      <c r="D51" s="1024"/>
      <c r="E51" s="319"/>
      <c r="F51" s="2233"/>
      <c r="G51" s="3294"/>
      <c r="H51" s="2136" t="s">
        <v>2136</v>
      </c>
      <c r="I51" s="2135"/>
      <c r="J51" s="2311" t="s">
        <v>1347</v>
      </c>
      <c r="K51" s="3261" t="s">
        <v>1348</v>
      </c>
      <c r="L51" s="3261"/>
      <c r="M51" s="2311" t="s">
        <v>1349</v>
      </c>
      <c r="N51" s="2311" t="s">
        <v>1350</v>
      </c>
      <c r="O51" s="2311" t="s">
        <v>1351</v>
      </c>
      <c r="Q51" s="3166"/>
    </row>
    <row r="52" spans="1:35" ht="24" customHeight="1">
      <c r="A52" s="2153" t="s">
        <v>1352</v>
      </c>
      <c r="B52" s="3309" t="s">
        <v>1353</v>
      </c>
      <c r="C52" s="3309"/>
      <c r="D52" s="1024">
        <f ca="1">ROUND(D45*'数据-取费表'!B41/(1+'数据-取费表'!C42),0)</f>
        <v>693</v>
      </c>
      <c r="E52" s="1256" t="s">
        <v>1354</v>
      </c>
      <c r="F52" s="2340">
        <f>'数据-取费表'!B41</f>
        <v>5.5000000000000007E-2</v>
      </c>
      <c r="G52" s="2341"/>
      <c r="H52" s="2331"/>
      <c r="I52" s="1669"/>
      <c r="J52" s="2310">
        <v>1</v>
      </c>
      <c r="K52" s="3286" t="s">
        <v>1355</v>
      </c>
      <c r="L52" s="3286"/>
      <c r="M52" s="2312">
        <f ca="1">D48</f>
        <v>693</v>
      </c>
      <c r="N52" s="2310" t="str">
        <f>E48</f>
        <v>销售额×税（费）率</v>
      </c>
      <c r="O52" s="2313">
        <f>F48</f>
        <v>5.5000000000000007E-2</v>
      </c>
      <c r="Q52" s="3166">
        <f ca="1">M52</f>
        <v>693</v>
      </c>
    </row>
    <row r="53" spans="1:35" ht="12" customHeight="1">
      <c r="A53" s="2153" t="s">
        <v>1356</v>
      </c>
      <c r="B53" s="3310" t="s">
        <v>2282</v>
      </c>
      <c r="C53" s="3311"/>
      <c r="D53" s="1024">
        <f ca="1">ROUND(D45*'数据-取费表'!B41/(1+'数据-取费表'!C42),0)</f>
        <v>693</v>
      </c>
      <c r="E53" s="1256" t="s">
        <v>1354</v>
      </c>
      <c r="F53" s="2340">
        <f>'数据-取费表'!B41</f>
        <v>5.5000000000000007E-2</v>
      </c>
      <c r="G53" s="2341"/>
      <c r="H53" s="2331"/>
      <c r="I53" s="1669"/>
      <c r="J53" s="2310">
        <v>2</v>
      </c>
      <c r="K53" s="3286" t="s">
        <v>1357</v>
      </c>
      <c r="L53" s="3286"/>
      <c r="M53" s="2312">
        <f t="shared" ref="M53:O54" ca="1" si="0">D55</f>
        <v>7</v>
      </c>
      <c r="N53" s="2310" t="str">
        <f t="shared" si="0"/>
        <v>销售额×税（费）率</v>
      </c>
      <c r="O53" s="2313">
        <f t="shared" si="0"/>
        <v>5.0000000000000001E-4</v>
      </c>
      <c r="Q53" s="3166">
        <f ca="1">M53</f>
        <v>7</v>
      </c>
    </row>
    <row r="54" spans="1:35" ht="12" customHeight="1">
      <c r="A54" s="2153" t="s">
        <v>1358</v>
      </c>
      <c r="B54" s="3310" t="s">
        <v>2283</v>
      </c>
      <c r="C54" s="3311"/>
      <c r="D54" s="1024">
        <f ca="1">C68</f>
        <v>693</v>
      </c>
      <c r="E54" s="319" t="s">
        <v>1359</v>
      </c>
      <c r="F54" s="2340">
        <f>'数据-取费表'!B41</f>
        <v>5.5000000000000007E-2</v>
      </c>
      <c r="G54" s="2341"/>
      <c r="H54" s="2342"/>
      <c r="I54" s="1669"/>
      <c r="J54" s="2310">
        <v>3</v>
      </c>
      <c r="K54" s="3286" t="s">
        <v>1360</v>
      </c>
      <c r="L54" s="3286"/>
      <c r="M54" s="2312">
        <f t="shared" ca="1" si="0"/>
        <v>7495</v>
      </c>
      <c r="N54" s="2310" t="str">
        <f t="shared" si="0"/>
        <v>增值额×税（费）率</v>
      </c>
      <c r="O54" s="2314" t="str">
        <f t="shared" si="0"/>
        <v>——</v>
      </c>
      <c r="Q54" s="3166">
        <f ca="1">ROUND(M49/1.05*0.05,0)</f>
        <v>630</v>
      </c>
    </row>
    <row r="55" spans="1:35" ht="24" customHeight="1">
      <c r="A55" s="3346" t="s">
        <v>1361</v>
      </c>
      <c r="B55" s="3324"/>
      <c r="C55" s="3324"/>
      <c r="D55" s="12">
        <f ca="1">IF(H55="个人住宅",0,ROUND(D45*I55,0))</f>
        <v>7</v>
      </c>
      <c r="E55" s="1256" t="s">
        <v>1362</v>
      </c>
      <c r="F55" s="2340">
        <f>IF(H55="正常",I55,"免征")</f>
        <v>5.0000000000000001E-4</v>
      </c>
      <c r="G55" s="2341"/>
      <c r="H55" s="2337" t="s">
        <v>3440</v>
      </c>
      <c r="I55" s="157">
        <f>'数据-取费表'!B49</f>
        <v>5.0000000000000001E-4</v>
      </c>
      <c r="J55" s="2310" t="str">
        <f>IF(H59="非个人房产","",4)</f>
        <v/>
      </c>
      <c r="K55" s="3286" t="str">
        <f>IF(H59="非个人房产","——","个人所得税")</f>
        <v>——</v>
      </c>
      <c r="L55" s="3286"/>
      <c r="M55" s="2315" t="str">
        <f>D59</f>
        <v>——</v>
      </c>
      <c r="N55" s="1883" t="str">
        <f>E59</f>
        <v>——</v>
      </c>
      <c r="O55" s="2316" t="str">
        <f>F59</f>
        <v>——</v>
      </c>
      <c r="Q55" s="3166"/>
    </row>
    <row r="56" spans="1:35" ht="24.75">
      <c r="A56" s="3346" t="s">
        <v>1363</v>
      </c>
      <c r="B56" s="3324"/>
      <c r="C56" s="3324"/>
      <c r="D56" s="12">
        <f ca="1">IF(H56="个人住宅",D57,D58)</f>
        <v>7495</v>
      </c>
      <c r="E56" s="1256" t="s">
        <v>1364</v>
      </c>
      <c r="F56" s="2340" t="str">
        <f>IF(H56="正常",F58,"免征")</f>
        <v>——</v>
      </c>
      <c r="G56" s="2343" t="s">
        <v>1365</v>
      </c>
      <c r="H56" s="2344" t="s">
        <v>3440</v>
      </c>
      <c r="I56" s="1670"/>
      <c r="J56" s="2310" t="str">
        <f>IF(项目基本情况!K6="上海银行",IF(J55="",4,J55+1),"")</f>
        <v/>
      </c>
      <c r="K56" s="3267" t="str">
        <f>IF(项目基本情况!K6="上海银行","其他处置费用","")</f>
        <v/>
      </c>
      <c r="L56" s="3268"/>
      <c r="M56" s="2312" t="str">
        <f>IF(项目基本情况!K6="上海银行",M69,"")</f>
        <v/>
      </c>
      <c r="N56" s="3267" t="str">
        <f>IF(项目基本情况!K6="上海银行","包含处置中涉及的律师、诉讼、拍卖、评估等费用","")</f>
        <v/>
      </c>
      <c r="O56" s="3270"/>
      <c r="Q56" s="3166"/>
    </row>
    <row r="57" spans="1:35" ht="12.75">
      <c r="A57" s="2153" t="s">
        <v>1341</v>
      </c>
      <c r="B57" s="3310" t="s">
        <v>1366</v>
      </c>
      <c r="C57" s="3311"/>
      <c r="D57" s="1478">
        <v>0</v>
      </c>
      <c r="E57" s="316" t="s">
        <v>1343</v>
      </c>
      <c r="F57" s="294"/>
      <c r="G57" s="2341"/>
      <c r="H57" s="2345"/>
      <c r="I57" s="1670"/>
      <c r="J57" s="3286">
        <f>IF(AND(J55="",J56=""),4,IF(项目基本情况!K6="上海银行",结果表!J56+1,结果表!J55+1))</f>
        <v>4</v>
      </c>
      <c r="K57" s="3286" t="s">
        <v>1367</v>
      </c>
      <c r="L57" s="2317" t="s">
        <v>1368</v>
      </c>
      <c r="M57" s="2318"/>
      <c r="N57" s="2319">
        <f ca="1">SUMIF(M52:M56,"&lt;9e307")</f>
        <v>8195</v>
      </c>
      <c r="O57" s="2320"/>
      <c r="P57" s="2465">
        <f ca="1">N57/M49</f>
        <v>0.61980033277870217</v>
      </c>
      <c r="Q57" s="3166">
        <f ca="1">Q52+Q53+Q54</f>
        <v>1330</v>
      </c>
    </row>
    <row r="58" spans="1:35" ht="24.75">
      <c r="A58" s="2153" t="s">
        <v>1352</v>
      </c>
      <c r="B58" s="3310" t="s">
        <v>1369</v>
      </c>
      <c r="C58" s="3309"/>
      <c r="D58" s="12">
        <f ca="1">IF(H58="转让取得",C81,C97)</f>
        <v>7495</v>
      </c>
      <c r="E58" s="1256" t="s">
        <v>1364</v>
      </c>
      <c r="F58" s="294" t="s">
        <v>28</v>
      </c>
      <c r="G58" s="2341"/>
      <c r="H58" s="2344" t="s">
        <v>3441</v>
      </c>
      <c r="I58" s="1670"/>
      <c r="J58" s="3286"/>
      <c r="K58" s="3286"/>
      <c r="L58" s="2317" t="s">
        <v>1370</v>
      </c>
      <c r="M58" s="2321"/>
      <c r="N58" s="2322" t="str">
        <f ca="1">NUMBERSTRING(INT(N57*10000),2)&amp;"元整"</f>
        <v>捌仟壹佰玖拾伍万元整</v>
      </c>
      <c r="O58" s="2323"/>
      <c r="Q58" s="3166"/>
    </row>
    <row r="59" spans="1:35" ht="24.75" thickBot="1">
      <c r="A59" s="3290" t="s">
        <v>1371</v>
      </c>
      <c r="B59" s="3291"/>
      <c r="C59" s="329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3442</v>
      </c>
      <c r="I59" s="2137" t="s">
        <v>2137</v>
      </c>
      <c r="J59" s="3288">
        <f>J57+1</f>
        <v>5</v>
      </c>
      <c r="K59" s="3286" t="s">
        <v>1372</v>
      </c>
      <c r="L59" s="2310" t="s">
        <v>1368</v>
      </c>
      <c r="M59" s="2324"/>
      <c r="N59" s="2325">
        <f ca="1">M49-N57</f>
        <v>5027</v>
      </c>
      <c r="O59" s="2326"/>
      <c r="Q59" s="3166">
        <f ca="1">Q49-Q57</f>
        <v>11892</v>
      </c>
    </row>
    <row r="60" spans="1:35" ht="12" customHeight="1">
      <c r="A60" s="1671"/>
      <c r="B60" s="646"/>
      <c r="C60" s="646"/>
      <c r="D60" s="646"/>
      <c r="E60" s="1466"/>
      <c r="F60" s="1670"/>
      <c r="G60" s="1670"/>
      <c r="H60" s="151"/>
      <c r="I60" s="121"/>
      <c r="J60" s="3289"/>
      <c r="K60" s="3286"/>
      <c r="L60" s="2317" t="s">
        <v>1370</v>
      </c>
      <c r="M60" s="2321"/>
      <c r="N60" s="2322" t="str">
        <f ca="1">NUMBERSTRING(INT(N59*10000),2)&amp;"元整"</f>
        <v>伍仟零贰拾柒万元整</v>
      </c>
      <c r="O60" s="2323"/>
      <c r="Q60" s="3166" t="str">
        <f ca="1">NUMBERSTRING(INT(Q59*10000),2)&amp;"元整"</f>
        <v>壹亿壹仟捌佰玖拾贰万元整</v>
      </c>
    </row>
    <row r="61" spans="1:35" ht="13.5" thickBot="1">
      <c r="A61" s="3345" t="s">
        <v>1373</v>
      </c>
      <c r="B61" s="3345"/>
      <c r="C61" s="3345"/>
      <c r="D61" s="3345"/>
      <c r="E61" s="3345"/>
      <c r="F61" s="1670"/>
      <c r="G61" s="1670"/>
      <c r="H61" s="151"/>
      <c r="I61" s="121"/>
      <c r="J61" s="2310">
        <f>J59+1</f>
        <v>6</v>
      </c>
      <c r="K61" s="3286" t="s">
        <v>1374</v>
      </c>
      <c r="L61" s="3286"/>
      <c r="M61" s="2327"/>
      <c r="N61" s="2328">
        <f ca="1">ROUND(N59*10000/'数据-汇总表'!E3,0)</f>
        <v>3029</v>
      </c>
      <c r="O61" s="2329"/>
      <c r="Q61" s="3166">
        <f ca="1">ROUND(Q59*10000/'数据-汇总表'!E3,0)</f>
        <v>7166</v>
      </c>
    </row>
    <row r="62" spans="1:35" ht="12.75">
      <c r="A62" s="3305" t="s">
        <v>1375</v>
      </c>
      <c r="B62" s="3306"/>
      <c r="C62" s="1865"/>
      <c r="D62" s="1865" t="s">
        <v>1376</v>
      </c>
      <c r="E62" s="158" t="s">
        <v>1377</v>
      </c>
      <c r="F62" s="1670"/>
      <c r="G62" s="1670"/>
      <c r="H62" s="151"/>
      <c r="I62" s="121"/>
    </row>
    <row r="63" spans="1:35" ht="12.75">
      <c r="A63" s="165" t="s">
        <v>330</v>
      </c>
      <c r="B63" s="159" t="s">
        <v>1378</v>
      </c>
      <c r="C63" s="2350">
        <f ca="1">ROUND((C64+C65)/(1+'数据-取费表'!C42),0)</f>
        <v>12592</v>
      </c>
      <c r="D63" s="159"/>
      <c r="E63" s="160"/>
      <c r="F63" s="1670"/>
      <c r="G63" s="1670"/>
      <c r="H63" s="151"/>
      <c r="I63" s="121"/>
      <c r="J63" s="3269" t="s">
        <v>1379</v>
      </c>
      <c r="K63" s="1245" t="s">
        <v>1380</v>
      </c>
      <c r="L63" s="1245">
        <f ca="1">IF(M49&gt;10000,M49*0.5%,IF(AND(M49&gt;1000,M49&lt;=10000),M49*1%,IF(AND(M49&gt;100,M49&lt;=1000),M49*3%,IF(AND(M49&gt;10,M49&lt;=100),M49*5%,M49*8%))))</f>
        <v>66.11</v>
      </c>
      <c r="M63" s="294">
        <f ca="1">ROUND(L63,1)</f>
        <v>66.099999999999994</v>
      </c>
      <c r="N63" s="2330"/>
      <c r="Z63" s="1623"/>
      <c r="AI63" s="1561"/>
    </row>
    <row r="64" spans="1:35" ht="14.25" customHeight="1">
      <c r="A64" s="161" t="s">
        <v>325</v>
      </c>
      <c r="B64" s="162" t="s">
        <v>1381</v>
      </c>
      <c r="C64" s="2351">
        <f ca="1">D45</f>
        <v>13222</v>
      </c>
      <c r="D64" s="162" t="s">
        <v>26</v>
      </c>
      <c r="E64" s="164"/>
      <c r="F64" s="1670"/>
      <c r="G64" s="1670"/>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66.11</v>
      </c>
      <c r="M64" s="294">
        <f t="shared" ref="M64:M65" ca="1" si="1">ROUND(L64,1)</f>
        <v>66.099999999999994</v>
      </c>
      <c r="N64" s="2331" t="s">
        <v>1383</v>
      </c>
      <c r="Z64" s="1623"/>
      <c r="AI64" s="1561"/>
    </row>
    <row r="65" spans="1:35" ht="14.25" customHeight="1">
      <c r="A65" s="161" t="s">
        <v>326</v>
      </c>
      <c r="B65" s="162" t="s">
        <v>1384</v>
      </c>
      <c r="C65" s="2352"/>
      <c r="D65" s="162"/>
      <c r="E65" s="164"/>
      <c r="F65" s="1670"/>
      <c r="G65" s="1670"/>
      <c r="H65" s="151"/>
      <c r="I65" s="121"/>
      <c r="J65" s="3269"/>
      <c r="K65" s="1245" t="s">
        <v>1385</v>
      </c>
      <c r="L65" s="1245">
        <f ca="1">IF(M49&gt;1000,M49*0.1%,IF(AND(M49&gt;500,M49&lt;=1000),M49*0.5%,IF(AND(M49&gt;50,M49&lt;=500),M49*1%,IF(AND(M49&gt;1,M49&lt;=50),M49*1.5%))))</f>
        <v>13.222</v>
      </c>
      <c r="M65" s="294">
        <f t="shared" ca="1" si="1"/>
        <v>13.2</v>
      </c>
      <c r="N65" s="2331" t="s">
        <v>1383</v>
      </c>
      <c r="Z65" s="1623"/>
      <c r="AI65" s="1561"/>
    </row>
    <row r="66" spans="1:35" ht="14.25" customHeight="1">
      <c r="A66" s="165" t="s">
        <v>327</v>
      </c>
      <c r="B66" s="166" t="s">
        <v>1386</v>
      </c>
      <c r="C66" s="2353"/>
      <c r="D66" s="166" t="s">
        <v>26</v>
      </c>
      <c r="E66" s="1251" t="s">
        <v>671</v>
      </c>
      <c r="F66" s="1670"/>
      <c r="G66" s="1670"/>
      <c r="H66" s="151"/>
      <c r="I66" s="121"/>
      <c r="J66" s="3269"/>
      <c r="K66" s="1245" t="s">
        <v>1387</v>
      </c>
      <c r="L66" s="1245">
        <f ca="1">M49*0.5%</f>
        <v>66.11</v>
      </c>
      <c r="M66" s="294">
        <f ca="1">IF(L66&gt;0.5,0.5,ROUND(L66,0))</f>
        <v>0.5</v>
      </c>
      <c r="N66" s="2331" t="s">
        <v>1388</v>
      </c>
      <c r="Z66" s="1623"/>
      <c r="AI66" s="1561"/>
    </row>
    <row r="67" spans="1:35" ht="14.25" customHeight="1">
      <c r="A67" s="165" t="s">
        <v>328</v>
      </c>
      <c r="B67" s="166" t="s">
        <v>1389</v>
      </c>
      <c r="C67" s="2354">
        <f ca="1">C63-C66</f>
        <v>12592</v>
      </c>
      <c r="D67" s="162" t="s">
        <v>26</v>
      </c>
      <c r="E67" s="164"/>
      <c r="F67" s="1670"/>
      <c r="G67" s="1670"/>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8.5722000000000005</v>
      </c>
      <c r="M67" s="294">
        <f ca="1">ROUND(L67*0.9,1)</f>
        <v>7.7</v>
      </c>
      <c r="N67" s="2330"/>
      <c r="Z67" s="1623"/>
      <c r="AI67" s="1561"/>
    </row>
    <row r="68" spans="1:35" ht="14.25" customHeight="1" thickBot="1">
      <c r="A68" s="168" t="s">
        <v>329</v>
      </c>
      <c r="B68" s="169" t="s">
        <v>1391</v>
      </c>
      <c r="C68" s="2355">
        <f ca="1">IF(C67&lt;=0,0,ROUND(C67*D68,0))</f>
        <v>693</v>
      </c>
      <c r="D68" s="2356">
        <f>'数据-取费表'!B41</f>
        <v>5.5000000000000007E-2</v>
      </c>
      <c r="E68" s="170"/>
      <c r="F68" s="1670"/>
      <c r="G68" s="1670"/>
      <c r="H68" s="151"/>
      <c r="I68" s="121"/>
      <c r="J68" s="3269"/>
      <c r="K68" s="1245" t="s">
        <v>1392</v>
      </c>
      <c r="L68" s="1245">
        <f ca="1">IF(M49&gt;10000,M49*0.5%,IF(AND(M49&gt;5000,M49&lt;=10000),M49*1%,IF(AND(M49&gt;1000,M49&lt;=5000),M49*2%,IF(AND(M49&gt;200,M49&lt;=1000),M49*3%,M49*5%))))</f>
        <v>66.11</v>
      </c>
      <c r="M68" s="294">
        <f ca="1">ROUND(L68,1)</f>
        <v>66.099999999999994</v>
      </c>
      <c r="N68" s="2330"/>
      <c r="Z68" s="1623"/>
      <c r="AI68" s="1561"/>
    </row>
    <row r="69" spans="1:35" ht="16.5" customHeight="1">
      <c r="A69" s="1672"/>
      <c r="B69" s="1673"/>
      <c r="C69" s="1674"/>
      <c r="D69" s="1675"/>
      <c r="E69" s="1676"/>
      <c r="F69" s="1466"/>
      <c r="G69" s="1466"/>
      <c r="H69" s="1467"/>
      <c r="I69" s="646"/>
      <c r="J69" s="3269"/>
      <c r="K69" s="1245" t="s">
        <v>1393</v>
      </c>
      <c r="L69" s="1245"/>
      <c r="M69" s="294">
        <f ca="1">ROUND(SUM(M63:M68),0)</f>
        <v>220</v>
      </c>
      <c r="N69" s="2332">
        <f ca="1">M69/M49</f>
        <v>1.6638935108153077E-2</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12592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63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63</v>
      </c>
      <c r="D78" s="2363">
        <f>'数据-取费表'!B43</f>
        <v>5.000000000000001E-3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12529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198.87301587301587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7495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12592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63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1" t="s">
        <v>2129</v>
      </c>
      <c r="H90" s="327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2" t="s">
        <v>1422</v>
      </c>
      <c r="F92" s="3303"/>
      <c r="G92" s="3303"/>
      <c r="H92" s="3304"/>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63</v>
      </c>
      <c r="D93" s="2363">
        <f>'数据-取费表'!B43</f>
        <v>5.000000000000001E-3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12529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198.87301587301587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7495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1" t="str">
        <f>C4</f>
        <v>成本法</v>
      </c>
      <c r="D101" s="2372" t="str">
        <f>D4</f>
        <v>收益法</v>
      </c>
      <c r="E101" s="3265" t="s">
        <v>1431</v>
      </c>
      <c r="F101" s="3266"/>
      <c r="G101" s="1687" t="s">
        <v>1432</v>
      </c>
      <c r="H101" s="2381">
        <f ca="1">H118</f>
        <v>13222</v>
      </c>
      <c r="I101" s="121"/>
    </row>
    <row r="102" spans="1:35" ht="18.75" customHeight="1">
      <c r="A102" s="3297" t="s">
        <v>1433</v>
      </c>
      <c r="B102" s="2370" t="s">
        <v>1432</v>
      </c>
      <c r="C102" s="2371">
        <f ca="1">IF(D32="楼面单价",ROUND(C19,0),C19)</f>
        <v>13484</v>
      </c>
      <c r="D102" s="2372">
        <f ca="1">IF(D32="楼面单价",ROUND(D19,0),D19)</f>
        <v>12960</v>
      </c>
      <c r="E102" s="3265"/>
      <c r="F102" s="3266"/>
      <c r="G102" s="1687" t="s">
        <v>1434</v>
      </c>
      <c r="H102" s="2341">
        <f ca="1">I118</f>
        <v>7968</v>
      </c>
      <c r="I102" s="121"/>
    </row>
    <row r="103" spans="1:35" ht="42.75" customHeight="1">
      <c r="A103" s="3297"/>
      <c r="B103" s="2370" t="s">
        <v>1434</v>
      </c>
      <c r="C103" s="2373">
        <f ca="1">C20</f>
        <v>8125</v>
      </c>
      <c r="D103" s="2374">
        <f ca="1">D20</f>
        <v>7810</v>
      </c>
      <c r="E103" s="3258" t="s">
        <v>1435</v>
      </c>
      <c r="F103" s="3259"/>
      <c r="G103" s="1688" t="s">
        <v>1436</v>
      </c>
      <c r="H103" s="2381">
        <f>IF(D36="正常操作",H104+H105+H106,H105+H106)</f>
        <v>0</v>
      </c>
      <c r="I103" s="121"/>
    </row>
    <row r="104" spans="1:35" ht="18.75" customHeight="1">
      <c r="A104" s="3297" t="s">
        <v>1437</v>
      </c>
      <c r="B104" s="2375" t="s">
        <v>1432</v>
      </c>
      <c r="C104" s="2376">
        <f ca="1">H118</f>
        <v>13222</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7968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66"/>
      <c r="G107" s="1687" t="s">
        <v>1432</v>
      </c>
      <c r="H107" s="2381">
        <f ca="1">IF(E107="——","——",H101-H103)</f>
        <v>13222</v>
      </c>
      <c r="I107" s="121"/>
    </row>
    <row r="108" spans="1:35" ht="18.75" customHeight="1">
      <c r="A108" s="121"/>
      <c r="B108" s="121"/>
      <c r="C108" s="121"/>
      <c r="D108" s="121"/>
      <c r="E108" s="3298"/>
      <c r="F108" s="3266"/>
      <c r="G108" s="1687" t="s">
        <v>1434</v>
      </c>
      <c r="H108" s="2341">
        <f ca="1">IF(H107=H101,H102,ROUND(H107*10000/'数据-汇总表'!E3,0))</f>
        <v>7968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4" t="str">
        <f>IF(E109="——","——",H101-H105-H106)</f>
        <v>——</v>
      </c>
      <c r="I109" s="121"/>
    </row>
    <row r="110" spans="1:35" ht="18.75" customHeight="1">
      <c r="A110" s="121"/>
      <c r="B110" s="121"/>
      <c r="C110" s="121"/>
      <c r="D110" s="121"/>
      <c r="E110" s="3298"/>
      <c r="F110" s="3266"/>
      <c r="G110" s="1687" t="s">
        <v>1434</v>
      </c>
      <c r="H110" s="2341"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4.抵押净值</v>
      </c>
      <c r="F111" s="3285"/>
      <c r="G111" s="1687" t="s">
        <v>1432</v>
      </c>
      <c r="H111" s="2381">
        <f ca="1">IF(E111="——","——",N59)</f>
        <v>5027</v>
      </c>
      <c r="I111" s="121"/>
    </row>
    <row r="112" spans="1:35" ht="18.75" customHeight="1" thickBot="1">
      <c r="A112" s="121"/>
      <c r="B112" s="121"/>
      <c r="C112" s="121"/>
      <c r="D112" s="121"/>
      <c r="E112" s="3300"/>
      <c r="F112" s="3301"/>
      <c r="G112" s="1690" t="s">
        <v>1434</v>
      </c>
      <c r="H112" s="2385">
        <f ca="1">IF(E111="——","——",N61)</f>
        <v>3029</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16594.73</v>
      </c>
      <c r="C118" s="2150">
        <f>M19</f>
        <v>27600</v>
      </c>
      <c r="D118" s="2150">
        <f ca="1">ROUND(IF(D32="总价",C34,E118*B118/10000),0)</f>
        <v>6875</v>
      </c>
      <c r="E118" s="2150">
        <f ca="1">ROUND(IF(C33="自定义",IF(D32="楼面单价",C34,D118*10000/B118),I118-G118),0)</f>
        <v>4143</v>
      </c>
      <c r="F118" s="2150">
        <f ca="1">ROUND(IF(D32="总价",C35,G118*B118/10000),0)</f>
        <v>6347</v>
      </c>
      <c r="G118" s="2150">
        <f ca="1">ROUND(IF(D32="楼面单价",C35,F118*10000/B118),0)</f>
        <v>3825</v>
      </c>
      <c r="H118" s="2150">
        <f ca="1">ROUND(IF(D32="总价",C32,I118*B118/10000),0)</f>
        <v>13222</v>
      </c>
      <c r="I118" s="2150">
        <f ca="1">ROUND(IF(D32="楼面单价",C32,H118*10000/B118),0)</f>
        <v>7968</v>
      </c>
    </row>
    <row r="119" spans="1:27" ht="18.75" customHeight="1">
      <c r="A119" s="3273" t="s">
        <v>1452</v>
      </c>
      <c r="B119" s="3273"/>
      <c r="C119" s="3273"/>
      <c r="D119" s="3279" t="str">
        <f ca="1">NUMBERSTRING(INT(D118*10000),2)&amp;"元整"</f>
        <v>陆仟捌佰柒拾伍万元整</v>
      </c>
      <c r="E119" s="3280"/>
      <c r="F119" s="3279" t="str">
        <f ca="1">NUMBERSTRING(INT(F118*10000),2)&amp;"元整"</f>
        <v>陆仟叁佰肆拾柒万元整</v>
      </c>
      <c r="G119" s="3280"/>
      <c r="H119" s="3279" t="str">
        <f ca="1">NUMBERSTRING(INT(H118*10000),2)&amp;"元整"</f>
        <v>壹亿叁仟贰佰贰拾贰万元整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13222</v>
      </c>
      <c r="E122" s="3275"/>
      <c r="F122" s="3275"/>
      <c r="G122" s="3275"/>
      <c r="H122" s="3275"/>
      <c r="I122" s="3276"/>
      <c r="AA122" s="684"/>
    </row>
    <row r="123" spans="1:27" ht="18.75" customHeight="1">
      <c r="A123" s="3273" t="s">
        <v>1452</v>
      </c>
      <c r="B123" s="3273"/>
      <c r="C123" s="3273"/>
      <c r="D123" s="3279" t="str">
        <f ca="1">NUMBERSTRING(INT(D122*10000),2)&amp;"元整"</f>
        <v>壹亿叁仟贰佰贰拾贰万元整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抵押净值</v>
      </c>
      <c r="B126" s="3285"/>
      <c r="C126" s="3285"/>
      <c r="D126" s="3274">
        <f ca="1">H111</f>
        <v>5027</v>
      </c>
      <c r="E126" s="3275"/>
      <c r="F126" s="3275"/>
      <c r="G126" s="3275"/>
      <c r="H126" s="3275"/>
      <c r="I126" s="3276"/>
      <c r="AA126" s="684"/>
    </row>
    <row r="127" spans="1:27" ht="18.75" customHeight="1">
      <c r="A127" s="3273" t="s">
        <v>1452</v>
      </c>
      <c r="B127" s="3273"/>
      <c r="C127" s="3273"/>
      <c r="D127" s="3279" t="str">
        <f ca="1">NUMBERSTRING(INT(D126*10000),2)&amp;"元整"</f>
        <v>伍仟零贰拾柒万元整</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G27" sqref="G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13484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8125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5725</v>
      </c>
      <c r="D5" s="203" t="s">
        <v>1469</v>
      </c>
      <c r="E5" s="204" t="s">
        <v>1470</v>
      </c>
      <c r="F5" s="204" t="s">
        <v>1471</v>
      </c>
      <c r="G5" s="205"/>
    </row>
    <row r="6" spans="1:9" s="206" customFormat="1" ht="13.5" customHeight="1">
      <c r="A6" s="732" t="s">
        <v>1472</v>
      </c>
      <c r="B6" s="207" t="s">
        <v>1473</v>
      </c>
      <c r="C6" s="208">
        <f>基准地价修正!B2</f>
        <v>5233</v>
      </c>
      <c r="D6" s="209"/>
      <c r="E6" s="210"/>
      <c r="F6" s="210"/>
      <c r="G6" s="211"/>
    </row>
    <row r="7" spans="1:9" s="206" customFormat="1" ht="13.5" customHeight="1">
      <c r="A7" s="732" t="s">
        <v>1474</v>
      </c>
      <c r="B7" s="207" t="s">
        <v>1475</v>
      </c>
      <c r="C7" s="212">
        <f>ROUND(C6*F7,0)</f>
        <v>160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332</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3430</v>
      </c>
      <c r="H9" s="1070"/>
      <c r="I9" s="1716" t="s">
        <v>1479</v>
      </c>
    </row>
    <row r="10" spans="1:9" s="206" customFormat="1" ht="13.5" customHeight="1">
      <c r="A10" s="733" t="s">
        <v>356</v>
      </c>
      <c r="B10" s="216" t="s">
        <v>1480</v>
      </c>
      <c r="C10" s="217">
        <f ca="1">ROUND(D10*E10/10000,0)</f>
        <v>332</v>
      </c>
      <c r="D10" s="795">
        <f ca="1">IF(B1="",'数据-汇总表'!E6,IF(INDIRECT("'数据-取费表'!c"&amp;$G$1)="住宅",INDIRECT("'数据-取费表'!s"&amp;$G$1),INDIRECT("'数据-取费表'!k"&amp;$G$1)+INDIRECT("'数据-取费表'!s"&amp;$G$1)))</f>
        <v>16594.73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16594.73</v>
      </c>
      <c r="E19" s="203">
        <f>'数据-取费表'!B31</f>
        <v>200</v>
      </c>
      <c r="F19" s="223"/>
      <c r="G19" s="1714" t="s">
        <v>3431</v>
      </c>
    </row>
    <row r="20" spans="1:7" s="206" customFormat="1" ht="13.5" customHeight="1">
      <c r="A20" s="247" t="s">
        <v>1493</v>
      </c>
      <c r="B20" s="202" t="s">
        <v>1494</v>
      </c>
      <c r="C20" s="224">
        <f ca="1">ROUND((C5+C19)*F20,0)</f>
        <v>115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364</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360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292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292</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7015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6460</v>
      </c>
      <c r="D34" s="209"/>
      <c r="E34" s="212"/>
      <c r="F34" s="249">
        <f ca="1">IF('数据-取费表'!B24=0,1,IF(B1="",'数据-取费表'!N16,INDIRECT("'数据-取费表'!n"&amp;$G$1)))</f>
        <v>1</v>
      </c>
      <c r="G34" s="211" t="s">
        <v>1526</v>
      </c>
    </row>
    <row r="35" spans="1:7" ht="13.5" customHeight="1">
      <c r="A35" s="734" t="s">
        <v>351</v>
      </c>
      <c r="B35" s="207" t="s">
        <v>1527</v>
      </c>
      <c r="C35" s="212">
        <f ca="1">ROUND(C34*F35,0)</f>
        <v>323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332</v>
      </c>
      <c r="D37" s="209">
        <f ca="1">D19</f>
        <v>16594.73</v>
      </c>
      <c r="E37" s="241">
        <f>'数据-取费表'!B35</f>
        <v>200</v>
      </c>
      <c r="F37" s="251"/>
      <c r="G37" s="253" t="s">
        <v>1532</v>
      </c>
    </row>
    <row r="38" spans="1:7" ht="13.5" customHeight="1">
      <c r="A38" s="734" t="s">
        <v>354</v>
      </c>
      <c r="B38" s="207" t="s">
        <v>1533</v>
      </c>
      <c r="C38" s="212">
        <f ca="1">ROUND(C34*F38,0)</f>
        <v>129</v>
      </c>
      <c r="D38" s="212"/>
      <c r="E38" s="212"/>
      <c r="F38" s="251">
        <f>'数据-取费表'!B36</f>
        <v>0.02</v>
      </c>
      <c r="G38" s="211" t="s">
        <v>1528</v>
      </c>
    </row>
    <row r="39" spans="1:7" s="206" customFormat="1" ht="13.5" customHeight="1">
      <c r="A39" s="247" t="s">
        <v>1534</v>
      </c>
      <c r="B39" s="202" t="s">
        <v>1535</v>
      </c>
      <c r="C39" s="224">
        <f ca="1">ROUND(C33*F20,0)</f>
        <v>145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225</v>
      </c>
      <c r="D42" s="230"/>
      <c r="E42" s="230"/>
      <c r="F42" s="231"/>
      <c r="G42" s="3352" t="s">
        <v>1544</v>
      </c>
    </row>
    <row r="43" spans="1:7" ht="13.5" customHeight="1">
      <c r="A43" s="734" t="s">
        <v>347</v>
      </c>
      <c r="B43" s="207" t="s">
        <v>1545</v>
      </c>
      <c r="C43" s="230">
        <f ca="1">ROUND(IF('数据-取费表'!B22&lt;=1,C39*F22*'数据-取费表'!B21/2,C39*(POWER((1+F22),'数据-取费表'!B21/2)-1)),0)</f>
        <v>4</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369</v>
      </c>
      <c r="D45" s="227">
        <f ca="1">C47</f>
        <v>1E-3</v>
      </c>
      <c r="E45" s="228" t="s">
        <v>1539</v>
      </c>
      <c r="F45" s="238">
        <f ca="1">F27</f>
        <v>0.05</v>
      </c>
      <c r="G45" s="239" t="s">
        <v>1548</v>
      </c>
    </row>
    <row r="46" spans="1:7" s="206" customFormat="1" ht="13.5" customHeight="1">
      <c r="A46" s="734" t="s">
        <v>346</v>
      </c>
      <c r="B46" s="240" t="s">
        <v>1549</v>
      </c>
      <c r="C46" s="241">
        <f ca="1">ROUND((C33+C39)*F27,0)</f>
        <v>369</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8625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6469</v>
      </c>
      <c r="D51" s="224"/>
      <c r="E51" s="224"/>
      <c r="F51" s="256"/>
      <c r="G51" s="226" t="s">
        <v>1560</v>
      </c>
    </row>
    <row r="52" spans="1:7" s="200" customFormat="1" ht="16.5" thickBot="1">
      <c r="A52" s="257" t="s">
        <v>1561</v>
      </c>
      <c r="B52" s="258"/>
      <c r="C52" s="259">
        <f ca="1">C31+C51</f>
        <v>13484</v>
      </c>
      <c r="D52" s="258"/>
      <c r="E52" s="258"/>
      <c r="F52" s="258"/>
      <c r="G52" s="260"/>
    </row>
    <row r="55" spans="1:7" ht="15">
      <c r="B55" s="262" t="s">
        <v>1562</v>
      </c>
      <c r="C55" s="263"/>
    </row>
    <row r="56" spans="1:7">
      <c r="B56" s="265" t="s">
        <v>802</v>
      </c>
      <c r="C56" s="267">
        <f ca="1">1-C57</f>
        <v>0.52</v>
      </c>
    </row>
    <row r="57" spans="1:7">
      <c r="B57" s="265" t="s">
        <v>803</v>
      </c>
      <c r="C57" s="266">
        <f ca="1">ROUND(C51/C52,3)</f>
        <v>0.48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7282.9652999999998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4389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3318946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3318946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3318946</v>
      </c>
      <c r="D10" s="795">
        <f ca="1">IF(B1="",'数据-汇总表'!E6,IF(INDIRECT("'数据-取费表'!c"&amp;$G$1)="住宅",INDIRECT("'数据-取费表'!s"&amp;$G$1),INDIRECT("'数据-取费表'!k"&amp;$G$1)+INDIRECT("'数据-取费表'!s"&amp;$G$1)))</f>
        <v>16594.73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3318946</v>
      </c>
      <c r="D19" s="204">
        <f ca="1">D9+D10</f>
        <v>16594.73</v>
      </c>
      <c r="E19" s="203">
        <f>'数据-取费表'!B31</f>
        <v>200</v>
      </c>
      <c r="F19" s="223"/>
      <c r="G19" s="1714"/>
    </row>
    <row r="20" spans="1:7" s="206" customFormat="1" ht="13.5" customHeight="1">
      <c r="A20" s="247" t="s">
        <v>1574</v>
      </c>
      <c r="B20" s="202" t="s">
        <v>1575</v>
      </c>
      <c r="C20" s="224">
        <f ca="1">ROUND((C5+C19)*F20,0)</f>
        <v>132758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422043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208964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208964</v>
      </c>
      <c r="D24" s="230"/>
      <c r="E24" s="230"/>
      <c r="F24" s="231"/>
      <c r="G24" s="232" t="s">
        <v>1586</v>
      </c>
    </row>
    <row r="25" spans="1:7" s="206" customFormat="1" ht="24">
      <c r="A25" s="734" t="s">
        <v>1476</v>
      </c>
      <c r="B25" s="207" t="s">
        <v>1587</v>
      </c>
      <c r="C25" s="230">
        <f ca="1">ROUND(IF('数据-取费表'!B22&lt;=1,C20*F22*'数据-取费表'!B22/2,C20*(POWER((1+F22),'数据-取费表'!B22/2)-1)),0)</f>
        <v>4115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338533</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338533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8133073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72444460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64603284</v>
      </c>
      <c r="D34" s="209"/>
      <c r="E34" s="212"/>
      <c r="F34" s="249"/>
      <c r="G34" s="211"/>
    </row>
    <row r="35" spans="1:7" ht="13.5" customHeight="1">
      <c r="A35" s="734" t="s">
        <v>351</v>
      </c>
      <c r="B35" s="207" t="s">
        <v>1527</v>
      </c>
      <c r="C35" s="212">
        <f ca="1">ROUND(C34*F35,0)</f>
        <v>3230164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3318946</v>
      </c>
      <c r="D37" s="209">
        <f ca="1">D19</f>
        <v>16594.73</v>
      </c>
      <c r="E37" s="241">
        <f>'数据-取费表'!B35</f>
        <v>200</v>
      </c>
      <c r="F37" s="251"/>
      <c r="G37" s="253"/>
    </row>
    <row r="38" spans="1:7" ht="13.5" customHeight="1">
      <c r="A38" s="734" t="s">
        <v>354</v>
      </c>
      <c r="B38" s="207" t="s">
        <v>1533</v>
      </c>
      <c r="C38" s="212">
        <f ca="1">ROUND(C34*F38,0)</f>
        <v>1292066</v>
      </c>
      <c r="D38" s="212"/>
      <c r="E38" s="212"/>
      <c r="F38" s="251">
        <f>'数据-取费表'!B36</f>
        <v>0.02</v>
      </c>
      <c r="G38" s="211" t="s">
        <v>1528</v>
      </c>
    </row>
    <row r="39" spans="1:7" s="206" customFormat="1" ht="13.5" customHeight="1">
      <c r="A39" s="247" t="s">
        <v>1534</v>
      </c>
      <c r="B39" s="202" t="s">
        <v>1535</v>
      </c>
      <c r="C39" s="224">
        <f ca="1">ROUND(C33*F20,0)</f>
        <v>1448889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2290694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2245778</v>
      </c>
      <c r="D42" s="230"/>
      <c r="E42" s="230"/>
      <c r="F42" s="231"/>
      <c r="G42" s="3352" t="s">
        <v>1591</v>
      </c>
    </row>
    <row r="43" spans="1:7" ht="13.5" customHeight="1">
      <c r="A43" s="734" t="s">
        <v>347</v>
      </c>
      <c r="B43" s="207" t="s">
        <v>1545</v>
      </c>
      <c r="C43" s="230">
        <f ca="1">ROUND(IF('数据-取费表'!B22&lt;=1,C39*F22*'数据-取费表'!B20/2,C39*(POWER((1+F22),'数据-取费表'!B20/2)-1)),0)</f>
        <v>44916</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3694667</v>
      </c>
      <c r="D45" s="227">
        <f ca="1">C47</f>
        <v>1E-3</v>
      </c>
      <c r="E45" s="228" t="s">
        <v>1539</v>
      </c>
      <c r="F45" s="238">
        <f ca="1">F27</f>
        <v>0.05</v>
      </c>
      <c r="G45" s="239" t="s">
        <v>1548</v>
      </c>
    </row>
    <row r="46" spans="1:7" s="206" customFormat="1" ht="13.5" customHeight="1">
      <c r="A46" s="734" t="s">
        <v>346</v>
      </c>
      <c r="B46" s="240" t="s">
        <v>1549</v>
      </c>
      <c r="C46" s="241">
        <f ca="1">ROUND((C33+C39)*F27,0)</f>
        <v>3694667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86262106</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64696580</v>
      </c>
      <c r="D51" s="224"/>
      <c r="E51" s="224"/>
      <c r="F51" s="256"/>
      <c r="G51" s="226" t="s">
        <v>1560</v>
      </c>
    </row>
    <row r="52" spans="1:7" s="200" customFormat="1" ht="16.5" thickBot="1">
      <c r="A52" s="257" t="s">
        <v>1561</v>
      </c>
      <c r="B52" s="258"/>
      <c r="C52" s="259">
        <f ca="1">C31+C51</f>
        <v>72829653</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16594.73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16594.73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332</v>
      </c>
      <c r="D20" s="796">
        <f ca="1">IF(C1="",'数据-汇总表'!E6,IF(INDIRECT("'数据-取费表'!c"&amp;$K$1)="住宅",INDIRECT("'数据-取费表'!s"&amp;$K$1),INDIRECT("'数据-取费表'!k"&amp;$K$1)+INDIRECT("'数据-取费表'!s"&amp;$K$1)))</f>
        <v>16594.73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L27" sqref="L2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27600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5233</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Ⅵ-光机电</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2691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1896</v>
      </c>
      <c r="C3" s="1846" t="s">
        <v>1941</v>
      </c>
      <c r="D3" s="162" t="s">
        <v>1942</v>
      </c>
      <c r="E3" s="3119" t="s">
        <v>2470</v>
      </c>
      <c r="F3" s="1848" t="s">
        <v>3424</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2121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2"/>
      <c r="B4" s="3363"/>
      <c r="C4" s="3363"/>
      <c r="D4" s="3364"/>
      <c r="E4" s="3364"/>
      <c r="F4" s="3364"/>
      <c r="G4" s="3364"/>
      <c r="H4" s="3364"/>
      <c r="I4" s="3364"/>
      <c r="J4" s="33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1792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2078</v>
      </c>
      <c r="D5" s="1252">
        <f>ROUND(C6*C17+C20,0)</f>
        <v>2078</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1581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2120</v>
      </c>
      <c r="D6" s="1861"/>
      <c r="E6" s="1862"/>
      <c r="F6" s="1862"/>
      <c r="G6" s="1863"/>
      <c r="H6" s="1863"/>
      <c r="I6" s="1863"/>
      <c r="J6" s="1864"/>
      <c r="K6" s="1292"/>
      <c r="L6" s="1847" t="s">
        <v>1951</v>
      </c>
      <c r="M6" s="811">
        <f>SUMPRODUCT((区片价!B127:B189=I2)*(区片价!C3:G3=E2)*(区片价!C127:G189))</f>
        <v>2120</v>
      </c>
      <c r="N6" s="813">
        <f>SUMPRODUCT((因素修正幅度!B127:B189=I2)*(因素修正幅度!C3:G3=E2)*(因素修正幅度!C127:G189))</f>
        <v>0.05</v>
      </c>
      <c r="O6" s="1056"/>
      <c r="P6" s="1056"/>
      <c r="Q6" s="1056"/>
      <c r="R6" s="1129">
        <v>5</v>
      </c>
      <c r="S6" s="3064">
        <f>ROUND(SUMPRODUCT((B106:B110=R6)*(C105:N105=G2)*(C106:N110)),4)</f>
        <v>0.84799999999999998</v>
      </c>
      <c r="T6" s="3064">
        <f t="shared" si="0"/>
        <v>1519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25.5">
      <c r="A8" s="3010"/>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1"/>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6" t="s">
        <v>3245</v>
      </c>
      <c r="B20" s="159" t="s">
        <v>1994</v>
      </c>
      <c r="C20" s="3032">
        <f>ROUND(IF(F21="与级别开发程度一致",0,(G21-E21)/C21),0)</f>
        <v>-42</v>
      </c>
      <c r="D20" s="3047" t="s">
        <v>1998</v>
      </c>
      <c r="E20" s="3048"/>
      <c r="F20" s="3372" t="s">
        <v>1995</v>
      </c>
      <c r="G20" s="3373"/>
      <c r="H20" s="3033" t="s">
        <v>3444</v>
      </c>
      <c r="I20" s="3033" t="s">
        <v>3446</v>
      </c>
      <c r="J20" s="3034" t="s">
        <v>3445</v>
      </c>
      <c r="K20" s="1889" t="s">
        <v>3447</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7"/>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45827</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0.7833</v>
      </c>
      <c r="D24" s="1902" t="s">
        <v>2007</v>
      </c>
      <c r="E24" s="1248">
        <f>存贷款利率!E27/100</f>
        <v>4.3499999999999997E-2</v>
      </c>
      <c r="F24" s="1902" t="s">
        <v>1999</v>
      </c>
      <c r="G24" s="724">
        <f>SUMIF(M30:Q30,E2,M33:Q33)</f>
        <v>0.05</v>
      </c>
      <c r="H24" s="1902" t="s">
        <v>2008</v>
      </c>
      <c r="I24" s="725">
        <f>SUMIF('数据-取费表'!C6:C15,E2,'数据-取费表'!F6:F15)/COUNTIF('数据-取费表'!C6:C15,E2)</f>
        <v>25.73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1.0123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5233</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1896</v>
      </c>
      <c r="D33" s="1940">
        <f>'数据-汇总表'!D3</f>
        <v>27600</v>
      </c>
      <c r="E33" s="727">
        <f>ROUND(C33*D33/10000,0)</f>
        <v>5233</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284</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0"/>
      <c r="B37" s="1955" t="s">
        <v>2036</v>
      </c>
      <c r="C37" s="167">
        <f>ROUND(D5*C22*C23*C24*C28*F37,0)</f>
        <v>1075</v>
      </c>
      <c r="D37" s="1940"/>
      <c r="E37" s="163">
        <f>ROUND(C37*D37/10000,0)</f>
        <v>0</v>
      </c>
      <c r="F37" s="163">
        <f>SUMIF(修正!A57:A68,G2,修正!B57:B68)</f>
        <v>0.6</v>
      </c>
      <c r="G37" s="163">
        <f>ROUND(IF(E2="工业",C37*$M$42,C37*$M$41),0)</f>
        <v>161</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537</v>
      </c>
      <c r="D38" s="1940"/>
      <c r="E38" s="163">
        <f t="shared" ref="E38:E42" si="4">ROUND(C38*D38/10000,0)</f>
        <v>0</v>
      </c>
      <c r="F38" s="163">
        <f>SUMIF(修正!A57:A68,G2,修正!C57:C68)</f>
        <v>0.3</v>
      </c>
      <c r="G38" s="163">
        <f>ROUND(IF(E2="工业",C38*$M$42,C38*$M$41),0)</f>
        <v>81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1"/>
      <c r="B39" s="1884" t="s">
        <v>3250</v>
      </c>
      <c r="C39" s="167">
        <f>ROUND(D5*C22*C23*C24*C28*F39,0)</f>
        <v>448</v>
      </c>
      <c r="D39" s="1940"/>
      <c r="E39" s="163">
        <f t="shared" si="4"/>
        <v>0</v>
      </c>
      <c r="F39" s="163">
        <f>SUMIF(修正!A57:A68,G2,修正!D57:D68)</f>
        <v>0.25</v>
      </c>
      <c r="G39" s="163">
        <f>ROUND(IF(E2="工业",C39*$M$42,C39*$M$41),0)</f>
        <v>67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448</v>
      </c>
      <c r="D40" s="1940"/>
      <c r="E40" s="163">
        <f t="shared" si="4"/>
        <v>0</v>
      </c>
      <c r="F40" s="167">
        <f>SUMIF(修正!A57:A68,G2,修正!E57:E68)</f>
        <v>0.25</v>
      </c>
      <c r="G40" s="163">
        <f>ROUND(IF(E2="工业",C40*$M$42,C40*$M$41),0)</f>
        <v>67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1.0123</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3426</v>
      </c>
      <c r="D83" s="1002">
        <f t="shared" ref="D83:D90" si="22">SUMIF($J$82:$N$82,C83,J83:N83)</f>
        <v>6.4999999999999997E-3</v>
      </c>
      <c r="E83" s="702">
        <f>ROUND(SUM(D83:D90),4)</f>
        <v>1.23E-2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3427</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3426</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3428</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3427</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3426</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3426</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3427</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8" t="s">
        <v>3285</v>
      </c>
      <c r="B103" s="3368"/>
      <c r="C103" s="3368"/>
      <c r="D103" s="3368"/>
      <c r="E103" s="3368"/>
      <c r="F103" s="3368"/>
      <c r="G103" s="3368"/>
      <c r="H103" s="3368"/>
      <c r="I103" s="3368"/>
      <c r="J103" s="3368"/>
      <c r="K103" s="1667"/>
      <c r="L103" s="1667"/>
      <c r="M103" s="1667"/>
      <c r="N103" s="1667"/>
    </row>
    <row r="104" spans="1:14">
      <c r="A104" s="3369" t="s">
        <v>3286</v>
      </c>
      <c r="B104" s="3369" t="s">
        <v>3287</v>
      </c>
      <c r="C104" s="3091" t="s">
        <v>3288</v>
      </c>
      <c r="D104" s="3092"/>
      <c r="E104" s="3092"/>
      <c r="F104" s="3092"/>
      <c r="G104" s="3092"/>
      <c r="H104" s="3092"/>
      <c r="I104" s="3092"/>
      <c r="J104" s="3093"/>
      <c r="K104" s="3094"/>
      <c r="L104" s="3094"/>
      <c r="M104" s="3094"/>
      <c r="N104" s="3094"/>
    </row>
    <row r="105" spans="1:14">
      <c r="A105" s="3369"/>
      <c r="B105" s="3369"/>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5"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6"/>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8" t="s">
        <v>3302</v>
      </c>
      <c r="B113" s="3358"/>
      <c r="C113" s="3358"/>
      <c r="D113" s="3358"/>
      <c r="E113" s="3358"/>
      <c r="F113" s="3358"/>
      <c r="G113" s="3358"/>
      <c r="H113" s="3358"/>
      <c r="I113" s="3358"/>
      <c r="J113" s="335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0.64319999999999999</v>
      </c>
      <c r="E116" s="162" t="s">
        <v>3305</v>
      </c>
      <c r="F116" s="3102" t="str">
        <f>E2</f>
        <v>工业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1" zoomScale="80" zoomScaleNormal="70" zoomScaleSheetLayoutView="80" workbookViewId="0">
      <selection activeCell="L63" sqref="J63:L6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25.73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12960</v>
      </c>
      <c r="C2" s="1289" t="s">
        <v>805</v>
      </c>
      <c r="D2" s="1289"/>
      <c r="E2" s="1295"/>
      <c r="F2" s="1296"/>
      <c r="G2" s="2479"/>
      <c r="H2" s="2469"/>
      <c r="I2" s="2469"/>
      <c r="J2" s="2469"/>
      <c r="K2" s="2470"/>
      <c r="L2" s="2469"/>
      <c r="M2" s="2469"/>
    </row>
    <row r="3" spans="1:37" ht="18" customHeight="1" thickBot="1">
      <c r="A3" s="1297" t="s">
        <v>806</v>
      </c>
      <c r="B3" s="1298">
        <f ca="1">IF(ISERROR(B2*10000/F43),0,ROUND(B2*10000/F43,0))</f>
        <v>7810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900</v>
      </c>
      <c r="D5" s="1273" t="s">
        <v>693</v>
      </c>
      <c r="E5" s="1008"/>
      <c r="F5" s="1009"/>
      <c r="G5" s="1292"/>
      <c r="H5" s="291">
        <v>1</v>
      </c>
      <c r="I5" s="292" t="s">
        <v>692</v>
      </c>
      <c r="J5" s="1007">
        <f ca="1">J6+J10+J12</f>
        <v>0</v>
      </c>
      <c r="K5" s="1273" t="s">
        <v>693</v>
      </c>
      <c r="L5" s="1008"/>
      <c r="M5" s="1009"/>
    </row>
    <row r="6" spans="1:37" ht="18" customHeight="1">
      <c r="A6" s="1006" t="s">
        <v>398</v>
      </c>
      <c r="B6" s="3376" t="s">
        <v>694</v>
      </c>
      <c r="C6" s="1011">
        <f ca="1">ROUND(F6*F8*F7*(1-F9)/10000,0)</f>
        <v>899</v>
      </c>
      <c r="D6" s="147" t="s">
        <v>2109</v>
      </c>
      <c r="E6" s="294" t="s">
        <v>696</v>
      </c>
      <c r="F6" s="295">
        <f ca="1">INDIRECT("'数据-取费表'!u"&amp;$G$1)</f>
        <v>1.65</v>
      </c>
      <c r="G6" s="1292"/>
      <c r="H6" s="1006" t="s">
        <v>398</v>
      </c>
      <c r="I6" s="3376" t="s">
        <v>694</v>
      </c>
      <c r="J6" s="293">
        <f ca="1">ROUND(M6*M8*M7*(1-M9)/10000,0)</f>
        <v>0</v>
      </c>
      <c r="K6" s="147" t="s">
        <v>2108</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16594.73</v>
      </c>
      <c r="G7" s="1292"/>
      <c r="H7" s="296"/>
      <c r="I7" s="3377"/>
      <c r="J7" s="298"/>
      <c r="K7" s="299"/>
      <c r="L7" s="294" t="s">
        <v>697</v>
      </c>
      <c r="M7" s="295">
        <f ca="1">F7</f>
        <v>16594.73</v>
      </c>
    </row>
    <row r="8" spans="1:37" ht="18" customHeight="1">
      <c r="A8" s="296"/>
      <c r="B8" s="3377"/>
      <c r="C8" s="298"/>
      <c r="D8" s="299"/>
      <c r="E8" s="294" t="s">
        <v>698</v>
      </c>
      <c r="F8" s="295">
        <f ca="1">INDIRECT("'数据-取费表'!ai"&amp;$G$1)</f>
        <v>365</v>
      </c>
      <c r="G8" s="1292"/>
      <c r="H8" s="296"/>
      <c r="I8" s="3377"/>
      <c r="J8" s="298"/>
      <c r="K8" s="299"/>
      <c r="L8" s="294" t="s">
        <v>698</v>
      </c>
      <c r="M8" s="295">
        <f ca="1">INDIRECT("'数据-取费表'!ai"&amp;$G$1)</f>
        <v>365</v>
      </c>
    </row>
    <row r="9" spans="1:37" ht="18" customHeight="1">
      <c r="A9" s="296"/>
      <c r="B9" s="3378"/>
      <c r="C9" s="298"/>
      <c r="D9" s="299"/>
      <c r="E9" s="294" t="s">
        <v>699</v>
      </c>
      <c r="F9" s="304">
        <f ca="1">INDIRECT("'数据-取费表'!w"&amp;$G$1)</f>
        <v>0.1</v>
      </c>
      <c r="G9" s="1292"/>
      <c r="H9" s="296"/>
      <c r="I9" s="3378"/>
      <c r="J9" s="298"/>
      <c r="K9" s="299"/>
      <c r="L9" s="305" t="s">
        <v>699</v>
      </c>
      <c r="M9" s="306">
        <f ca="1">INDIRECT("'数据-取费表'!ab"&amp;$G$1)</f>
        <v>0</v>
      </c>
    </row>
    <row r="10" spans="1:37" ht="18" customHeight="1">
      <c r="A10" s="1006" t="s">
        <v>402</v>
      </c>
      <c r="B10" s="1274" t="s">
        <v>700</v>
      </c>
      <c r="C10" s="3169">
        <f ca="1">ROUND(IF(F10="押一",C6/12*F11,IF(F10="押二",C6/12*2*F11,IF(F10="押三",C6/12*3*F11,C11*F11))),0)</f>
        <v>1</v>
      </c>
      <c r="D10" s="150" t="s">
        <v>2117</v>
      </c>
      <c r="E10" s="305" t="s">
        <v>701</v>
      </c>
      <c r="F10" s="1053" t="s">
        <v>3421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v>100</v>
      </c>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6469</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6460</v>
      </c>
      <c r="D14" s="1257" t="s">
        <v>708</v>
      </c>
      <c r="E14" s="1255"/>
      <c r="F14" s="311"/>
      <c r="G14" s="1292"/>
      <c r="H14" s="928" t="s">
        <v>398</v>
      </c>
      <c r="I14" s="294" t="s">
        <v>709</v>
      </c>
      <c r="J14" s="21">
        <f ca="1">C29</f>
        <v>8625</v>
      </c>
      <c r="K14" s="12"/>
      <c r="L14" s="759"/>
      <c r="M14" s="760"/>
    </row>
    <row r="15" spans="1:37" s="1304" customFormat="1" ht="18" customHeight="1" thickBot="1">
      <c r="A15" s="928" t="s">
        <v>399</v>
      </c>
      <c r="B15" s="294" t="s">
        <v>710</v>
      </c>
      <c r="C15" s="21">
        <f ca="1">ROUND(C14*F15,0)</f>
        <v>323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v>
      </c>
      <c r="K16" s="1024" t="s">
        <v>715</v>
      </c>
      <c r="L16" s="1025"/>
      <c r="M16" s="1009"/>
    </row>
    <row r="17" spans="1:37" s="1304" customFormat="1" ht="18" customHeight="1">
      <c r="A17" s="928" t="s">
        <v>681</v>
      </c>
      <c r="B17" s="294" t="s">
        <v>716</v>
      </c>
      <c r="C17" s="21">
        <f ca="1">ROUND(F17*(F43+INDIRECT("'数据-取费表'!S"&amp;$G$1))/10000,0)</f>
        <v>332</v>
      </c>
      <c r="D17" s="294" t="s">
        <v>717</v>
      </c>
      <c r="E17" s="294" t="s">
        <v>718</v>
      </c>
      <c r="F17" s="23">
        <f>'数据-取费表'!B35</f>
        <v>200</v>
      </c>
      <c r="G17" s="1303"/>
      <c r="H17" s="928" t="s">
        <v>398</v>
      </c>
      <c r="I17" s="294" t="s">
        <v>719</v>
      </c>
      <c r="J17" s="2140">
        <f ca="1">ROUND(IF(AND(项目基本情况!B11="自然人",项目基本情况!B10="北京市"),J6*M17/(1+'数据-取费表'!C42),J18+J19+J20),2)</f>
        <v>8.2799999999999994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7244</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145</v>
      </c>
      <c r="D20" s="315" t="s">
        <v>729</v>
      </c>
      <c r="E20" s="294" t="s">
        <v>712</v>
      </c>
      <c r="F20" s="314">
        <f>'数据-取费表'!B37</f>
        <v>0.02</v>
      </c>
      <c r="G20" s="1303"/>
      <c r="H20" s="928" t="s">
        <v>680</v>
      </c>
      <c r="I20" s="147" t="s">
        <v>730</v>
      </c>
      <c r="J20" s="22">
        <f ca="1">ROUND(M20*M21/10000,2)</f>
        <v>8.2799999999999994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27600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17.25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-26</v>
      </c>
      <c r="K25" s="1032" t="s">
        <v>753</v>
      </c>
      <c r="L25" s="1033"/>
      <c r="M25" s="1034"/>
    </row>
    <row r="26" spans="1:37">
      <c r="A26" s="928" t="s">
        <v>397</v>
      </c>
      <c r="B26" s="294" t="s">
        <v>754</v>
      </c>
      <c r="C26" s="21">
        <f ca="1">ROUND((C19+C20)*F26,0)</f>
        <v>369</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8625</v>
      </c>
      <c r="D29" s="1029"/>
      <c r="E29" s="1027"/>
      <c r="F29" s="1030"/>
      <c r="G29" s="1303"/>
      <c r="H29" s="325" t="s">
        <v>396</v>
      </c>
      <c r="I29" s="326" t="s">
        <v>768</v>
      </c>
      <c r="J29" s="327">
        <f ca="1">ROUND(J26/(1+F40)^F41,0)</f>
        <v>0</v>
      </c>
      <c r="K29" s="328" t="s">
        <v>769</v>
      </c>
      <c r="L29" s="329"/>
      <c r="M29" s="330">
        <f ca="1">INDIRECT("'数据-取费表'!k"&amp;$G$1)</f>
        <v>16594.73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158.11000000000001</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47.09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102.74</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8.2799999999999994</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27600</v>
      </c>
      <c r="G35" s="1292"/>
      <c r="H35" s="2471"/>
      <c r="I35" s="1305"/>
      <c r="J35" s="1306"/>
      <c r="K35" s="2475"/>
      <c r="L35" s="2474"/>
      <c r="M35" s="2474"/>
    </row>
    <row r="36" spans="1:18" ht="18" customHeight="1">
      <c r="A36" s="1039" t="s">
        <v>402</v>
      </c>
      <c r="B36" s="294" t="s">
        <v>738</v>
      </c>
      <c r="C36" s="21">
        <f ca="1">ROUND(C29*F36,2)</f>
        <v>17.25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6.47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709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12423</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25.73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7486</v>
      </c>
      <c r="D43" s="328" t="s">
        <v>777</v>
      </c>
      <c r="E43" s="329" t="s">
        <v>778</v>
      </c>
      <c r="F43" s="330">
        <f ca="1">INDIRECT("'数据-取费表'!k"&amp;$G$1)</f>
        <v>16594.73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-12881</v>
      </c>
      <c r="D46" s="1313" t="str">
        <f>C2</f>
        <v>万元</v>
      </c>
      <c r="E46" s="1307"/>
      <c r="F46" s="1307"/>
      <c r="I46" s="1314" t="s">
        <v>810</v>
      </c>
      <c r="J46" s="1315"/>
      <c r="K46" s="1316"/>
      <c r="L46" s="1317">
        <f ca="1">IF(M47="住宅",0,IF(L48&gt;J51,L60,J60))</f>
        <v>537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12423</v>
      </c>
      <c r="R47" s="1327" t="s">
        <v>818</v>
      </c>
    </row>
    <row r="48" spans="1:18" s="1292" customFormat="1" ht="28.5" thickBot="1">
      <c r="A48" s="1047" t="s">
        <v>438</v>
      </c>
      <c r="B48" s="292" t="s">
        <v>692</v>
      </c>
      <c r="C48" s="1268">
        <f ca="1">C49+C53+C55</f>
        <v>0</v>
      </c>
      <c r="D48" s="1049"/>
      <c r="E48" s="1050"/>
      <c r="F48" s="908"/>
      <c r="G48" s="681"/>
      <c r="H48" s="682"/>
      <c r="I48" s="1328" t="s">
        <v>819</v>
      </c>
      <c r="J48" s="1329" t="s">
        <v>3423</v>
      </c>
      <c r="K48" s="1330" t="s">
        <v>820</v>
      </c>
      <c r="L48" s="1331">
        <f ca="1">INDIRECT("'数据-取费表'!f"&amp;$G$1)</f>
        <v>25.73</v>
      </c>
      <c r="O48" s="1325" t="s">
        <v>404</v>
      </c>
      <c r="P48" s="1326" t="s">
        <v>821</v>
      </c>
      <c r="Q48" s="1327">
        <f ca="1">J60</f>
        <v>537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2007</v>
      </c>
      <c r="K49" s="1330" t="s">
        <v>824</v>
      </c>
      <c r="L49" s="1333"/>
      <c r="O49" s="1334" t="s">
        <v>405</v>
      </c>
      <c r="P49" s="1326" t="s">
        <v>825</v>
      </c>
      <c r="Q49" s="1327">
        <f ca="1">C29</f>
        <v>8625</v>
      </c>
      <c r="R49" s="1327" t="s">
        <v>818</v>
      </c>
    </row>
    <row r="50" spans="1:18" s="1292" customFormat="1" ht="13.5" thickBot="1">
      <c r="A50" s="922"/>
      <c r="B50" s="925"/>
      <c r="C50" s="1055"/>
      <c r="D50" s="899"/>
      <c r="E50" s="993" t="s">
        <v>697</v>
      </c>
      <c r="F50" s="994">
        <f ca="1">F7</f>
        <v>16594.73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4796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25.73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25.73</v>
      </c>
      <c r="K53" s="3374" t="s">
        <v>837</v>
      </c>
      <c r="L53" s="3375"/>
      <c r="O53" s="1325" t="s">
        <v>409</v>
      </c>
      <c r="P53" s="1326" t="s">
        <v>838</v>
      </c>
      <c r="Q53" s="1327">
        <f ca="1">Q47+Q48</f>
        <v>12960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0.27100000000000002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6469</v>
      </c>
      <c r="D56" s="1352"/>
      <c r="E56" s="1353"/>
      <c r="F56" s="1345"/>
      <c r="I56" s="1354" t="s">
        <v>842</v>
      </c>
      <c r="J56" s="1355" t="s">
        <v>3422</v>
      </c>
      <c r="K56" s="1328" t="s">
        <v>843</v>
      </c>
      <c r="L56" s="1331" t="str">
        <f ca="1">IF(L48&lt;J51,"——",L48-J53)</f>
        <v>——</v>
      </c>
      <c r="O56" s="1325" t="s">
        <v>403</v>
      </c>
      <c r="P56" s="1326" t="s">
        <v>817</v>
      </c>
      <c r="Q56" s="1327">
        <f ca="1">C40+J29</f>
        <v>12423</v>
      </c>
      <c r="R56" s="1327" t="s">
        <v>818</v>
      </c>
    </row>
    <row r="57" spans="1:18" s="1292" customFormat="1" ht="24.75" thickBot="1">
      <c r="A57" s="1356"/>
      <c r="B57" s="896" t="s">
        <v>767</v>
      </c>
      <c r="C57" s="230">
        <f ca="1">C29</f>
        <v>8625</v>
      </c>
      <c r="D57" s="1357"/>
      <c r="E57" s="1358"/>
      <c r="F57" s="1359"/>
      <c r="I57" s="1360" t="s">
        <v>844</v>
      </c>
      <c r="J57" s="1361">
        <f ca="1">IF(OR(M47="住宅",J51&lt;L48,J56="是"),"——",J51-L48)</f>
        <v>16.27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3450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537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8.2799999999999994</v>
      </c>
      <c r="D62" s="911" t="s">
        <v>786</v>
      </c>
      <c r="E62" s="896" t="s">
        <v>787</v>
      </c>
      <c r="F62" s="317">
        <f t="shared" si="0"/>
        <v>3</v>
      </c>
      <c r="I62" s="1367" t="s">
        <v>858</v>
      </c>
      <c r="J62" s="610" t="s">
        <v>859</v>
      </c>
      <c r="K62" s="610" t="s">
        <v>860</v>
      </c>
      <c r="L62" s="610" t="s">
        <v>861</v>
      </c>
      <c r="M62" s="1368" t="s">
        <v>862</v>
      </c>
      <c r="O62" s="1325" t="s">
        <v>409</v>
      </c>
      <c r="P62" s="1326" t="s">
        <v>863</v>
      </c>
      <c r="Q62" s="1327">
        <f ca="1">Q56+Q57</f>
        <v>12423</v>
      </c>
      <c r="R62" s="1327" t="s">
        <v>410</v>
      </c>
    </row>
    <row r="63" spans="1:18" s="1292" customFormat="1" ht="13.5" thickBot="1">
      <c r="A63" s="318"/>
      <c r="B63" s="902"/>
      <c r="C63" s="26"/>
      <c r="D63" s="912"/>
      <c r="E63" s="896" t="s">
        <v>788</v>
      </c>
      <c r="F63" s="295">
        <f t="shared" ca="1" si="0"/>
        <v>27600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17.25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6.47</v>
      </c>
      <c r="D65" s="910" t="s">
        <v>743</v>
      </c>
      <c r="E65" s="896" t="s">
        <v>744</v>
      </c>
      <c r="F65" s="321">
        <f t="shared" ca="1" si="0"/>
        <v>1E-3</v>
      </c>
      <c r="I65" s="1367" t="s">
        <v>867</v>
      </c>
      <c r="J65" s="610">
        <v>40</v>
      </c>
      <c r="K65" s="610">
        <v>30</v>
      </c>
      <c r="L65" s="610">
        <v>50</v>
      </c>
      <c r="M65" s="1369">
        <v>0.02</v>
      </c>
      <c r="O65" s="1325" t="s">
        <v>403</v>
      </c>
      <c r="P65" s="1326" t="s">
        <v>868</v>
      </c>
      <c r="Q65" s="1327">
        <f ca="1">C40+J29</f>
        <v>12423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-32</v>
      </c>
      <c r="D67" s="909" t="s">
        <v>753</v>
      </c>
      <c r="E67" s="914"/>
      <c r="F67" s="915"/>
      <c r="O67" s="1334" t="s">
        <v>405</v>
      </c>
      <c r="P67" s="1326" t="s">
        <v>850</v>
      </c>
      <c r="Q67" s="1370">
        <f ca="1">L51</f>
        <v>4796</v>
      </c>
      <c r="R67" s="1327" t="s">
        <v>870</v>
      </c>
    </row>
    <row r="68" spans="1:18" s="1292" customFormat="1" ht="16.5" thickBot="1">
      <c r="A68" s="893" t="s">
        <v>395</v>
      </c>
      <c r="B68" s="894" t="s">
        <v>774</v>
      </c>
      <c r="C68" s="293">
        <f ca="1">ROUND(C67*(1-((1+F70)/(1+F68))^F69)/(F68-F70),0)</f>
        <v>-458</v>
      </c>
      <c r="D68" s="911" t="s">
        <v>758</v>
      </c>
      <c r="E68" s="896" t="s">
        <v>759</v>
      </c>
      <c r="F68" s="304">
        <f ca="1">F40</f>
        <v>0.05</v>
      </c>
      <c r="O68" s="1334" t="s">
        <v>406</v>
      </c>
      <c r="P68" s="1371" t="s">
        <v>871</v>
      </c>
      <c r="Q68" s="1327">
        <f ca="1">ROUND(Q69-Q70*Q71,0)</f>
        <v>256</v>
      </c>
      <c r="R68" s="1327" t="s">
        <v>414</v>
      </c>
    </row>
    <row r="69" spans="1:18" s="1292" customFormat="1" ht="13.5" thickBot="1">
      <c r="A69" s="897"/>
      <c r="B69" s="898"/>
      <c r="C69" s="298"/>
      <c r="D69" s="916" t="s">
        <v>762</v>
      </c>
      <c r="E69" s="896" t="s">
        <v>763</v>
      </c>
      <c r="F69" s="324">
        <f ca="1">F41</f>
        <v>25.73</v>
      </c>
      <c r="O69" s="1334" t="s">
        <v>411</v>
      </c>
      <c r="P69" s="1371" t="s">
        <v>872</v>
      </c>
      <c r="Q69" s="1327">
        <f ca="1">C39</f>
        <v>709</v>
      </c>
      <c r="R69" s="1327" t="s">
        <v>818</v>
      </c>
    </row>
    <row r="70" spans="1:18" s="1292" customFormat="1" ht="13.5" thickBot="1">
      <c r="A70" s="900"/>
      <c r="B70" s="901"/>
      <c r="C70" s="302"/>
      <c r="D70" s="912"/>
      <c r="E70" s="896" t="s">
        <v>766</v>
      </c>
      <c r="F70" s="991"/>
      <c r="O70" s="1334" t="s">
        <v>412</v>
      </c>
      <c r="P70" s="1371" t="s">
        <v>873</v>
      </c>
      <c r="Q70" s="1327">
        <f ca="1">C13</f>
        <v>6469</v>
      </c>
      <c r="R70" s="1327" t="s">
        <v>818</v>
      </c>
    </row>
    <row r="71" spans="1:18" s="1292" customFormat="1" ht="13.5" thickBot="1">
      <c r="A71" s="917" t="s">
        <v>396</v>
      </c>
      <c r="B71" s="918" t="s">
        <v>776</v>
      </c>
      <c r="C71" s="327">
        <f ca="1">ROUND(C68*10000/F71,0)</f>
        <v>-276</v>
      </c>
      <c r="D71" s="919" t="s">
        <v>777</v>
      </c>
      <c r="E71" s="920" t="s">
        <v>778</v>
      </c>
      <c r="F71" s="330">
        <f ca="1">F43</f>
        <v>16594.73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453</v>
      </c>
      <c r="D75" s="1292"/>
      <c r="E75" s="1292"/>
      <c r="F75" s="1292"/>
      <c r="K75" s="1309"/>
      <c r="L75" s="1292"/>
      <c r="O75" s="1325" t="s">
        <v>409</v>
      </c>
      <c r="P75" s="1326" t="s">
        <v>838</v>
      </c>
      <c r="Q75" s="1327">
        <f ca="1">Q65+Q66</f>
        <v>12423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0.36099999999999999</v>
      </c>
    </row>
    <row r="80" spans="1:18">
      <c r="B80" s="331" t="s">
        <v>800</v>
      </c>
      <c r="C80" s="266">
        <f ca="1">ROUND(C75/C39,3)</f>
        <v>0.63900000000000001</v>
      </c>
    </row>
    <row r="81" spans="2:3">
      <c r="B81" s="262" t="s">
        <v>801</v>
      </c>
      <c r="C81" s="230"/>
    </row>
    <row r="82" spans="2:3">
      <c r="B82" s="265" t="s">
        <v>802</v>
      </c>
      <c r="C82" s="267">
        <f ca="1">1-C83</f>
        <v>0.47899999999999998</v>
      </c>
    </row>
    <row r="83" spans="2:3">
      <c r="B83" s="265" t="s">
        <v>803</v>
      </c>
      <c r="C83" s="266">
        <f ca="1">ROUND(C13/C40,3)</f>
        <v>0.52100000000000002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 sqref="H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6" t="s">
        <v>694</v>
      </c>
      <c r="C6" s="1011">
        <f ca="1">ROUND(F6*F8*F7*(1-F9),0)</f>
        <v>0</v>
      </c>
      <c r="D6" s="147" t="s">
        <v>2106</v>
      </c>
      <c r="E6" s="294" t="s">
        <v>696</v>
      </c>
      <c r="F6" s="295">
        <f ca="1">INDIRECT("'数据-取费表'!u"&amp;$G$1)</f>
        <v>0</v>
      </c>
      <c r="G6" s="1292"/>
      <c r="H6" s="1006" t="s">
        <v>398</v>
      </c>
      <c r="I6" s="3376" t="s">
        <v>694</v>
      </c>
      <c r="J6" s="293">
        <f ca="1">ROUND(M6*M8*M7*(1-M9),0)</f>
        <v>0</v>
      </c>
      <c r="K6" s="1284" t="s">
        <v>2107</v>
      </c>
      <c r="L6" s="294" t="s">
        <v>696</v>
      </c>
      <c r="M6" s="295">
        <f ca="1">INDIRECT("'数据-取费表'!z"&amp;$G$1)</f>
        <v>0</v>
      </c>
    </row>
    <row r="7" spans="1:37" ht="18" customHeight="1">
      <c r="A7" s="1010"/>
      <c r="B7" s="3377"/>
      <c r="C7" s="1012"/>
      <c r="D7" s="299"/>
      <c r="E7" s="1013" t="s">
        <v>697</v>
      </c>
      <c r="F7" s="295">
        <f ca="1">IF(INDIRECT("'数据-取费表'!ah"&amp;$G$1)="",INDIRECT("'数据-取费表'!k"&amp;$G$1),INDIRECT("'数据-取费表'!ah"&amp;$G$1))</f>
        <v>0</v>
      </c>
      <c r="G7" s="1292"/>
      <c r="H7" s="296"/>
      <c r="I7" s="3377"/>
      <c r="J7" s="298"/>
      <c r="K7" s="299"/>
      <c r="L7" s="294" t="s">
        <v>697</v>
      </c>
      <c r="M7" s="295">
        <f ca="1">F7</f>
        <v>0</v>
      </c>
    </row>
    <row r="8" spans="1:37" ht="18" customHeight="1">
      <c r="A8" s="296"/>
      <c r="B8" s="3377"/>
      <c r="C8" s="298"/>
      <c r="D8" s="299"/>
      <c r="E8" s="294" t="s">
        <v>698</v>
      </c>
      <c r="F8" s="295">
        <f ca="1">INDIRECT("'数据-取费表'!ai"&amp;$G$1)</f>
        <v>0</v>
      </c>
      <c r="G8" s="1292"/>
      <c r="H8" s="296"/>
      <c r="I8" s="3377"/>
      <c r="J8" s="298"/>
      <c r="K8" s="299"/>
      <c r="L8" s="294" t="s">
        <v>698</v>
      </c>
      <c r="M8" s="295">
        <f ca="1">INDIRECT("'数据-取费表'!ai"&amp;$G$1)</f>
        <v>0</v>
      </c>
    </row>
    <row r="9" spans="1:37" ht="18" customHeight="1">
      <c r="A9" s="296"/>
      <c r="B9" s="3378"/>
      <c r="C9" s="298"/>
      <c r="D9" s="299"/>
      <c r="E9" s="294" t="s">
        <v>699</v>
      </c>
      <c r="F9" s="304">
        <f ca="1">INDIRECT("'数据-取费表'!w"&amp;$G$1)</f>
        <v>0</v>
      </c>
      <c r="G9" s="1292"/>
      <c r="H9" s="296"/>
      <c r="I9" s="337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4" t="s">
        <v>837</v>
      </c>
      <c r="L53" s="337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3" sqref="H3"/>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9" t="s">
        <v>2308</v>
      </c>
      <c r="K2" s="3380"/>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1" t="s">
        <v>2318</v>
      </c>
      <c r="K3" s="3382"/>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1" t="s">
        <v>2320</v>
      </c>
      <c r="K4" s="3382"/>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3" t="s">
        <v>2324</v>
      </c>
      <c r="B6" s="3384"/>
      <c r="C6" s="3385"/>
      <c r="D6" s="2622"/>
      <c r="E6" s="2623"/>
      <c r="F6" s="2624"/>
      <c r="G6" s="2625"/>
      <c r="H6" s="2600"/>
      <c r="I6" s="2601"/>
      <c r="J6" s="3386">
        <v>1</v>
      </c>
      <c r="K6" s="3387"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86"/>
      <c r="K7" s="3388"/>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0" t="s">
        <v>2338</v>
      </c>
      <c r="C8" s="3391"/>
      <c r="D8" s="2641" t="s">
        <v>2339</v>
      </c>
      <c r="E8" s="2642" t="s">
        <v>2340</v>
      </c>
      <c r="F8" s="2643" t="s">
        <v>2341</v>
      </c>
      <c r="G8" s="2644"/>
      <c r="H8" s="2600"/>
      <c r="I8" s="2601"/>
      <c r="J8" s="3386"/>
      <c r="K8" s="3388"/>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0" t="s">
        <v>2344</v>
      </c>
      <c r="C9" s="3391"/>
      <c r="D9" s="2641">
        <f>ROUND(D6*E9,0)</f>
        <v>0</v>
      </c>
      <c r="E9" s="2645"/>
      <c r="F9" s="2646" t="s">
        <v>2345</v>
      </c>
      <c r="G9" s="2625"/>
      <c r="H9" s="2600"/>
      <c r="I9" s="2601"/>
      <c r="J9" s="3386"/>
      <c r="K9" s="3388"/>
      <c r="L9" s="2635" t="s">
        <v>2346</v>
      </c>
      <c r="M9" s="2636"/>
      <c r="N9" s="2612"/>
      <c r="O9" s="2637"/>
      <c r="P9" s="2637"/>
      <c r="Q9" s="2638">
        <v>365</v>
      </c>
      <c r="R9" s="2639">
        <f t="shared" si="0"/>
        <v>0</v>
      </c>
      <c r="S9" s="2593"/>
      <c r="T9" s="2593"/>
      <c r="U9" s="2593"/>
      <c r="V9" s="2601"/>
    </row>
    <row r="10" spans="1:22" s="2605" customFormat="1" ht="13.15" customHeight="1">
      <c r="A10" s="2640">
        <v>2</v>
      </c>
      <c r="B10" s="3390" t="s">
        <v>2347</v>
      </c>
      <c r="C10" s="3391"/>
      <c r="D10" s="2641">
        <f>ROUND(D6*E10,0)</f>
        <v>0</v>
      </c>
      <c r="E10" s="2645"/>
      <c r="F10" s="2646" t="s">
        <v>2348</v>
      </c>
      <c r="G10" s="2625"/>
      <c r="H10" s="2600"/>
      <c r="I10" s="2601"/>
      <c r="J10" s="3386"/>
      <c r="K10" s="3388"/>
      <c r="L10" s="2635" t="s">
        <v>2349</v>
      </c>
      <c r="M10" s="2636"/>
      <c r="N10" s="2612"/>
      <c r="O10" s="2637"/>
      <c r="P10" s="2637"/>
      <c r="Q10" s="2638">
        <v>365</v>
      </c>
      <c r="R10" s="2639">
        <f t="shared" si="0"/>
        <v>0</v>
      </c>
      <c r="S10" s="2593"/>
      <c r="T10" s="2593"/>
      <c r="U10" s="2593"/>
      <c r="V10" s="2601"/>
    </row>
    <row r="11" spans="1:22" s="2605" customFormat="1" ht="13.15" customHeight="1">
      <c r="A11" s="2640">
        <v>3</v>
      </c>
      <c r="B11" s="3390" t="s">
        <v>2350</v>
      </c>
      <c r="C11" s="3391"/>
      <c r="D11" s="2641">
        <f>D12+D14+D15+D16</f>
        <v>0</v>
      </c>
      <c r="E11" s="2647" t="e">
        <f>D11/D6</f>
        <v>#DIV/0!</v>
      </c>
      <c r="F11" s="2643"/>
      <c r="G11" s="2644"/>
      <c r="H11" s="2600"/>
      <c r="I11" s="2601"/>
      <c r="J11" s="3386"/>
      <c r="K11" s="3388"/>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2" t="s">
        <v>2353</v>
      </c>
      <c r="C12" s="3393"/>
      <c r="D12" s="2649">
        <f>ROUND(D13*1.2%*(1-30%),0)</f>
        <v>0</v>
      </c>
      <c r="E12" s="2650">
        <v>1.2E-2</v>
      </c>
      <c r="F12" s="2643" t="s">
        <v>2354</v>
      </c>
      <c r="G12" s="2644"/>
      <c r="H12" s="2600"/>
      <c r="I12" s="2601"/>
      <c r="J12" s="3386"/>
      <c r="K12" s="3388"/>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86"/>
      <c r="K13" s="3388"/>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2" t="s">
        <v>2359</v>
      </c>
      <c r="C14" s="3393"/>
      <c r="D14" s="2649">
        <f>ROUND(E14*B5/10000,0)</f>
        <v>0</v>
      </c>
      <c r="E14" s="2638"/>
      <c r="F14" s="2643" t="s">
        <v>2360</v>
      </c>
      <c r="G14" s="2644"/>
      <c r="H14" s="2600"/>
      <c r="I14" s="2601"/>
      <c r="J14" s="3386"/>
      <c r="K14" s="3389"/>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92" t="s">
        <v>2363</v>
      </c>
      <c r="C15" s="3393"/>
      <c r="D15" s="2649">
        <f>ROUND(D6*E15,0)</f>
        <v>0</v>
      </c>
      <c r="E15" s="2650">
        <v>5.5E-2</v>
      </c>
      <c r="F15" s="2643" t="s">
        <v>2364</v>
      </c>
      <c r="G15" s="2625"/>
      <c r="H15" s="2600"/>
      <c r="I15" s="2601"/>
      <c r="J15" s="3386">
        <v>2</v>
      </c>
      <c r="K15" s="3387"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2" t="s">
        <v>2372</v>
      </c>
      <c r="C16" s="3393"/>
      <c r="D16" s="2660">
        <f>D6*E16</f>
        <v>0</v>
      </c>
      <c r="E16" s="2661"/>
      <c r="F16" s="2646" t="s">
        <v>2373</v>
      </c>
      <c r="G16" s="2625"/>
      <c r="H16" s="2600"/>
      <c r="I16" s="2601"/>
      <c r="J16" s="3386"/>
      <c r="K16" s="3388"/>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4" t="s">
        <v>2375</v>
      </c>
      <c r="C17" s="3395"/>
      <c r="D17" s="2663">
        <f>ROUND(D6*E17,0)</f>
        <v>0</v>
      </c>
      <c r="E17" s="2664"/>
      <c r="F17" s="2665" t="s">
        <v>2376</v>
      </c>
      <c r="G17" s="2625"/>
      <c r="H17" s="2600"/>
      <c r="I17" s="2601"/>
      <c r="J17" s="3386"/>
      <c r="K17" s="3388"/>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86"/>
      <c r="K18" s="3388"/>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6"/>
      <c r="K19" s="3389"/>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6">
        <v>3</v>
      </c>
      <c r="K20" s="3387"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6"/>
      <c r="K21" s="3388"/>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6"/>
      <c r="K22" s="3388"/>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86"/>
      <c r="K23" s="3388"/>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6"/>
      <c r="K24" s="3389"/>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9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9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9" t="s">
        <v>2308</v>
      </c>
      <c r="K32" s="3380"/>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1" t="s">
        <v>2318</v>
      </c>
      <c r="K33" s="3382"/>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1" t="s">
        <v>2320</v>
      </c>
      <c r="K34" s="338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86">
        <v>1</v>
      </c>
      <c r="K36" s="3387"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6"/>
      <c r="K37" s="3388"/>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6"/>
      <c r="K38" s="3388"/>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86"/>
      <c r="K39" s="3388"/>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86"/>
      <c r="K40" s="3389"/>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6">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9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3" sqref="H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12960</v>
      </c>
      <c r="C2" s="1729" t="s">
        <v>1651</v>
      </c>
      <c r="D2" s="1730" t="s">
        <v>1652</v>
      </c>
      <c r="E2" s="2393">
        <f>SUM(E6:E13)</f>
        <v>16594.73</v>
      </c>
      <c r="F2" s="2480"/>
      <c r="G2" s="459"/>
      <c r="H2" s="459"/>
      <c r="I2" s="459"/>
      <c r="J2" s="459"/>
      <c r="K2" s="459"/>
      <c r="L2" s="459"/>
      <c r="M2" s="459"/>
      <c r="N2" s="459"/>
      <c r="O2" s="459"/>
      <c r="P2" s="459"/>
      <c r="Q2" s="459"/>
      <c r="R2" s="459"/>
      <c r="S2" s="459"/>
    </row>
    <row r="3" spans="1:22" ht="15.75">
      <c r="A3" s="1728" t="s">
        <v>686</v>
      </c>
      <c r="B3" s="2387">
        <f ca="1">ROUND(B2*10000/E2,0)</f>
        <v>7810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8" t="s">
        <v>1654</v>
      </c>
      <c r="C5" s="339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12960</v>
      </c>
      <c r="C6" s="1729" t="s">
        <v>1651</v>
      </c>
      <c r="D6" s="2480"/>
      <c r="E6" s="2392">
        <f>IF(OR(A6=0,F6="否"),0,'数据-取费表'!K6+'数据-取费表'!S6)</f>
        <v>16594.73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16594.73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8" t="s">
        <v>1667</v>
      </c>
      <c r="D4" s="3419"/>
      <c r="E4" s="3420" t="s">
        <v>1668</v>
      </c>
      <c r="F4" s="3421"/>
      <c r="G4" s="3418" t="s">
        <v>1669</v>
      </c>
      <c r="H4" s="3419"/>
      <c r="I4" s="3418" t="s">
        <v>1670</v>
      </c>
      <c r="J4" s="3419"/>
      <c r="K4" s="1744" t="s">
        <v>1671</v>
      </c>
      <c r="L4" s="2487"/>
      <c r="M4" s="2488"/>
      <c r="N4" s="2488"/>
      <c r="O4" s="2488"/>
      <c r="P4" s="3422" t="s">
        <v>1672</v>
      </c>
      <c r="Q4" s="3423"/>
      <c r="R4" s="3405" t="s">
        <v>1668</v>
      </c>
      <c r="S4" s="3406"/>
      <c r="T4" s="3405" t="s">
        <v>1669</v>
      </c>
      <c r="U4" s="3406"/>
      <c r="V4" s="3430" t="s">
        <v>1670</v>
      </c>
      <c r="W4" s="3430"/>
      <c r="X4" s="1265"/>
      <c r="Y4" s="3405" t="s">
        <v>1672</v>
      </c>
      <c r="Z4" s="3406"/>
      <c r="AA4" s="3400" t="s">
        <v>1668</v>
      </c>
      <c r="AB4" s="3400" t="s">
        <v>1669</v>
      </c>
      <c r="AC4" s="3400" t="s">
        <v>1670</v>
      </c>
    </row>
    <row r="5" spans="1:29" ht="15">
      <c r="A5" s="348"/>
      <c r="B5" s="349"/>
      <c r="C5" s="3411" t="s">
        <v>1673</v>
      </c>
      <c r="D5" s="3412"/>
      <c r="E5" s="3409" t="s">
        <v>1674</v>
      </c>
      <c r="F5" s="3410"/>
      <c r="G5" s="3411" t="s">
        <v>1675</v>
      </c>
      <c r="H5" s="3412"/>
      <c r="I5" s="3411" t="s">
        <v>1676</v>
      </c>
      <c r="J5" s="3412"/>
      <c r="K5" s="1745"/>
      <c r="L5" s="2487"/>
      <c r="M5" s="2488"/>
      <c r="N5" s="2488"/>
      <c r="O5" s="2488"/>
      <c r="P5" s="3424"/>
      <c r="Q5" s="3425"/>
      <c r="R5" s="3407"/>
      <c r="S5" s="3408"/>
      <c r="T5" s="3407"/>
      <c r="U5" s="3408"/>
      <c r="V5" s="3430"/>
      <c r="W5" s="3430"/>
      <c r="X5" s="1265"/>
      <c r="Y5" s="3407"/>
      <c r="Z5" s="3408"/>
      <c r="AA5" s="3401"/>
      <c r="AB5" s="3401"/>
      <c r="AC5" s="3401"/>
    </row>
    <row r="6" spans="1:29" ht="15.75" thickBot="1">
      <c r="A6" s="350"/>
      <c r="B6" s="351"/>
      <c r="C6" s="3413" t="s">
        <v>1677</v>
      </c>
      <c r="D6" s="3414"/>
      <c r="E6" s="3415" t="s">
        <v>1677</v>
      </c>
      <c r="F6" s="3416"/>
      <c r="G6" s="3413" t="s">
        <v>1677</v>
      </c>
      <c r="H6" s="3414"/>
      <c r="I6" s="3413" t="s">
        <v>1677</v>
      </c>
      <c r="J6" s="3414"/>
      <c r="K6" s="1745" t="s">
        <v>1678</v>
      </c>
      <c r="L6" s="2487"/>
      <c r="M6" s="2488"/>
      <c r="N6" s="2488"/>
      <c r="O6" s="2488"/>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31"/>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7"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7"/>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7"/>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7"/>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7"/>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3" t="s">
        <v>1691</v>
      </c>
      <c r="Q15" s="1263" t="str">
        <f t="shared" si="6"/>
        <v>居住社区成熟度</v>
      </c>
      <c r="R15" s="667" t="s">
        <v>18</v>
      </c>
      <c r="S15" s="668">
        <f t="shared" si="0"/>
        <v>100</v>
      </c>
      <c r="T15" s="667" t="s">
        <v>18</v>
      </c>
      <c r="U15" s="668">
        <f t="shared" si="1"/>
        <v>100</v>
      </c>
      <c r="V15" s="667" t="s">
        <v>18</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4"/>
      <c r="Q16" s="1263"/>
      <c r="R16" s="667"/>
      <c r="S16" s="668"/>
      <c r="T16" s="667"/>
      <c r="U16" s="668"/>
      <c r="V16" s="667"/>
      <c r="W16" s="668"/>
      <c r="X16" s="1265"/>
      <c r="Y16" s="343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4"/>
      <c r="Q17" s="1263" t="str">
        <f>B17</f>
        <v>交通便捷度</v>
      </c>
      <c r="R17" s="667" t="s">
        <v>18</v>
      </c>
      <c r="S17" s="668">
        <f>F17</f>
        <v>100</v>
      </c>
      <c r="T17" s="667" t="s">
        <v>18</v>
      </c>
      <c r="U17" s="668">
        <f>H17</f>
        <v>100</v>
      </c>
      <c r="V17" s="667" t="s">
        <v>18</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4"/>
      <c r="Q18" s="1263"/>
      <c r="R18" s="667"/>
      <c r="S18" s="668"/>
      <c r="T18" s="667"/>
      <c r="U18" s="668"/>
      <c r="V18" s="667"/>
      <c r="W18" s="668"/>
      <c r="X18" s="1265"/>
      <c r="Y18" s="343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4"/>
      <c r="Q19" s="1263" t="str">
        <f>B19</f>
        <v>公共配套设施</v>
      </c>
      <c r="R19" s="667" t="s">
        <v>18</v>
      </c>
      <c r="S19" s="668">
        <f>F19</f>
        <v>100</v>
      </c>
      <c r="T19" s="667" t="s">
        <v>18</v>
      </c>
      <c r="U19" s="668">
        <f>H19</f>
        <v>100</v>
      </c>
      <c r="V19" s="667" t="s">
        <v>18</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4"/>
      <c r="Q20" s="1263"/>
      <c r="R20" s="667"/>
      <c r="S20" s="668"/>
      <c r="T20" s="667"/>
      <c r="U20" s="668"/>
      <c r="V20" s="667"/>
      <c r="W20" s="668"/>
      <c r="X20" s="1265"/>
      <c r="Y20" s="343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4"/>
      <c r="Q22" s="1263"/>
      <c r="R22" s="667"/>
      <c r="S22" s="668"/>
      <c r="T22" s="667"/>
      <c r="U22" s="668"/>
      <c r="V22" s="667"/>
      <c r="W22" s="668"/>
      <c r="X22" s="1265"/>
      <c r="Y22" s="343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4"/>
      <c r="Q23" s="1263" t="str">
        <f>B23</f>
        <v>自然及人文环境</v>
      </c>
      <c r="R23" s="667" t="s">
        <v>18</v>
      </c>
      <c r="S23" s="668">
        <f>F23</f>
        <v>100</v>
      </c>
      <c r="T23" s="667" t="s">
        <v>18</v>
      </c>
      <c r="U23" s="668">
        <f>H23</f>
        <v>100</v>
      </c>
      <c r="V23" s="667" t="s">
        <v>18</v>
      </c>
      <c r="W23" s="668">
        <f>J23</f>
        <v>100</v>
      </c>
      <c r="X23" s="1265"/>
      <c r="Y23" s="343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4"/>
      <c r="Q24" s="1263"/>
      <c r="R24" s="667"/>
      <c r="S24" s="668"/>
      <c r="T24" s="667"/>
      <c r="U24" s="668"/>
      <c r="V24" s="667"/>
      <c r="W24" s="668"/>
      <c r="X24" s="1265"/>
      <c r="Y24" s="343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4"/>
      <c r="Q26" s="1263" t="str">
        <f t="shared" si="11"/>
        <v>朝向</v>
      </c>
      <c r="R26" s="667" t="s">
        <v>18</v>
      </c>
      <c r="S26" s="668">
        <f t="shared" si="12"/>
        <v>100</v>
      </c>
      <c r="T26" s="667" t="s">
        <v>18</v>
      </c>
      <c r="U26" s="668">
        <f t="shared" si="13"/>
        <v>100</v>
      </c>
      <c r="V26" s="667" t="s">
        <v>18</v>
      </c>
      <c r="W26" s="668">
        <f t="shared" si="14"/>
        <v>100</v>
      </c>
      <c r="X26" s="1265"/>
      <c r="Y26" s="343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4"/>
      <c r="Q27" s="530">
        <f t="shared" si="11"/>
        <v>111</v>
      </c>
      <c r="R27" s="664" t="s">
        <v>18</v>
      </c>
      <c r="S27" s="665">
        <f t="shared" si="12"/>
        <v>100</v>
      </c>
      <c r="T27" s="664" t="s">
        <v>18</v>
      </c>
      <c r="U27" s="665">
        <f t="shared" si="13"/>
        <v>100</v>
      </c>
      <c r="V27" s="664" t="s">
        <v>18</v>
      </c>
      <c r="W27" s="665">
        <f t="shared" si="14"/>
        <v>100</v>
      </c>
      <c r="X27" s="666"/>
      <c r="Y27" s="343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4"/>
      <c r="Q28" s="1263">
        <f t="shared" si="11"/>
        <v>111</v>
      </c>
      <c r="R28" s="667" t="s">
        <v>18</v>
      </c>
      <c r="S28" s="668">
        <f t="shared" si="12"/>
        <v>100</v>
      </c>
      <c r="T28" s="667" t="s">
        <v>18</v>
      </c>
      <c r="U28" s="668">
        <f t="shared" si="13"/>
        <v>100</v>
      </c>
      <c r="V28" s="667" t="s">
        <v>18</v>
      </c>
      <c r="W28" s="668">
        <f t="shared" si="14"/>
        <v>100</v>
      </c>
      <c r="X28" s="1265"/>
      <c r="Y28" s="343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4"/>
      <c r="Q29" s="1263">
        <f t="shared" si="11"/>
        <v>111</v>
      </c>
      <c r="R29" s="667" t="s">
        <v>18</v>
      </c>
      <c r="S29" s="668">
        <f t="shared" si="12"/>
        <v>100</v>
      </c>
      <c r="T29" s="667" t="s">
        <v>18</v>
      </c>
      <c r="U29" s="668">
        <f t="shared" si="13"/>
        <v>100</v>
      </c>
      <c r="V29" s="667" t="s">
        <v>18</v>
      </c>
      <c r="W29" s="668">
        <f t="shared" si="14"/>
        <v>100</v>
      </c>
      <c r="X29" s="1265"/>
      <c r="Y29" s="343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4"/>
      <c r="Q30" s="1263">
        <f t="shared" si="11"/>
        <v>111</v>
      </c>
      <c r="R30" s="667" t="s">
        <v>18</v>
      </c>
      <c r="S30" s="668">
        <f t="shared" si="12"/>
        <v>100</v>
      </c>
      <c r="T30" s="667" t="s">
        <v>18</v>
      </c>
      <c r="U30" s="668">
        <f t="shared" si="13"/>
        <v>100</v>
      </c>
      <c r="V30" s="667" t="s">
        <v>18</v>
      </c>
      <c r="W30" s="668">
        <f t="shared" si="14"/>
        <v>100</v>
      </c>
      <c r="X30" s="1265"/>
      <c r="Y30" s="343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4"/>
      <c r="Q31" s="1263">
        <f t="shared" si="11"/>
        <v>111</v>
      </c>
      <c r="R31" s="667" t="s">
        <v>18</v>
      </c>
      <c r="S31" s="668">
        <f t="shared" si="12"/>
        <v>100</v>
      </c>
      <c r="T31" s="667" t="s">
        <v>18</v>
      </c>
      <c r="U31" s="668">
        <f t="shared" si="13"/>
        <v>100</v>
      </c>
      <c r="V31" s="667" t="s">
        <v>18</v>
      </c>
      <c r="W31" s="668">
        <f t="shared" si="14"/>
        <v>100</v>
      </c>
      <c r="X31" s="1265"/>
      <c r="Y31" s="343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8" t="s">
        <v>1696</v>
      </c>
      <c r="Q32" s="1263" t="str">
        <f t="shared" si="11"/>
        <v>建筑类型</v>
      </c>
      <c r="R32" s="667" t="s">
        <v>18</v>
      </c>
      <c r="S32" s="668">
        <f t="shared" si="12"/>
        <v>100</v>
      </c>
      <c r="T32" s="667" t="s">
        <v>18</v>
      </c>
      <c r="U32" s="668">
        <f t="shared" si="13"/>
        <v>100</v>
      </c>
      <c r="V32" s="667" t="s">
        <v>18</v>
      </c>
      <c r="W32" s="668">
        <f t="shared" si="14"/>
        <v>100</v>
      </c>
      <c r="X32" s="1265"/>
      <c r="Y32" s="344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9"/>
      <c r="Q33" s="531" t="str">
        <f t="shared" si="11"/>
        <v>项目建筑规模</v>
      </c>
      <c r="R33" s="669" t="s">
        <v>18</v>
      </c>
      <c r="S33" s="670" t="e">
        <f t="shared" si="12"/>
        <v>#N/A</v>
      </c>
      <c r="T33" s="669" t="s">
        <v>18</v>
      </c>
      <c r="U33" s="670" t="e">
        <f t="shared" si="13"/>
        <v>#N/A</v>
      </c>
      <c r="V33" s="669" t="s">
        <v>18</v>
      </c>
      <c r="W33" s="670" t="e">
        <f t="shared" si="14"/>
        <v>#N/A</v>
      </c>
      <c r="X33" s="671"/>
      <c r="Y33" s="344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9"/>
      <c r="Q34" s="1263" t="str">
        <f t="shared" si="11"/>
        <v>建筑结构</v>
      </c>
      <c r="R34" s="667" t="s">
        <v>18</v>
      </c>
      <c r="S34" s="668">
        <f t="shared" si="12"/>
        <v>100</v>
      </c>
      <c r="T34" s="667" t="s">
        <v>18</v>
      </c>
      <c r="U34" s="668">
        <f t="shared" si="13"/>
        <v>100</v>
      </c>
      <c r="V34" s="667" t="s">
        <v>18</v>
      </c>
      <c r="W34" s="668">
        <f t="shared" si="14"/>
        <v>100</v>
      </c>
      <c r="X34" s="1265"/>
      <c r="Y34" s="344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9"/>
      <c r="Q35" s="1263" t="str">
        <f t="shared" si="11"/>
        <v>建筑品质</v>
      </c>
      <c r="R35" s="667" t="s">
        <v>18</v>
      </c>
      <c r="S35" s="668">
        <f t="shared" si="12"/>
        <v>100</v>
      </c>
      <c r="T35" s="667" t="s">
        <v>18</v>
      </c>
      <c r="U35" s="668">
        <f t="shared" si="13"/>
        <v>100</v>
      </c>
      <c r="V35" s="667" t="s">
        <v>18</v>
      </c>
      <c r="W35" s="668">
        <f t="shared" si="14"/>
        <v>100</v>
      </c>
      <c r="X35" s="1265"/>
      <c r="Y35" s="344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9"/>
      <c r="Q36" s="1263" t="str">
        <f t="shared" si="11"/>
        <v>公共部分装修</v>
      </c>
      <c r="R36" s="667" t="s">
        <v>18</v>
      </c>
      <c r="S36" s="668">
        <f t="shared" si="12"/>
        <v>100</v>
      </c>
      <c r="T36" s="667" t="s">
        <v>18</v>
      </c>
      <c r="U36" s="668">
        <f t="shared" si="13"/>
        <v>100</v>
      </c>
      <c r="V36" s="667" t="s">
        <v>18</v>
      </c>
      <c r="W36" s="668">
        <f t="shared" si="14"/>
        <v>100</v>
      </c>
      <c r="X36" s="1265"/>
      <c r="Y36" s="344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9"/>
      <c r="Q37" s="530" t="str">
        <f t="shared" si="11"/>
        <v>成新度</v>
      </c>
      <c r="R37" s="664" t="s">
        <v>18</v>
      </c>
      <c r="S37" s="665" t="e">
        <f t="shared" si="12"/>
        <v>#N/A</v>
      </c>
      <c r="T37" s="664" t="s">
        <v>18</v>
      </c>
      <c r="U37" s="665" t="e">
        <f t="shared" si="13"/>
        <v>#N/A</v>
      </c>
      <c r="V37" s="664" t="s">
        <v>18</v>
      </c>
      <c r="W37" s="665" t="e">
        <f t="shared" si="14"/>
        <v>#N/A</v>
      </c>
      <c r="X37" s="666"/>
      <c r="Y37" s="344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9" t="s">
        <v>1696</v>
      </c>
      <c r="Q38" s="1263" t="str">
        <f t="shared" si="11"/>
        <v>物业管理</v>
      </c>
      <c r="R38" s="667" t="s">
        <v>18</v>
      </c>
      <c r="S38" s="668">
        <f t="shared" si="12"/>
        <v>100</v>
      </c>
      <c r="T38" s="667" t="s">
        <v>18</v>
      </c>
      <c r="U38" s="668">
        <f t="shared" si="13"/>
        <v>100</v>
      </c>
      <c r="V38" s="667" t="s">
        <v>18</v>
      </c>
      <c r="W38" s="668">
        <f t="shared" si="14"/>
        <v>100</v>
      </c>
      <c r="X38" s="1265"/>
      <c r="Y38" s="344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9"/>
      <c r="Q39" s="1263" t="str">
        <f t="shared" si="11"/>
        <v>市政基础设施</v>
      </c>
      <c r="R39" s="667" t="s">
        <v>18</v>
      </c>
      <c r="S39" s="668">
        <f t="shared" si="12"/>
        <v>100</v>
      </c>
      <c r="T39" s="667" t="s">
        <v>18</v>
      </c>
      <c r="U39" s="668">
        <f t="shared" si="13"/>
        <v>100</v>
      </c>
      <c r="V39" s="667" t="s">
        <v>18</v>
      </c>
      <c r="W39" s="668">
        <f t="shared" si="14"/>
        <v>100</v>
      </c>
      <c r="X39" s="1265"/>
      <c r="Y39" s="344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9"/>
      <c r="Q40" s="1263" t="str">
        <f t="shared" si="11"/>
        <v>房型</v>
      </c>
      <c r="R40" s="667" t="s">
        <v>18</v>
      </c>
      <c r="S40" s="668">
        <f t="shared" si="12"/>
        <v>100</v>
      </c>
      <c r="T40" s="667" t="s">
        <v>18</v>
      </c>
      <c r="U40" s="668">
        <f t="shared" si="13"/>
        <v>100</v>
      </c>
      <c r="V40" s="667" t="s">
        <v>18</v>
      </c>
      <c r="W40" s="668">
        <f t="shared" si="14"/>
        <v>100</v>
      </c>
      <c r="X40" s="1265"/>
      <c r="Y40" s="344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9"/>
      <c r="Q41" s="531" t="str">
        <f t="shared" si="11"/>
        <v>单套/主力户型建筑面积</v>
      </c>
      <c r="R41" s="669" t="s">
        <v>18</v>
      </c>
      <c r="S41" s="670">
        <f t="shared" si="12"/>
        <v>100</v>
      </c>
      <c r="T41" s="669" t="s">
        <v>18</v>
      </c>
      <c r="U41" s="670">
        <f t="shared" si="13"/>
        <v>100</v>
      </c>
      <c r="V41" s="669" t="s">
        <v>18</v>
      </c>
      <c r="W41" s="670">
        <f t="shared" si="14"/>
        <v>100</v>
      </c>
      <c r="X41" s="671"/>
      <c r="Y41" s="344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9"/>
      <c r="Q42" s="1263" t="str">
        <f t="shared" si="11"/>
        <v>内部装修</v>
      </c>
      <c r="R42" s="667" t="s">
        <v>18</v>
      </c>
      <c r="S42" s="668">
        <f t="shared" si="12"/>
        <v>100</v>
      </c>
      <c r="T42" s="667" t="s">
        <v>18</v>
      </c>
      <c r="U42" s="668">
        <f t="shared" si="13"/>
        <v>100</v>
      </c>
      <c r="V42" s="667" t="s">
        <v>18</v>
      </c>
      <c r="W42" s="668">
        <f t="shared" si="14"/>
        <v>100</v>
      </c>
      <c r="X42" s="1265"/>
      <c r="Y42" s="344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9"/>
      <c r="Q43" s="1263" t="str">
        <f t="shared" si="11"/>
        <v>内部装修维护情况</v>
      </c>
      <c r="R43" s="667" t="s">
        <v>18</v>
      </c>
      <c r="S43" s="668">
        <f t="shared" si="12"/>
        <v>100</v>
      </c>
      <c r="T43" s="667" t="s">
        <v>18</v>
      </c>
      <c r="U43" s="668">
        <f t="shared" si="13"/>
        <v>100</v>
      </c>
      <c r="V43" s="667" t="s">
        <v>18</v>
      </c>
      <c r="W43" s="668">
        <f t="shared" si="14"/>
        <v>100</v>
      </c>
      <c r="X43" s="1265"/>
      <c r="Y43" s="344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9"/>
      <c r="Q44" s="530">
        <f t="shared" si="11"/>
        <v>111</v>
      </c>
      <c r="R44" s="664" t="s">
        <v>18</v>
      </c>
      <c r="S44" s="665">
        <f t="shared" si="12"/>
        <v>100</v>
      </c>
      <c r="T44" s="664" t="s">
        <v>18</v>
      </c>
      <c r="U44" s="665">
        <f t="shared" si="13"/>
        <v>100</v>
      </c>
      <c r="V44" s="664" t="s">
        <v>18</v>
      </c>
      <c r="W44" s="665">
        <f t="shared" si="14"/>
        <v>100</v>
      </c>
      <c r="X44" s="666"/>
      <c r="Y44" s="344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9"/>
      <c r="Q45" s="1263">
        <f t="shared" si="11"/>
        <v>111</v>
      </c>
      <c r="R45" s="667" t="s">
        <v>18</v>
      </c>
      <c r="S45" s="668">
        <f t="shared" si="12"/>
        <v>100</v>
      </c>
      <c r="T45" s="667" t="s">
        <v>18</v>
      </c>
      <c r="U45" s="668">
        <f t="shared" si="13"/>
        <v>100</v>
      </c>
      <c r="V45" s="667" t="s">
        <v>18</v>
      </c>
      <c r="W45" s="668">
        <f t="shared" si="14"/>
        <v>100</v>
      </c>
      <c r="X45" s="1265"/>
      <c r="Y45" s="344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0"/>
      <c r="Q46" s="1263">
        <f t="shared" si="11"/>
        <v>111</v>
      </c>
      <c r="R46" s="667" t="s">
        <v>17</v>
      </c>
      <c r="S46" s="668">
        <f t="shared" si="12"/>
        <v>100</v>
      </c>
      <c r="T46" s="667" t="s">
        <v>17</v>
      </c>
      <c r="U46" s="668">
        <f t="shared" si="13"/>
        <v>100</v>
      </c>
      <c r="V46" s="667" t="s">
        <v>17</v>
      </c>
      <c r="W46" s="668">
        <f t="shared" si="14"/>
        <v>100</v>
      </c>
      <c r="X46" s="1265"/>
      <c r="Y46" s="344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16594.73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22" t="s">
        <v>1775</v>
      </c>
      <c r="Q4" s="3423"/>
      <c r="R4" s="3405" t="s">
        <v>1771</v>
      </c>
      <c r="S4" s="3406"/>
      <c r="T4" s="3405" t="s">
        <v>1772</v>
      </c>
      <c r="U4" s="3406"/>
      <c r="V4" s="3430" t="s">
        <v>1773</v>
      </c>
      <c r="W4" s="3430"/>
      <c r="X4" s="1265"/>
      <c r="Y4" s="3405" t="s">
        <v>1775</v>
      </c>
      <c r="Z4" s="3406"/>
      <c r="AA4" s="3400" t="s">
        <v>1771</v>
      </c>
      <c r="AB4" s="3430" t="s">
        <v>1772</v>
      </c>
      <c r="AC4" s="3400" t="s">
        <v>1773</v>
      </c>
    </row>
    <row r="5" spans="1:29" ht="15">
      <c r="A5" s="348"/>
      <c r="B5" s="349"/>
      <c r="C5" s="3411" t="s">
        <v>1673</v>
      </c>
      <c r="D5" s="3412"/>
      <c r="E5" s="3409" t="s">
        <v>1674</v>
      </c>
      <c r="F5" s="3410"/>
      <c r="G5" s="3411" t="s">
        <v>1675</v>
      </c>
      <c r="H5" s="3412"/>
      <c r="I5" s="3411" t="s">
        <v>1676</v>
      </c>
      <c r="J5" s="3412"/>
      <c r="K5" s="537"/>
      <c r="L5" s="2487"/>
      <c r="M5" s="2488"/>
      <c r="N5" s="2488"/>
      <c r="O5" s="2488"/>
      <c r="P5" s="3424"/>
      <c r="Q5" s="3425"/>
      <c r="R5" s="3407"/>
      <c r="S5" s="3408"/>
      <c r="T5" s="3407"/>
      <c r="U5" s="3408"/>
      <c r="V5" s="3430"/>
      <c r="W5" s="3430"/>
      <c r="X5" s="1265"/>
      <c r="Y5" s="3407"/>
      <c r="Z5" s="3408"/>
      <c r="AA5" s="3401"/>
      <c r="AB5" s="3430"/>
      <c r="AC5" s="3401"/>
    </row>
    <row r="6" spans="1:29" ht="15.75" thickBot="1">
      <c r="A6" s="350"/>
      <c r="B6" s="351"/>
      <c r="C6" s="3413" t="s">
        <v>1677</v>
      </c>
      <c r="D6" s="3414"/>
      <c r="E6" s="3415" t="s">
        <v>1677</v>
      </c>
      <c r="F6" s="3416"/>
      <c r="G6" s="3413" t="s">
        <v>1677</v>
      </c>
      <c r="H6" s="3414"/>
      <c r="I6" s="3413" t="s">
        <v>1677</v>
      </c>
      <c r="J6" s="3414"/>
      <c r="K6" s="537" t="s">
        <v>1678</v>
      </c>
      <c r="L6" s="2487"/>
      <c r="M6" s="2488"/>
      <c r="N6" s="2488"/>
      <c r="O6" s="2488"/>
      <c r="P6" s="3426"/>
      <c r="Q6" s="3427"/>
      <c r="R6" s="3407"/>
      <c r="S6" s="3408"/>
      <c r="T6" s="3428"/>
      <c r="U6" s="3429"/>
      <c r="V6" s="3430"/>
      <c r="W6" s="3430"/>
      <c r="X6" s="1265"/>
      <c r="Y6" s="3428"/>
      <c r="Z6" s="3429"/>
      <c r="AA6" s="3402"/>
      <c r="AB6" s="3430"/>
      <c r="AC6" s="3402"/>
    </row>
    <row r="7" spans="1:29" s="102" customFormat="1" ht="15.75" thickBot="1">
      <c r="A7" s="352" t="s">
        <v>1679</v>
      </c>
      <c r="B7" s="353"/>
      <c r="C7" s="354">
        <f>'数据-取费表'!B2</f>
        <v>45827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7"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7"/>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7"/>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3" t="s">
        <v>1691</v>
      </c>
      <c r="Q15" s="1263" t="str">
        <f t="shared" si="6"/>
        <v>商业繁华度</v>
      </c>
      <c r="R15" s="667" t="s">
        <v>14</v>
      </c>
      <c r="S15" s="668">
        <f t="shared" si="0"/>
        <v>100</v>
      </c>
      <c r="T15" s="667" t="s">
        <v>14</v>
      </c>
      <c r="U15" s="668">
        <f t="shared" si="1"/>
        <v>100</v>
      </c>
      <c r="V15" s="667" t="s">
        <v>14</v>
      </c>
      <c r="W15" s="668">
        <f t="shared" si="2"/>
        <v>100</v>
      </c>
      <c r="X15" s="1265"/>
      <c r="Y15" s="343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4"/>
      <c r="Q16" s="1263"/>
      <c r="R16" s="667"/>
      <c r="S16" s="668"/>
      <c r="T16" s="667"/>
      <c r="U16" s="668"/>
      <c r="V16" s="667"/>
      <c r="W16" s="668"/>
      <c r="X16" s="1265"/>
      <c r="Y16" s="343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4"/>
      <c r="Q18" s="1263"/>
      <c r="R18" s="667"/>
      <c r="S18" s="668"/>
      <c r="T18" s="667"/>
      <c r="U18" s="668"/>
      <c r="V18" s="667"/>
      <c r="W18" s="668"/>
      <c r="X18" s="1265"/>
      <c r="Y18" s="343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4"/>
      <c r="Q20" s="1263"/>
      <c r="R20" s="667"/>
      <c r="S20" s="668"/>
      <c r="T20" s="667"/>
      <c r="U20" s="668"/>
      <c r="V20" s="667"/>
      <c r="W20" s="668"/>
      <c r="X20" s="1265"/>
      <c r="Y20" s="343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4"/>
      <c r="Q22" s="1263"/>
      <c r="R22" s="667"/>
      <c r="S22" s="668"/>
      <c r="T22" s="667"/>
      <c r="U22" s="668"/>
      <c r="V22" s="667"/>
      <c r="W22" s="668"/>
      <c r="X22" s="1265"/>
      <c r="Y22" s="343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4"/>
      <c r="Q23" s="1263" t="str">
        <f>B23</f>
        <v>自然及人文环境</v>
      </c>
      <c r="R23" s="667" t="s">
        <v>14</v>
      </c>
      <c r="S23" s="668">
        <f>F23</f>
        <v>100</v>
      </c>
      <c r="T23" s="667" t="s">
        <v>14</v>
      </c>
      <c r="U23" s="668">
        <f>H23</f>
        <v>100</v>
      </c>
      <c r="V23" s="667" t="s">
        <v>14</v>
      </c>
      <c r="W23" s="668">
        <f>J23</f>
        <v>100</v>
      </c>
      <c r="X23" s="1265"/>
      <c r="Y23" s="343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4"/>
      <c r="Q24" s="1263"/>
      <c r="R24" s="667"/>
      <c r="S24" s="668"/>
      <c r="T24" s="667"/>
      <c r="U24" s="668"/>
      <c r="V24" s="667"/>
      <c r="W24" s="668"/>
      <c r="X24" s="1265"/>
      <c r="Y24" s="343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4"/>
      <c r="Q25" s="1263" t="str">
        <f t="shared" ref="Q25:Q46" si="11">B25</f>
        <v>临街状况</v>
      </c>
      <c r="R25" s="667" t="s">
        <v>14</v>
      </c>
      <c r="S25" s="668">
        <f>F25</f>
        <v>100</v>
      </c>
      <c r="T25" s="667" t="s">
        <v>14</v>
      </c>
      <c r="U25" s="668">
        <f>H25</f>
        <v>100</v>
      </c>
      <c r="V25" s="667" t="s">
        <v>14</v>
      </c>
      <c r="W25" s="668">
        <f>J25</f>
        <v>100</v>
      </c>
      <c r="X25" s="1265"/>
      <c r="Y25" s="343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4"/>
      <c r="Q26" s="1263" t="str">
        <f t="shared" si="11"/>
        <v>平面位置/可视性</v>
      </c>
      <c r="R26" s="667" t="s">
        <v>14</v>
      </c>
      <c r="S26" s="668">
        <f>F26</f>
        <v>100</v>
      </c>
      <c r="T26" s="667" t="s">
        <v>14</v>
      </c>
      <c r="U26" s="668">
        <f>H26</f>
        <v>100</v>
      </c>
      <c r="V26" s="667" t="s">
        <v>14</v>
      </c>
      <c r="W26" s="668">
        <f>J26</f>
        <v>100</v>
      </c>
      <c r="X26" s="1265"/>
      <c r="Y26" s="343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4"/>
      <c r="Q27" s="530" t="str">
        <f t="shared" si="11"/>
        <v>人流量</v>
      </c>
      <c r="R27" s="664" t="s">
        <v>14</v>
      </c>
      <c r="S27" s="665">
        <f>F27</f>
        <v>100</v>
      </c>
      <c r="T27" s="664" t="s">
        <v>14</v>
      </c>
      <c r="U27" s="665">
        <f>H27</f>
        <v>100</v>
      </c>
      <c r="V27" s="664" t="s">
        <v>14</v>
      </c>
      <c r="W27" s="665">
        <f>J27</f>
        <v>100</v>
      </c>
      <c r="X27" s="666"/>
      <c r="Y27" s="343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4"/>
      <c r="Q29" s="1263">
        <f t="shared" si="11"/>
        <v>111</v>
      </c>
      <c r="R29" s="667" t="s">
        <v>14</v>
      </c>
      <c r="S29" s="668">
        <f t="shared" si="12"/>
        <v>100</v>
      </c>
      <c r="T29" s="667" t="s">
        <v>14</v>
      </c>
      <c r="U29" s="668">
        <f t="shared" si="13"/>
        <v>100</v>
      </c>
      <c r="V29" s="667" t="s">
        <v>14</v>
      </c>
      <c r="W29" s="668">
        <f t="shared" si="14"/>
        <v>100</v>
      </c>
      <c r="X29" s="1265"/>
      <c r="Y29" s="343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8" t="s">
        <v>1696</v>
      </c>
      <c r="Q32" s="1263" t="str">
        <f t="shared" si="11"/>
        <v>商业类型</v>
      </c>
      <c r="R32" s="667" t="s">
        <v>14</v>
      </c>
      <c r="S32" s="668">
        <f t="shared" si="12"/>
        <v>100</v>
      </c>
      <c r="T32" s="667" t="s">
        <v>14</v>
      </c>
      <c r="U32" s="668">
        <f t="shared" si="13"/>
        <v>100</v>
      </c>
      <c r="V32" s="667" t="s">
        <v>14</v>
      </c>
      <c r="W32" s="668">
        <f t="shared" si="14"/>
        <v>100</v>
      </c>
      <c r="X32" s="1265"/>
      <c r="Y32" s="344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9"/>
      <c r="Q33" s="531" t="str">
        <f t="shared" si="11"/>
        <v>项目建筑规模</v>
      </c>
      <c r="R33" s="669" t="s">
        <v>14</v>
      </c>
      <c r="S33" s="670" t="e">
        <f t="shared" si="12"/>
        <v>#N/A</v>
      </c>
      <c r="T33" s="669" t="s">
        <v>14</v>
      </c>
      <c r="U33" s="670" t="e">
        <f t="shared" si="13"/>
        <v>#N/A</v>
      </c>
      <c r="V33" s="669" t="s">
        <v>14</v>
      </c>
      <c r="W33" s="670" t="e">
        <f t="shared" si="14"/>
        <v>#N/A</v>
      </c>
      <c r="X33" s="671"/>
      <c r="Y33" s="344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9"/>
      <c r="Q34" s="1263" t="str">
        <f t="shared" si="11"/>
        <v>建筑结构</v>
      </c>
      <c r="R34" s="667" t="s">
        <v>14</v>
      </c>
      <c r="S34" s="668">
        <f t="shared" si="12"/>
        <v>100</v>
      </c>
      <c r="T34" s="667" t="s">
        <v>14</v>
      </c>
      <c r="U34" s="668">
        <f t="shared" si="13"/>
        <v>100</v>
      </c>
      <c r="V34" s="667" t="s">
        <v>14</v>
      </c>
      <c r="W34" s="668">
        <f t="shared" si="14"/>
        <v>100</v>
      </c>
      <c r="X34" s="1265"/>
      <c r="Y34" s="344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9"/>
      <c r="Q35" s="1263" t="str">
        <f t="shared" si="11"/>
        <v>公共部分装修</v>
      </c>
      <c r="R35" s="667" t="s">
        <v>14</v>
      </c>
      <c r="S35" s="668">
        <f t="shared" si="12"/>
        <v>100</v>
      </c>
      <c r="T35" s="667" t="s">
        <v>14</v>
      </c>
      <c r="U35" s="668">
        <f t="shared" si="13"/>
        <v>100</v>
      </c>
      <c r="V35" s="667" t="s">
        <v>14</v>
      </c>
      <c r="W35" s="668">
        <f t="shared" si="14"/>
        <v>100</v>
      </c>
      <c r="X35" s="1265"/>
      <c r="Y35" s="344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9"/>
      <c r="Q36" s="1263" t="str">
        <f t="shared" si="11"/>
        <v>成新度</v>
      </c>
      <c r="R36" s="667" t="s">
        <v>14</v>
      </c>
      <c r="S36" s="668" t="e">
        <f t="shared" si="12"/>
        <v>#N/A</v>
      </c>
      <c r="T36" s="667" t="s">
        <v>14</v>
      </c>
      <c r="U36" s="668" t="e">
        <f t="shared" si="13"/>
        <v>#N/A</v>
      </c>
      <c r="V36" s="667" t="s">
        <v>14</v>
      </c>
      <c r="W36" s="668" t="e">
        <f t="shared" si="14"/>
        <v>#N/A</v>
      </c>
      <c r="X36" s="1265"/>
      <c r="Y36" s="344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9"/>
      <c r="Q37" s="530" t="str">
        <f t="shared" si="11"/>
        <v>市政基础设施</v>
      </c>
      <c r="R37" s="664" t="s">
        <v>14</v>
      </c>
      <c r="S37" s="665">
        <f t="shared" si="12"/>
        <v>100</v>
      </c>
      <c r="T37" s="664" t="s">
        <v>14</v>
      </c>
      <c r="U37" s="665">
        <f t="shared" si="13"/>
        <v>100</v>
      </c>
      <c r="V37" s="664" t="s">
        <v>14</v>
      </c>
      <c r="W37" s="665">
        <f t="shared" si="14"/>
        <v>100</v>
      </c>
      <c r="X37" s="666"/>
      <c r="Y37" s="344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9" t="s">
        <v>1696</v>
      </c>
      <c r="Q38" s="1263" t="str">
        <f t="shared" si="11"/>
        <v>业态</v>
      </c>
      <c r="R38" s="667" t="s">
        <v>14</v>
      </c>
      <c r="S38" s="668">
        <f t="shared" si="12"/>
        <v>100</v>
      </c>
      <c r="T38" s="667" t="s">
        <v>14</v>
      </c>
      <c r="U38" s="668">
        <f t="shared" si="13"/>
        <v>100</v>
      </c>
      <c r="V38" s="667" t="s">
        <v>14</v>
      </c>
      <c r="W38" s="668">
        <f t="shared" si="14"/>
        <v>100</v>
      </c>
      <c r="X38" s="1265"/>
      <c r="Y38" s="344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9"/>
      <c r="Q39" s="1263" t="str">
        <f t="shared" si="11"/>
        <v>层高</v>
      </c>
      <c r="R39" s="667" t="s">
        <v>14</v>
      </c>
      <c r="S39" s="668">
        <f t="shared" si="12"/>
        <v>100</v>
      </c>
      <c r="T39" s="667" t="s">
        <v>14</v>
      </c>
      <c r="U39" s="668">
        <f t="shared" si="13"/>
        <v>100</v>
      </c>
      <c r="V39" s="667" t="s">
        <v>14</v>
      </c>
      <c r="W39" s="668">
        <f t="shared" si="14"/>
        <v>100</v>
      </c>
      <c r="X39" s="1265"/>
      <c r="Y39" s="344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9"/>
      <c r="Q40" s="1263" t="str">
        <f t="shared" si="11"/>
        <v>单套建筑面积</v>
      </c>
      <c r="R40" s="667" t="s">
        <v>14</v>
      </c>
      <c r="S40" s="668">
        <f t="shared" si="12"/>
        <v>100</v>
      </c>
      <c r="T40" s="667" t="s">
        <v>14</v>
      </c>
      <c r="U40" s="668">
        <f t="shared" si="13"/>
        <v>100</v>
      </c>
      <c r="V40" s="667" t="s">
        <v>14</v>
      </c>
      <c r="W40" s="668">
        <f t="shared" si="14"/>
        <v>100</v>
      </c>
      <c r="X40" s="1265"/>
      <c r="Y40" s="344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9"/>
      <c r="Q41" s="531" t="str">
        <f t="shared" si="11"/>
        <v>进深比</v>
      </c>
      <c r="R41" s="669" t="s">
        <v>14</v>
      </c>
      <c r="S41" s="670">
        <f t="shared" si="12"/>
        <v>100</v>
      </c>
      <c r="T41" s="669" t="s">
        <v>14</v>
      </c>
      <c r="U41" s="670">
        <f t="shared" si="13"/>
        <v>100</v>
      </c>
      <c r="V41" s="669" t="s">
        <v>14</v>
      </c>
      <c r="W41" s="670">
        <f t="shared" si="14"/>
        <v>100</v>
      </c>
      <c r="X41" s="671"/>
      <c r="Y41" s="344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9"/>
      <c r="Q42" s="1263" t="str">
        <f t="shared" si="11"/>
        <v>内部装修</v>
      </c>
      <c r="R42" s="667" t="s">
        <v>14</v>
      </c>
      <c r="S42" s="668">
        <f t="shared" si="12"/>
        <v>100</v>
      </c>
      <c r="T42" s="667" t="s">
        <v>14</v>
      </c>
      <c r="U42" s="668">
        <f t="shared" si="13"/>
        <v>100</v>
      </c>
      <c r="V42" s="667" t="s">
        <v>14</v>
      </c>
      <c r="W42" s="668">
        <f t="shared" si="14"/>
        <v>100</v>
      </c>
      <c r="X42" s="1265"/>
      <c r="Y42" s="344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9"/>
      <c r="Q43" s="1263" t="str">
        <f t="shared" si="11"/>
        <v>内部装修维护情况</v>
      </c>
      <c r="R43" s="667" t="s">
        <v>14</v>
      </c>
      <c r="S43" s="668">
        <f t="shared" si="12"/>
        <v>100</v>
      </c>
      <c r="T43" s="667" t="s">
        <v>14</v>
      </c>
      <c r="U43" s="668">
        <f t="shared" si="13"/>
        <v>100</v>
      </c>
      <c r="V43" s="667" t="s">
        <v>14</v>
      </c>
      <c r="W43" s="668">
        <f t="shared" si="14"/>
        <v>100</v>
      </c>
      <c r="X43" s="1265"/>
      <c r="Y43" s="344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9"/>
      <c r="Q44" s="530">
        <f t="shared" si="11"/>
        <v>111</v>
      </c>
      <c r="R44" s="664" t="s">
        <v>14</v>
      </c>
      <c r="S44" s="665">
        <f t="shared" si="12"/>
        <v>100</v>
      </c>
      <c r="T44" s="664" t="s">
        <v>14</v>
      </c>
      <c r="U44" s="665">
        <f t="shared" si="13"/>
        <v>100</v>
      </c>
      <c r="V44" s="664" t="s">
        <v>14</v>
      </c>
      <c r="W44" s="665">
        <f t="shared" si="14"/>
        <v>100</v>
      </c>
      <c r="X44" s="666"/>
      <c r="Y44" s="344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9"/>
      <c r="Q45" s="1263">
        <f t="shared" si="11"/>
        <v>111</v>
      </c>
      <c r="R45" s="667" t="s">
        <v>14</v>
      </c>
      <c r="S45" s="668">
        <f t="shared" si="12"/>
        <v>100</v>
      </c>
      <c r="T45" s="667" t="s">
        <v>14</v>
      </c>
      <c r="U45" s="668">
        <f t="shared" si="13"/>
        <v>100</v>
      </c>
      <c r="V45" s="667" t="s">
        <v>14</v>
      </c>
      <c r="W45" s="668">
        <f t="shared" si="14"/>
        <v>100</v>
      </c>
      <c r="X45" s="1265"/>
      <c r="Y45" s="344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0"/>
      <c r="Q46" s="1263">
        <f t="shared" si="11"/>
        <v>111</v>
      </c>
      <c r="R46" s="667" t="s">
        <v>14</v>
      </c>
      <c r="S46" s="668">
        <f t="shared" si="12"/>
        <v>100</v>
      </c>
      <c r="T46" s="667" t="s">
        <v>14</v>
      </c>
      <c r="U46" s="668">
        <f t="shared" si="13"/>
        <v>100</v>
      </c>
      <c r="V46" s="667" t="s">
        <v>14</v>
      </c>
      <c r="W46" s="668">
        <f t="shared" si="14"/>
        <v>100</v>
      </c>
      <c r="X46" s="1265"/>
      <c r="Y46" s="344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5" t="str">
        <f>A47</f>
        <v>成交单价（元/平方米）</v>
      </c>
      <c r="Q47" s="3435"/>
      <c r="R47" s="3430">
        <f>E47</f>
        <v>0</v>
      </c>
      <c r="S47" s="3430"/>
      <c r="T47" s="3430">
        <f>G47</f>
        <v>0</v>
      </c>
      <c r="U47" s="3430"/>
      <c r="V47" s="3430">
        <f>I47</f>
        <v>0</v>
      </c>
      <c r="W47" s="343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5" t="str">
        <f>A48</f>
        <v>比较价值（元/平方米）</v>
      </c>
      <c r="Q48" s="34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2" t="str">
        <f>A49</f>
        <v>估价对象XX用房的比较价值（楼面单价，元/平方米）</v>
      </c>
      <c r="Q49" s="3433"/>
      <c r="R49" s="3434" t="e">
        <f>IF(F1="售价",ROUND(IF(D48="简单平均",AVERAGE(R48:V48),R48*F48+T48*H48+V48*J48),0),ROUND(IF(D48="简单平均",AVERAGE(R48:V48),R48*F48+T48*H48+V48*J48),1))</f>
        <v>#DIV/0!</v>
      </c>
      <c r="S49" s="3434"/>
      <c r="T49" s="3434"/>
      <c r="U49" s="3434"/>
      <c r="V49" s="3434"/>
      <c r="W49" s="343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估价对象为北京市房地产，为所有。根据《国有土地使用证》[]，估价对象（分摊）出让国有建设用地使用权面积为27600平方米，建筑面积为16594.73平方米。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估价对象为北京市房地产,为开发建设的，该项目尚在开发建设中。根据《国有土地使用证》[]，估价对象（分摊）出让国有建设用地使用权面积为27600平方米，规划建筑面积为16594.73平方米。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3" sqref="H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16594.73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51" t="s">
        <v>1775</v>
      </c>
      <c r="Q4" s="3452"/>
      <c r="R4" s="3446" t="s">
        <v>1771</v>
      </c>
      <c r="S4" s="3447"/>
      <c r="T4" s="3446" t="s">
        <v>1772</v>
      </c>
      <c r="U4" s="3447"/>
      <c r="V4" s="3455" t="s">
        <v>1773</v>
      </c>
      <c r="W4" s="3455"/>
      <c r="X4" s="1809"/>
      <c r="Y4" s="3446" t="s">
        <v>1775</v>
      </c>
      <c r="Z4" s="3447"/>
      <c r="AA4" s="3445" t="s">
        <v>1771</v>
      </c>
      <c r="AB4" s="3445" t="s">
        <v>1772</v>
      </c>
      <c r="AC4" s="3448" t="s">
        <v>1773</v>
      </c>
    </row>
    <row r="5" spans="1:29" ht="15">
      <c r="A5" s="348"/>
      <c r="B5" s="349"/>
      <c r="C5" s="3411" t="s">
        <v>1673</v>
      </c>
      <c r="D5" s="3412"/>
      <c r="E5" s="3409" t="s">
        <v>1674</v>
      </c>
      <c r="F5" s="3410"/>
      <c r="G5" s="3411" t="s">
        <v>1675</v>
      </c>
      <c r="H5" s="3412"/>
      <c r="I5" s="3411" t="s">
        <v>1676</v>
      </c>
      <c r="J5" s="3412"/>
      <c r="K5" s="537"/>
      <c r="L5" s="2487"/>
      <c r="M5" s="2488"/>
      <c r="N5" s="2488"/>
      <c r="O5" s="2488"/>
      <c r="P5" s="3453"/>
      <c r="Q5" s="3425"/>
      <c r="R5" s="3407"/>
      <c r="S5" s="3408"/>
      <c r="T5" s="3407"/>
      <c r="U5" s="3408"/>
      <c r="V5" s="3430"/>
      <c r="W5" s="3430"/>
      <c r="X5" s="1265"/>
      <c r="Y5" s="3407"/>
      <c r="Z5" s="3408"/>
      <c r="AA5" s="3401"/>
      <c r="AB5" s="3401"/>
      <c r="AC5" s="3449"/>
    </row>
    <row r="6" spans="1:29" ht="15.75" thickBot="1">
      <c r="A6" s="350"/>
      <c r="B6" s="351"/>
      <c r="C6" s="3413" t="s">
        <v>1677</v>
      </c>
      <c r="D6" s="3414"/>
      <c r="E6" s="3415" t="s">
        <v>1677</v>
      </c>
      <c r="F6" s="3416"/>
      <c r="G6" s="3413" t="s">
        <v>1677</v>
      </c>
      <c r="H6" s="3414"/>
      <c r="I6" s="3413" t="s">
        <v>1677</v>
      </c>
      <c r="J6" s="3414"/>
      <c r="K6" s="537" t="s">
        <v>1678</v>
      </c>
      <c r="L6" s="2487"/>
      <c r="M6" s="2488"/>
      <c r="N6" s="2488"/>
      <c r="O6" s="2488"/>
      <c r="P6" s="3454"/>
      <c r="Q6" s="3427"/>
      <c r="R6" s="3407"/>
      <c r="S6" s="3408"/>
      <c r="T6" s="3428"/>
      <c r="U6" s="3429"/>
      <c r="V6" s="3430"/>
      <c r="W6" s="3430"/>
      <c r="X6" s="1265"/>
      <c r="Y6" s="3428"/>
      <c r="Z6" s="3429"/>
      <c r="AA6" s="3402"/>
      <c r="AB6" s="3402"/>
      <c r="AC6" s="3450"/>
    </row>
    <row r="7" spans="1:29" s="102" customFormat="1" ht="15.75" thickBot="1">
      <c r="A7" s="352" t="s">
        <v>1679</v>
      </c>
      <c r="B7" s="353"/>
      <c r="C7" s="354">
        <f>'数据-取费表'!B2</f>
        <v>45827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6"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6"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7"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7"/>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7"/>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43" t="s">
        <v>1691</v>
      </c>
      <c r="Q15" s="1263" t="str">
        <f t="shared" si="6"/>
        <v>办公集聚程度</v>
      </c>
      <c r="R15" s="667" t="s">
        <v>14</v>
      </c>
      <c r="S15" s="668">
        <f t="shared" si="0"/>
        <v>100</v>
      </c>
      <c r="T15" s="667" t="s">
        <v>14</v>
      </c>
      <c r="U15" s="668">
        <f t="shared" si="1"/>
        <v>100</v>
      </c>
      <c r="V15" s="667" t="s">
        <v>14</v>
      </c>
      <c r="W15" s="668">
        <f t="shared" si="2"/>
        <v>100</v>
      </c>
      <c r="X15" s="1265"/>
      <c r="Y15" s="343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44"/>
      <c r="Q16" s="1263"/>
      <c r="R16" s="667"/>
      <c r="S16" s="668"/>
      <c r="T16" s="667"/>
      <c r="U16" s="668"/>
      <c r="V16" s="667"/>
      <c r="W16" s="668"/>
      <c r="X16" s="1265"/>
      <c r="Y16" s="343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44"/>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44"/>
      <c r="Q18" s="1263"/>
      <c r="R18" s="667"/>
      <c r="S18" s="668"/>
      <c r="T18" s="667"/>
      <c r="U18" s="668"/>
      <c r="V18" s="667"/>
      <c r="W18" s="668"/>
      <c r="X18" s="1265"/>
      <c r="Y18" s="343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44"/>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44"/>
      <c r="Q20" s="1263"/>
      <c r="R20" s="667"/>
      <c r="S20" s="668"/>
      <c r="T20" s="667"/>
      <c r="U20" s="668"/>
      <c r="V20" s="667"/>
      <c r="W20" s="668"/>
      <c r="X20" s="1265"/>
      <c r="Y20" s="343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4"/>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44"/>
      <c r="Q22" s="1263"/>
      <c r="R22" s="667"/>
      <c r="S22" s="668"/>
      <c r="T22" s="667"/>
      <c r="U22" s="668"/>
      <c r="V22" s="667"/>
      <c r="W22" s="668"/>
      <c r="X22" s="1265"/>
      <c r="Y22" s="343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44"/>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44"/>
      <c r="Q24" s="1263"/>
      <c r="R24" s="667"/>
      <c r="S24" s="668"/>
      <c r="T24" s="667"/>
      <c r="U24" s="668"/>
      <c r="V24" s="667"/>
      <c r="W24" s="668"/>
      <c r="X24" s="1265"/>
      <c r="Y24" s="343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44"/>
      <c r="Q25" s="1263" t="str">
        <f>B25</f>
        <v>毗邻道路的类型与等级</v>
      </c>
      <c r="R25" s="667" t="s">
        <v>14</v>
      </c>
      <c r="S25" s="668">
        <f>F25</f>
        <v>100</v>
      </c>
      <c r="T25" s="667" t="s">
        <v>14</v>
      </c>
      <c r="U25" s="668">
        <f>H25</f>
        <v>100</v>
      </c>
      <c r="V25" s="667" t="s">
        <v>14</v>
      </c>
      <c r="W25" s="668">
        <f>J25</f>
        <v>100</v>
      </c>
      <c r="X25" s="1265"/>
      <c r="Y25" s="343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44"/>
      <c r="Q26" s="1263"/>
      <c r="R26" s="667"/>
      <c r="S26" s="668"/>
      <c r="T26" s="667"/>
      <c r="U26" s="668"/>
      <c r="V26" s="667"/>
      <c r="W26" s="668"/>
      <c r="X26" s="1265"/>
      <c r="Y26" s="343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44"/>
      <c r="Q27" s="1263" t="str">
        <f t="shared" ref="Q27:Q47" si="11">B27</f>
        <v>楼层</v>
      </c>
      <c r="R27" s="667" t="s">
        <v>14</v>
      </c>
      <c r="S27" s="668">
        <f>F27</f>
        <v>100</v>
      </c>
      <c r="T27" s="667" t="s">
        <v>14</v>
      </c>
      <c r="U27" s="668">
        <f>H27</f>
        <v>100</v>
      </c>
      <c r="V27" s="667" t="s">
        <v>14</v>
      </c>
      <c r="W27" s="668">
        <f>J27</f>
        <v>100</v>
      </c>
      <c r="X27" s="1265"/>
      <c r="Y27" s="343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44"/>
      <c r="Q28" s="530" t="str">
        <f t="shared" si="11"/>
        <v>朝向</v>
      </c>
      <c r="R28" s="664" t="s">
        <v>14</v>
      </c>
      <c r="S28" s="665">
        <f>F28</f>
        <v>100</v>
      </c>
      <c r="T28" s="664" t="s">
        <v>14</v>
      </c>
      <c r="U28" s="665">
        <f>H28</f>
        <v>100</v>
      </c>
      <c r="V28" s="664" t="s">
        <v>14</v>
      </c>
      <c r="W28" s="665">
        <f>J28</f>
        <v>100</v>
      </c>
      <c r="X28" s="666"/>
      <c r="Y28" s="343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44"/>
      <c r="Q29" s="1263">
        <f t="shared" si="11"/>
        <v>111</v>
      </c>
      <c r="R29" s="667" t="s">
        <v>14</v>
      </c>
      <c r="S29" s="668">
        <f t="shared" ref="S29:S47" si="12">F29</f>
        <v>100</v>
      </c>
      <c r="T29" s="667" t="s">
        <v>14</v>
      </c>
      <c r="U29" s="668">
        <f t="shared" ref="U29:U47" si="13">H29</f>
        <v>100</v>
      </c>
      <c r="V29" s="667" t="s">
        <v>14</v>
      </c>
      <c r="W29" s="668">
        <f t="shared" ref="W29:W47" si="14">J29</f>
        <v>100</v>
      </c>
      <c r="X29" s="1265"/>
      <c r="Y29" s="343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4"/>
      <c r="Q30" s="1263">
        <f t="shared" si="11"/>
        <v>111</v>
      </c>
      <c r="R30" s="667" t="s">
        <v>14</v>
      </c>
      <c r="S30" s="668">
        <f t="shared" si="12"/>
        <v>100</v>
      </c>
      <c r="T30" s="667" t="s">
        <v>14</v>
      </c>
      <c r="U30" s="668">
        <f t="shared" si="13"/>
        <v>100</v>
      </c>
      <c r="V30" s="667" t="s">
        <v>14</v>
      </c>
      <c r="W30" s="668">
        <f t="shared" si="14"/>
        <v>100</v>
      </c>
      <c r="X30" s="1265"/>
      <c r="Y30" s="343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4"/>
      <c r="Q31" s="1263">
        <f t="shared" si="11"/>
        <v>111</v>
      </c>
      <c r="R31" s="667" t="s">
        <v>14</v>
      </c>
      <c r="S31" s="668">
        <f t="shared" si="12"/>
        <v>100</v>
      </c>
      <c r="T31" s="667" t="s">
        <v>14</v>
      </c>
      <c r="U31" s="668">
        <f t="shared" si="13"/>
        <v>100</v>
      </c>
      <c r="V31" s="667" t="s">
        <v>14</v>
      </c>
      <c r="W31" s="668">
        <f t="shared" si="14"/>
        <v>100</v>
      </c>
      <c r="X31" s="1265"/>
      <c r="Y31" s="343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4"/>
      <c r="Q32" s="1263">
        <f t="shared" si="11"/>
        <v>111</v>
      </c>
      <c r="R32" s="667" t="s">
        <v>14</v>
      </c>
      <c r="S32" s="668">
        <f t="shared" si="12"/>
        <v>100</v>
      </c>
      <c r="T32" s="667" t="s">
        <v>14</v>
      </c>
      <c r="U32" s="668">
        <f t="shared" si="13"/>
        <v>100</v>
      </c>
      <c r="V32" s="667" t="s">
        <v>14</v>
      </c>
      <c r="W32" s="668">
        <f t="shared" si="14"/>
        <v>100</v>
      </c>
      <c r="X32" s="1265"/>
      <c r="Y32" s="343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38" t="s">
        <v>1696</v>
      </c>
      <c r="Q33" s="1263" t="str">
        <f t="shared" si="11"/>
        <v>建筑类型</v>
      </c>
      <c r="R33" s="667" t="s">
        <v>14</v>
      </c>
      <c r="S33" s="668">
        <f t="shared" si="12"/>
        <v>100</v>
      </c>
      <c r="T33" s="667" t="s">
        <v>14</v>
      </c>
      <c r="U33" s="668">
        <f t="shared" si="13"/>
        <v>100</v>
      </c>
      <c r="V33" s="667" t="s">
        <v>14</v>
      </c>
      <c r="W33" s="668">
        <f t="shared" si="14"/>
        <v>100</v>
      </c>
      <c r="X33" s="1265"/>
      <c r="Y33" s="344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39"/>
      <c r="Q34" s="531" t="str">
        <f t="shared" si="11"/>
        <v>项目建筑规模</v>
      </c>
      <c r="R34" s="669" t="s">
        <v>14</v>
      </c>
      <c r="S34" s="670" t="e">
        <f t="shared" si="12"/>
        <v>#N/A</v>
      </c>
      <c r="T34" s="669" t="s">
        <v>14</v>
      </c>
      <c r="U34" s="670" t="e">
        <f t="shared" si="13"/>
        <v>#N/A</v>
      </c>
      <c r="V34" s="669" t="s">
        <v>14</v>
      </c>
      <c r="W34" s="670" t="e">
        <f t="shared" si="14"/>
        <v>#N/A</v>
      </c>
      <c r="X34" s="671"/>
      <c r="Y34" s="344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39"/>
      <c r="Q35" s="1263" t="str">
        <f t="shared" si="11"/>
        <v>建筑结构</v>
      </c>
      <c r="R35" s="667" t="s">
        <v>14</v>
      </c>
      <c r="S35" s="668">
        <f t="shared" si="12"/>
        <v>100</v>
      </c>
      <c r="T35" s="667" t="s">
        <v>14</v>
      </c>
      <c r="U35" s="668">
        <f t="shared" si="13"/>
        <v>100</v>
      </c>
      <c r="V35" s="667" t="s">
        <v>14</v>
      </c>
      <c r="W35" s="668">
        <f t="shared" si="14"/>
        <v>100</v>
      </c>
      <c r="X35" s="1265"/>
      <c r="Y35" s="344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39"/>
      <c r="Q36" s="1263" t="str">
        <f t="shared" si="11"/>
        <v>公共部分装修</v>
      </c>
      <c r="R36" s="667" t="s">
        <v>14</v>
      </c>
      <c r="S36" s="668">
        <f t="shared" si="12"/>
        <v>100</v>
      </c>
      <c r="T36" s="667" t="s">
        <v>14</v>
      </c>
      <c r="U36" s="668">
        <f t="shared" si="13"/>
        <v>100</v>
      </c>
      <c r="V36" s="667" t="s">
        <v>14</v>
      </c>
      <c r="W36" s="668">
        <f t="shared" si="14"/>
        <v>100</v>
      </c>
      <c r="X36" s="1265"/>
      <c r="Y36" s="344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39"/>
      <c r="Q37" s="1263" t="str">
        <f t="shared" si="11"/>
        <v>成新度</v>
      </c>
      <c r="R37" s="667" t="s">
        <v>14</v>
      </c>
      <c r="S37" s="668" t="e">
        <f t="shared" si="12"/>
        <v>#N/A</v>
      </c>
      <c r="T37" s="667" t="s">
        <v>14</v>
      </c>
      <c r="U37" s="668" t="e">
        <f t="shared" si="13"/>
        <v>#N/A</v>
      </c>
      <c r="V37" s="667" t="s">
        <v>14</v>
      </c>
      <c r="W37" s="668" t="e">
        <f t="shared" si="14"/>
        <v>#N/A</v>
      </c>
      <c r="X37" s="1265"/>
      <c r="Y37" s="344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9"/>
      <c r="Q38" s="530" t="str">
        <f t="shared" si="11"/>
        <v>写字楼等级</v>
      </c>
      <c r="R38" s="664" t="s">
        <v>14</v>
      </c>
      <c r="S38" s="665">
        <f t="shared" si="12"/>
        <v>100</v>
      </c>
      <c r="T38" s="664" t="s">
        <v>14</v>
      </c>
      <c r="U38" s="665">
        <f t="shared" si="13"/>
        <v>100</v>
      </c>
      <c r="V38" s="664" t="s">
        <v>14</v>
      </c>
      <c r="W38" s="665">
        <f t="shared" si="14"/>
        <v>100</v>
      </c>
      <c r="X38" s="666"/>
      <c r="Y38" s="344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39" t="s">
        <v>1696</v>
      </c>
      <c r="Q39" s="1263" t="str">
        <f t="shared" si="11"/>
        <v>物业管理</v>
      </c>
      <c r="R39" s="667" t="s">
        <v>14</v>
      </c>
      <c r="S39" s="668">
        <f t="shared" si="12"/>
        <v>100</v>
      </c>
      <c r="T39" s="667" t="s">
        <v>14</v>
      </c>
      <c r="U39" s="668">
        <f t="shared" si="13"/>
        <v>100</v>
      </c>
      <c r="V39" s="667" t="s">
        <v>14</v>
      </c>
      <c r="W39" s="668">
        <f t="shared" si="14"/>
        <v>100</v>
      </c>
      <c r="X39" s="1265"/>
      <c r="Y39" s="344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39"/>
      <c r="Q40" s="1263" t="str">
        <f t="shared" si="11"/>
        <v>市政基础设施</v>
      </c>
      <c r="R40" s="667" t="s">
        <v>14</v>
      </c>
      <c r="S40" s="668">
        <f t="shared" si="12"/>
        <v>100</v>
      </c>
      <c r="T40" s="667" t="s">
        <v>14</v>
      </c>
      <c r="U40" s="668">
        <f t="shared" si="13"/>
        <v>100</v>
      </c>
      <c r="V40" s="667" t="s">
        <v>14</v>
      </c>
      <c r="W40" s="668">
        <f t="shared" si="14"/>
        <v>100</v>
      </c>
      <c r="X40" s="1265"/>
      <c r="Y40" s="344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39"/>
      <c r="Q41" s="1263" t="str">
        <f t="shared" si="11"/>
        <v>层高</v>
      </c>
      <c r="R41" s="667" t="s">
        <v>14</v>
      </c>
      <c r="S41" s="668">
        <f t="shared" si="12"/>
        <v>100</v>
      </c>
      <c r="T41" s="667" t="s">
        <v>14</v>
      </c>
      <c r="U41" s="668">
        <f t="shared" si="13"/>
        <v>100</v>
      </c>
      <c r="V41" s="667" t="s">
        <v>14</v>
      </c>
      <c r="W41" s="668">
        <f t="shared" si="14"/>
        <v>100</v>
      </c>
      <c r="X41" s="1265"/>
      <c r="Y41" s="344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9"/>
      <c r="Q42" s="531" t="str">
        <f t="shared" si="11"/>
        <v>单套建筑面积</v>
      </c>
      <c r="R42" s="669" t="s">
        <v>14</v>
      </c>
      <c r="S42" s="670">
        <f t="shared" si="12"/>
        <v>100</v>
      </c>
      <c r="T42" s="669" t="s">
        <v>14</v>
      </c>
      <c r="U42" s="670">
        <f t="shared" si="13"/>
        <v>100</v>
      </c>
      <c r="V42" s="669" t="s">
        <v>14</v>
      </c>
      <c r="W42" s="670">
        <f t="shared" si="14"/>
        <v>100</v>
      </c>
      <c r="X42" s="671"/>
      <c r="Y42" s="344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39"/>
      <c r="Q43" s="1263" t="str">
        <f t="shared" si="11"/>
        <v>内部装修</v>
      </c>
      <c r="R43" s="667" t="s">
        <v>14</v>
      </c>
      <c r="S43" s="668">
        <f t="shared" si="12"/>
        <v>100</v>
      </c>
      <c r="T43" s="667" t="s">
        <v>14</v>
      </c>
      <c r="U43" s="668">
        <f t="shared" si="13"/>
        <v>100</v>
      </c>
      <c r="V43" s="667" t="s">
        <v>14</v>
      </c>
      <c r="W43" s="668">
        <f t="shared" si="14"/>
        <v>100</v>
      </c>
      <c r="X43" s="1265"/>
      <c r="Y43" s="344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39"/>
      <c r="Q44" s="1263" t="str">
        <f t="shared" si="11"/>
        <v>内部装修维护情况</v>
      </c>
      <c r="R44" s="667" t="s">
        <v>14</v>
      </c>
      <c r="S44" s="668">
        <f t="shared" si="12"/>
        <v>100</v>
      </c>
      <c r="T44" s="667" t="s">
        <v>14</v>
      </c>
      <c r="U44" s="668">
        <f t="shared" si="13"/>
        <v>100</v>
      </c>
      <c r="V44" s="667" t="s">
        <v>14</v>
      </c>
      <c r="W44" s="668">
        <f t="shared" si="14"/>
        <v>100</v>
      </c>
      <c r="X44" s="1265"/>
      <c r="Y44" s="344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9"/>
      <c r="Q45" s="530">
        <f t="shared" si="11"/>
        <v>111</v>
      </c>
      <c r="R45" s="664" t="s">
        <v>14</v>
      </c>
      <c r="S45" s="665">
        <f t="shared" si="12"/>
        <v>100</v>
      </c>
      <c r="T45" s="664" t="s">
        <v>14</v>
      </c>
      <c r="U45" s="665">
        <f t="shared" si="13"/>
        <v>100</v>
      </c>
      <c r="V45" s="664" t="s">
        <v>14</v>
      </c>
      <c r="W45" s="665">
        <f t="shared" si="14"/>
        <v>100</v>
      </c>
      <c r="X45" s="666"/>
      <c r="Y45" s="344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0"/>
      <c r="Q47" s="1263">
        <f t="shared" si="11"/>
        <v>111</v>
      </c>
      <c r="R47" s="667" t="s">
        <v>14</v>
      </c>
      <c r="S47" s="668">
        <f t="shared" si="12"/>
        <v>100</v>
      </c>
      <c r="T47" s="667" t="s">
        <v>14</v>
      </c>
      <c r="U47" s="668">
        <f t="shared" si="13"/>
        <v>100</v>
      </c>
      <c r="V47" s="667" t="s">
        <v>14</v>
      </c>
      <c r="W47" s="668">
        <f t="shared" si="14"/>
        <v>100</v>
      </c>
      <c r="X47" s="1265"/>
      <c r="Y47" s="344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7" t="str">
        <f>A48</f>
        <v>成交单价（元/平方米）</v>
      </c>
      <c r="Q48" s="3435"/>
      <c r="R48" s="3430">
        <f>E48</f>
        <v>0</v>
      </c>
      <c r="S48" s="3430"/>
      <c r="T48" s="3430">
        <f>G48</f>
        <v>0</v>
      </c>
      <c r="U48" s="3430"/>
      <c r="V48" s="3430">
        <f>I48</f>
        <v>0</v>
      </c>
      <c r="W48" s="343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7" t="str">
        <f>A49</f>
        <v>比较价值（元/平方米）</v>
      </c>
      <c r="Q49" s="34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16594.73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860"/>
      <c r="M4" s="861"/>
      <c r="N4" s="861"/>
      <c r="O4" s="861"/>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ht="15">
      <c r="A5" s="348"/>
      <c r="B5" s="349"/>
      <c r="C5" s="3411" t="s">
        <v>1673</v>
      </c>
      <c r="D5" s="3412"/>
      <c r="E5" s="3409" t="s">
        <v>1674</v>
      </c>
      <c r="F5" s="3410"/>
      <c r="G5" s="3411" t="s">
        <v>1675</v>
      </c>
      <c r="H5" s="3412"/>
      <c r="I5" s="3411" t="s">
        <v>1676</v>
      </c>
      <c r="J5" s="3412"/>
      <c r="K5" s="537"/>
      <c r="L5" s="860"/>
      <c r="M5" s="861"/>
      <c r="N5" s="861"/>
      <c r="O5" s="861"/>
      <c r="P5" s="3424"/>
      <c r="Q5" s="3425"/>
      <c r="R5" s="3407"/>
      <c r="S5" s="3408"/>
      <c r="T5" s="3407"/>
      <c r="U5" s="3408"/>
      <c r="V5" s="3430"/>
      <c r="W5" s="3430"/>
      <c r="X5" s="1265"/>
      <c r="Y5" s="3407"/>
      <c r="Z5" s="3408"/>
      <c r="AA5" s="3401"/>
      <c r="AB5" s="3401"/>
      <c r="AC5" s="3401"/>
    </row>
    <row r="6" spans="1:29" ht="15.75" thickBot="1">
      <c r="A6" s="350"/>
      <c r="B6" s="351"/>
      <c r="C6" s="3413" t="s">
        <v>1677</v>
      </c>
      <c r="D6" s="3414"/>
      <c r="E6" s="3415" t="s">
        <v>1677</v>
      </c>
      <c r="F6" s="3416"/>
      <c r="G6" s="3413" t="s">
        <v>1677</v>
      </c>
      <c r="H6" s="3414"/>
      <c r="I6" s="3413" t="s">
        <v>1677</v>
      </c>
      <c r="J6" s="3414"/>
      <c r="K6" s="537" t="s">
        <v>1678</v>
      </c>
      <c r="L6" s="860"/>
      <c r="M6" s="861"/>
      <c r="N6" s="861"/>
      <c r="O6" s="861"/>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5"/>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5"/>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7"/>
      <c r="Q16" s="1263"/>
      <c r="R16" s="667"/>
      <c r="S16" s="668"/>
      <c r="T16" s="667"/>
      <c r="U16" s="668"/>
      <c r="V16" s="667"/>
      <c r="W16" s="668"/>
      <c r="X16" s="1265"/>
      <c r="Y16" s="343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7"/>
      <c r="Q18" s="1263"/>
      <c r="R18" s="667"/>
      <c r="S18" s="668"/>
      <c r="T18" s="667"/>
      <c r="U18" s="668"/>
      <c r="V18" s="667"/>
      <c r="W18" s="668"/>
      <c r="X18" s="1265"/>
      <c r="Y18" s="343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7"/>
      <c r="Q19" s="1263" t="str">
        <f>B19</f>
        <v>公共配套设施</v>
      </c>
      <c r="R19" s="667" t="s">
        <v>14</v>
      </c>
      <c r="S19" s="668">
        <f>F19</f>
        <v>100</v>
      </c>
      <c r="T19" s="667" t="s">
        <v>14</v>
      </c>
      <c r="U19" s="668">
        <f>H19</f>
        <v>100</v>
      </c>
      <c r="V19" s="667" t="s">
        <v>14</v>
      </c>
      <c r="W19" s="668">
        <f>J19</f>
        <v>100</v>
      </c>
      <c r="X19" s="1265"/>
      <c r="Y19" s="343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7"/>
      <c r="Q20" s="1263"/>
      <c r="R20" s="667"/>
      <c r="S20" s="668"/>
      <c r="T20" s="667"/>
      <c r="U20" s="668"/>
      <c r="V20" s="667"/>
      <c r="W20" s="668"/>
      <c r="X20" s="1265"/>
      <c r="Y20" s="343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7"/>
      <c r="Q21" s="1263" t="str">
        <f>B21</f>
        <v>基础设施水平</v>
      </c>
      <c r="R21" s="667" t="s">
        <v>14</v>
      </c>
      <c r="S21" s="668">
        <f>F21</f>
        <v>100</v>
      </c>
      <c r="T21" s="667" t="s">
        <v>14</v>
      </c>
      <c r="U21" s="668">
        <f>H21</f>
        <v>100</v>
      </c>
      <c r="V21" s="667" t="s">
        <v>14</v>
      </c>
      <c r="W21" s="668">
        <f>J21</f>
        <v>100</v>
      </c>
      <c r="X21" s="1265"/>
      <c r="Y21" s="343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7"/>
      <c r="Q22" s="1263"/>
      <c r="R22" s="667"/>
      <c r="S22" s="668"/>
      <c r="T22" s="667"/>
      <c r="U22" s="668"/>
      <c r="V22" s="667"/>
      <c r="W22" s="668"/>
      <c r="X22" s="1265"/>
      <c r="Y22" s="343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7"/>
      <c r="Q23" s="1263" t="str">
        <f>B23</f>
        <v>环境质量</v>
      </c>
      <c r="R23" s="667" t="s">
        <v>14</v>
      </c>
      <c r="S23" s="668">
        <f>F23</f>
        <v>100</v>
      </c>
      <c r="T23" s="667" t="s">
        <v>14</v>
      </c>
      <c r="U23" s="668">
        <f>H23</f>
        <v>100</v>
      </c>
      <c r="V23" s="667" t="s">
        <v>14</v>
      </c>
      <c r="W23" s="668">
        <f>J23</f>
        <v>100</v>
      </c>
      <c r="X23" s="1265"/>
      <c r="Y23" s="343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7"/>
      <c r="Q24" s="1263"/>
      <c r="R24" s="667"/>
      <c r="S24" s="668"/>
      <c r="T24" s="667"/>
      <c r="U24" s="668"/>
      <c r="V24" s="667"/>
      <c r="W24" s="668"/>
      <c r="X24" s="1265"/>
      <c r="Y24" s="343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7"/>
      <c r="Q25" s="1263">
        <f>B25</f>
        <v>111</v>
      </c>
      <c r="R25" s="667" t="s">
        <v>14</v>
      </c>
      <c r="S25" s="668">
        <f>F25</f>
        <v>100</v>
      </c>
      <c r="T25" s="667" t="s">
        <v>14</v>
      </c>
      <c r="U25" s="668">
        <f>H25</f>
        <v>100</v>
      </c>
      <c r="V25" s="667" t="s">
        <v>14</v>
      </c>
      <c r="W25" s="668">
        <f>J25</f>
        <v>100</v>
      </c>
      <c r="X25" s="1265"/>
      <c r="Y25" s="343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7"/>
      <c r="Q26" s="1263">
        <f t="shared" ref="Q26:Q40" si="11">B26</f>
        <v>111</v>
      </c>
      <c r="R26" s="667" t="s">
        <v>14</v>
      </c>
      <c r="S26" s="668">
        <f>F26</f>
        <v>100</v>
      </c>
      <c r="T26" s="667" t="s">
        <v>14</v>
      </c>
      <c r="U26" s="668">
        <f>H26</f>
        <v>100</v>
      </c>
      <c r="V26" s="667" t="s">
        <v>14</v>
      </c>
      <c r="W26" s="668">
        <f>J26</f>
        <v>100</v>
      </c>
      <c r="X26" s="1265"/>
      <c r="Y26" s="343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7"/>
      <c r="Q27" s="530">
        <f t="shared" si="11"/>
        <v>111</v>
      </c>
      <c r="R27" s="664" t="s">
        <v>14</v>
      </c>
      <c r="S27" s="665">
        <f>F27</f>
        <v>100</v>
      </c>
      <c r="T27" s="664" t="s">
        <v>14</v>
      </c>
      <c r="U27" s="665">
        <f>H27</f>
        <v>100</v>
      </c>
      <c r="V27" s="664" t="s">
        <v>14</v>
      </c>
      <c r="W27" s="665">
        <f>J27</f>
        <v>100</v>
      </c>
      <c r="X27" s="666"/>
      <c r="Y27" s="343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7"/>
      <c r="Q28" s="1263">
        <f t="shared" si="11"/>
        <v>111</v>
      </c>
      <c r="R28" s="667" t="s">
        <v>14</v>
      </c>
      <c r="S28" s="668">
        <f t="shared" ref="S28:S40" si="12">F28</f>
        <v>100</v>
      </c>
      <c r="T28" s="667" t="s">
        <v>14</v>
      </c>
      <c r="U28" s="668">
        <f t="shared" ref="U28:U40" si="13">H28</f>
        <v>100</v>
      </c>
      <c r="V28" s="667" t="s">
        <v>14</v>
      </c>
      <c r="W28" s="668">
        <f t="shared" ref="W28:W40" si="14">J28</f>
        <v>100</v>
      </c>
      <c r="X28" s="1265"/>
      <c r="Y28" s="343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0" t="s">
        <v>1696</v>
      </c>
      <c r="Q29" s="1263" t="str">
        <f t="shared" si="11"/>
        <v>建筑类型</v>
      </c>
      <c r="R29" s="667" t="s">
        <v>14</v>
      </c>
      <c r="S29" s="668">
        <f t="shared" si="12"/>
        <v>100</v>
      </c>
      <c r="T29" s="667" t="s">
        <v>14</v>
      </c>
      <c r="U29" s="668">
        <f t="shared" si="13"/>
        <v>100</v>
      </c>
      <c r="V29" s="667" t="s">
        <v>14</v>
      </c>
      <c r="W29" s="668">
        <f t="shared" si="14"/>
        <v>100</v>
      </c>
      <c r="X29" s="1265"/>
      <c r="Y29" s="344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1"/>
      <c r="Q30" s="531" t="str">
        <f t="shared" si="11"/>
        <v>项目建筑规模</v>
      </c>
      <c r="R30" s="669" t="s">
        <v>14</v>
      </c>
      <c r="S30" s="670" t="e">
        <f t="shared" si="12"/>
        <v>#N/A</v>
      </c>
      <c r="T30" s="669" t="s">
        <v>14</v>
      </c>
      <c r="U30" s="670" t="e">
        <f t="shared" si="13"/>
        <v>#N/A</v>
      </c>
      <c r="V30" s="669" t="s">
        <v>14</v>
      </c>
      <c r="W30" s="670" t="e">
        <f t="shared" si="14"/>
        <v>#N/A</v>
      </c>
      <c r="X30" s="671"/>
      <c r="Y30" s="344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1"/>
      <c r="Q31" s="1263" t="str">
        <f t="shared" si="11"/>
        <v>建筑结构</v>
      </c>
      <c r="R31" s="667" t="s">
        <v>14</v>
      </c>
      <c r="S31" s="668">
        <f t="shared" si="12"/>
        <v>100</v>
      </c>
      <c r="T31" s="667" t="s">
        <v>14</v>
      </c>
      <c r="U31" s="668">
        <f t="shared" si="13"/>
        <v>100</v>
      </c>
      <c r="V31" s="667" t="s">
        <v>14</v>
      </c>
      <c r="W31" s="668">
        <f t="shared" si="14"/>
        <v>100</v>
      </c>
      <c r="X31" s="1265"/>
      <c r="Y31" s="344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1"/>
      <c r="Q32" s="1263" t="str">
        <f t="shared" si="11"/>
        <v>公共部分装修</v>
      </c>
      <c r="R32" s="667" t="s">
        <v>14</v>
      </c>
      <c r="S32" s="668">
        <f t="shared" si="12"/>
        <v>100</v>
      </c>
      <c r="T32" s="667" t="s">
        <v>14</v>
      </c>
      <c r="U32" s="668">
        <f t="shared" si="13"/>
        <v>100</v>
      </c>
      <c r="V32" s="667" t="s">
        <v>14</v>
      </c>
      <c r="W32" s="668">
        <f t="shared" si="14"/>
        <v>100</v>
      </c>
      <c r="X32" s="1265"/>
      <c r="Y32" s="344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1"/>
      <c r="Q33" s="1263" t="str">
        <f t="shared" si="11"/>
        <v>成新度</v>
      </c>
      <c r="R33" s="667" t="s">
        <v>14</v>
      </c>
      <c r="S33" s="668" t="e">
        <f t="shared" si="12"/>
        <v>#N/A</v>
      </c>
      <c r="T33" s="667" t="s">
        <v>14</v>
      </c>
      <c r="U33" s="668" t="e">
        <f t="shared" si="13"/>
        <v>#N/A</v>
      </c>
      <c r="V33" s="667" t="s">
        <v>14</v>
      </c>
      <c r="W33" s="668" t="e">
        <f t="shared" si="14"/>
        <v>#N/A</v>
      </c>
      <c r="X33" s="1265"/>
      <c r="Y33" s="344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1"/>
      <c r="Q34" s="530" t="str">
        <f t="shared" si="11"/>
        <v>物业管理</v>
      </c>
      <c r="R34" s="664" t="s">
        <v>14</v>
      </c>
      <c r="S34" s="665">
        <f t="shared" si="12"/>
        <v>100</v>
      </c>
      <c r="T34" s="664" t="s">
        <v>14</v>
      </c>
      <c r="U34" s="665">
        <f t="shared" si="13"/>
        <v>100</v>
      </c>
      <c r="V34" s="664" t="s">
        <v>14</v>
      </c>
      <c r="W34" s="665">
        <f t="shared" si="14"/>
        <v>100</v>
      </c>
      <c r="X34" s="666"/>
      <c r="Y34" s="344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1" t="s">
        <v>1696</v>
      </c>
      <c r="Q35" s="1263" t="str">
        <f t="shared" si="11"/>
        <v>市政基础设施</v>
      </c>
      <c r="R35" s="667" t="s">
        <v>14</v>
      </c>
      <c r="S35" s="668">
        <f t="shared" si="12"/>
        <v>100</v>
      </c>
      <c r="T35" s="667" t="s">
        <v>14</v>
      </c>
      <c r="U35" s="668">
        <f t="shared" si="13"/>
        <v>100</v>
      </c>
      <c r="V35" s="667" t="s">
        <v>14</v>
      </c>
      <c r="W35" s="668">
        <f t="shared" si="14"/>
        <v>100</v>
      </c>
      <c r="X35" s="1265"/>
      <c r="Y35" s="344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1"/>
      <c r="Q36" s="1263" t="str">
        <f t="shared" si="11"/>
        <v>内部装修</v>
      </c>
      <c r="R36" s="667" t="s">
        <v>14</v>
      </c>
      <c r="S36" s="668">
        <f t="shared" si="12"/>
        <v>100</v>
      </c>
      <c r="T36" s="667" t="s">
        <v>14</v>
      </c>
      <c r="U36" s="668">
        <f t="shared" si="13"/>
        <v>100</v>
      </c>
      <c r="V36" s="667" t="s">
        <v>14</v>
      </c>
      <c r="W36" s="668">
        <f t="shared" si="14"/>
        <v>100</v>
      </c>
      <c r="X36" s="1265"/>
      <c r="Y36" s="344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1"/>
      <c r="Q37" s="1263" t="str">
        <f t="shared" si="11"/>
        <v>内部装修状况</v>
      </c>
      <c r="R37" s="667" t="s">
        <v>14</v>
      </c>
      <c r="S37" s="668">
        <f t="shared" si="12"/>
        <v>100</v>
      </c>
      <c r="T37" s="667" t="s">
        <v>14</v>
      </c>
      <c r="U37" s="668">
        <f t="shared" si="13"/>
        <v>100</v>
      </c>
      <c r="V37" s="667" t="s">
        <v>14</v>
      </c>
      <c r="W37" s="668">
        <f t="shared" si="14"/>
        <v>100</v>
      </c>
      <c r="X37" s="1265"/>
      <c r="Y37" s="344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1"/>
      <c r="Q38" s="531">
        <f t="shared" si="11"/>
        <v>111</v>
      </c>
      <c r="R38" s="669" t="s">
        <v>14</v>
      </c>
      <c r="S38" s="670">
        <f t="shared" si="12"/>
        <v>100</v>
      </c>
      <c r="T38" s="669" t="s">
        <v>14</v>
      </c>
      <c r="U38" s="670">
        <f t="shared" si="13"/>
        <v>100</v>
      </c>
      <c r="V38" s="669" t="s">
        <v>14</v>
      </c>
      <c r="W38" s="670">
        <f t="shared" si="14"/>
        <v>100</v>
      </c>
      <c r="X38" s="671"/>
      <c r="Y38" s="344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1"/>
      <c r="Q39" s="1263">
        <f t="shared" si="11"/>
        <v>111</v>
      </c>
      <c r="R39" s="667" t="s">
        <v>14</v>
      </c>
      <c r="S39" s="668">
        <f t="shared" si="12"/>
        <v>100</v>
      </c>
      <c r="T39" s="667" t="s">
        <v>14</v>
      </c>
      <c r="U39" s="668">
        <f t="shared" si="13"/>
        <v>100</v>
      </c>
      <c r="V39" s="667" t="s">
        <v>14</v>
      </c>
      <c r="W39" s="668">
        <f t="shared" si="14"/>
        <v>100</v>
      </c>
      <c r="X39" s="1265"/>
      <c r="Y39" s="344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2"/>
      <c r="Q40" s="1263">
        <f t="shared" si="11"/>
        <v>111</v>
      </c>
      <c r="R40" s="667" t="s">
        <v>14</v>
      </c>
      <c r="S40" s="668">
        <f t="shared" si="12"/>
        <v>100</v>
      </c>
      <c r="T40" s="667" t="s">
        <v>14</v>
      </c>
      <c r="U40" s="668">
        <f t="shared" si="13"/>
        <v>100</v>
      </c>
      <c r="V40" s="667" t="s">
        <v>14</v>
      </c>
      <c r="W40" s="668">
        <f t="shared" si="14"/>
        <v>100</v>
      </c>
      <c r="X40" s="1265"/>
      <c r="Y40" s="344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5" t="str">
        <f>A41</f>
        <v>成交单价（元/平方米）</v>
      </c>
      <c r="Q41" s="3435"/>
      <c r="R41" s="3430">
        <f>E41</f>
        <v>0</v>
      </c>
      <c r="S41" s="3430"/>
      <c r="T41" s="3430">
        <f>G41</f>
        <v>0</v>
      </c>
      <c r="U41" s="3430"/>
      <c r="V41" s="3430">
        <f>I41</f>
        <v>0</v>
      </c>
      <c r="W41" s="343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5" t="str">
        <f>A42</f>
        <v>比较价值（元/平方米）</v>
      </c>
      <c r="Q42" s="34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2" t="str">
        <f>A43</f>
        <v>估价对象XX用房的比较价值（楼面单价，元/平方米）</v>
      </c>
      <c r="Q43" s="3433"/>
      <c r="R43" s="3434" t="e">
        <f>IF(F1="售价",ROUND(IF(D42="简单平均",AVERAGE(R42:V42),R42*F42+T42*H42+V42*J42),0),ROUND(IF(D42="简单平均",AVERAGE(R42:V42),R42*F42+T42*H42+V42*J42),1))</f>
        <v>#DIV/0!</v>
      </c>
      <c r="S43" s="3434"/>
      <c r="T43" s="3434"/>
      <c r="U43" s="3434"/>
      <c r="V43" s="3434"/>
      <c r="W43" s="343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ht="15">
      <c r="A5" s="348"/>
      <c r="B5" s="349"/>
      <c r="C5" s="3411" t="s">
        <v>1673</v>
      </c>
      <c r="D5" s="3412"/>
      <c r="E5" s="3409" t="s">
        <v>1674</v>
      </c>
      <c r="F5" s="3410"/>
      <c r="G5" s="3411" t="s">
        <v>1675</v>
      </c>
      <c r="H5" s="3412"/>
      <c r="I5" s="3411" t="s">
        <v>1676</v>
      </c>
      <c r="J5" s="3412"/>
      <c r="K5" s="537"/>
      <c r="L5" s="2487"/>
      <c r="M5" s="2488"/>
      <c r="N5" s="2488"/>
      <c r="O5" s="2488"/>
      <c r="P5" s="3424"/>
      <c r="Q5" s="3425"/>
      <c r="R5" s="3407"/>
      <c r="S5" s="3408"/>
      <c r="T5" s="3407"/>
      <c r="U5" s="3408"/>
      <c r="V5" s="3430"/>
      <c r="W5" s="3430"/>
      <c r="X5" s="1265"/>
      <c r="Y5" s="3407"/>
      <c r="Z5" s="3408"/>
      <c r="AA5" s="3401"/>
      <c r="AB5" s="3401"/>
      <c r="AC5" s="3401"/>
    </row>
    <row r="6" spans="1:29" ht="15.75" thickBot="1">
      <c r="A6" s="350"/>
      <c r="B6" s="351"/>
      <c r="C6" s="3413" t="s">
        <v>1677</v>
      </c>
      <c r="D6" s="3414"/>
      <c r="E6" s="3415" t="s">
        <v>1677</v>
      </c>
      <c r="F6" s="3416"/>
      <c r="G6" s="3413" t="s">
        <v>1677</v>
      </c>
      <c r="H6" s="3414"/>
      <c r="I6" s="3413" t="s">
        <v>1677</v>
      </c>
      <c r="J6" s="3414"/>
      <c r="K6" s="537" t="s">
        <v>1678</v>
      </c>
      <c r="L6" s="2487"/>
      <c r="M6" s="2488"/>
      <c r="N6" s="2488"/>
      <c r="O6" s="2488"/>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31"/>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5"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5"/>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7"/>
      <c r="Q15" s="1263"/>
      <c r="R15" s="667"/>
      <c r="S15" s="668"/>
      <c r="T15" s="667"/>
      <c r="U15" s="668"/>
      <c r="V15" s="667"/>
      <c r="W15" s="668"/>
      <c r="X15" s="1265"/>
      <c r="Y15" s="343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7"/>
      <c r="Q17" s="1263"/>
      <c r="R17" s="667"/>
      <c r="S17" s="668"/>
      <c r="T17" s="667"/>
      <c r="U17" s="668"/>
      <c r="V17" s="667"/>
      <c r="W17" s="668"/>
      <c r="X17" s="1265"/>
      <c r="Y17" s="343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7"/>
      <c r="Q19" s="1263"/>
      <c r="R19" s="667"/>
      <c r="S19" s="668"/>
      <c r="T19" s="667"/>
      <c r="U19" s="668"/>
      <c r="V19" s="667"/>
      <c r="W19" s="668"/>
      <c r="X19" s="1265"/>
      <c r="Y19" s="343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7"/>
      <c r="Q21" s="1263"/>
      <c r="R21" s="667"/>
      <c r="S21" s="668"/>
      <c r="T21" s="667"/>
      <c r="U21" s="668"/>
      <c r="V21" s="667"/>
      <c r="W21" s="668"/>
      <c r="X21" s="1265"/>
      <c r="Y21" s="343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7"/>
      <c r="Q24" s="1263">
        <f t="shared" ref="Q24:Q36"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1"/>
      <c r="Q27" s="531" t="str">
        <f t="shared" si="11"/>
        <v>项目停车位配比</v>
      </c>
      <c r="R27" s="669" t="s">
        <v>14</v>
      </c>
      <c r="S27" s="670">
        <f t="shared" si="12"/>
        <v>100</v>
      </c>
      <c r="T27" s="669" t="s">
        <v>14</v>
      </c>
      <c r="U27" s="670">
        <f t="shared" si="13"/>
        <v>100</v>
      </c>
      <c r="V27" s="669" t="s">
        <v>14</v>
      </c>
      <c r="W27" s="670">
        <f t="shared" si="14"/>
        <v>100</v>
      </c>
      <c r="X27" s="671"/>
      <c r="Y27" s="344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1"/>
      <c r="Q28" s="1263" t="str">
        <f t="shared" si="11"/>
        <v>公共部分装修</v>
      </c>
      <c r="R28" s="667" t="s">
        <v>14</v>
      </c>
      <c r="S28" s="668">
        <f t="shared" si="12"/>
        <v>100</v>
      </c>
      <c r="T28" s="667" t="s">
        <v>14</v>
      </c>
      <c r="U28" s="668">
        <f t="shared" si="13"/>
        <v>100</v>
      </c>
      <c r="V28" s="667" t="s">
        <v>14</v>
      </c>
      <c r="W28" s="668">
        <f t="shared" si="14"/>
        <v>100</v>
      </c>
      <c r="X28" s="1265"/>
      <c r="Y28" s="344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1"/>
      <c r="Q29" s="1263" t="str">
        <f t="shared" si="11"/>
        <v>成新率</v>
      </c>
      <c r="R29" s="667" t="s">
        <v>14</v>
      </c>
      <c r="S29" s="668" t="e">
        <f t="shared" si="12"/>
        <v>#N/A</v>
      </c>
      <c r="T29" s="667" t="s">
        <v>14</v>
      </c>
      <c r="U29" s="668" t="e">
        <f t="shared" si="13"/>
        <v>#N/A</v>
      </c>
      <c r="V29" s="667" t="s">
        <v>14</v>
      </c>
      <c r="W29" s="668" t="e">
        <f t="shared" si="14"/>
        <v>#N/A</v>
      </c>
      <c r="X29" s="1265"/>
      <c r="Y29" s="344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1"/>
      <c r="Q30" s="1263" t="str">
        <f t="shared" si="11"/>
        <v>物业等级</v>
      </c>
      <c r="R30" s="667" t="s">
        <v>14</v>
      </c>
      <c r="S30" s="668">
        <f t="shared" si="12"/>
        <v>100</v>
      </c>
      <c r="T30" s="667" t="s">
        <v>14</v>
      </c>
      <c r="U30" s="668">
        <f t="shared" si="13"/>
        <v>100</v>
      </c>
      <c r="V30" s="667" t="s">
        <v>14</v>
      </c>
      <c r="W30" s="668">
        <f t="shared" si="14"/>
        <v>100</v>
      </c>
      <c r="X30" s="1265"/>
      <c r="Y30" s="344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1"/>
      <c r="Q31" s="530" t="str">
        <f t="shared" si="11"/>
        <v>停车位面积</v>
      </c>
      <c r="R31" s="664" t="s">
        <v>14</v>
      </c>
      <c r="S31" s="665" t="e">
        <f t="shared" si="12"/>
        <v>#N/A</v>
      </c>
      <c r="T31" s="664" t="s">
        <v>14</v>
      </c>
      <c r="U31" s="665" t="e">
        <f t="shared" si="13"/>
        <v>#N/A</v>
      </c>
      <c r="V31" s="664" t="s">
        <v>14</v>
      </c>
      <c r="W31" s="665" t="e">
        <f t="shared" si="14"/>
        <v>#N/A</v>
      </c>
      <c r="X31" s="666"/>
      <c r="Y31" s="344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1" t="s">
        <v>1696</v>
      </c>
      <c r="Q32" s="1263" t="str">
        <f t="shared" si="11"/>
        <v>车位类型</v>
      </c>
      <c r="R32" s="667" t="s">
        <v>14</v>
      </c>
      <c r="S32" s="668">
        <f t="shared" si="12"/>
        <v>100</v>
      </c>
      <c r="T32" s="667" t="s">
        <v>14</v>
      </c>
      <c r="U32" s="668">
        <f t="shared" si="13"/>
        <v>100</v>
      </c>
      <c r="V32" s="667" t="s">
        <v>14</v>
      </c>
      <c r="W32" s="668">
        <f t="shared" si="14"/>
        <v>100</v>
      </c>
      <c r="X32" s="1265"/>
      <c r="Y32" s="344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1"/>
      <c r="Q33" s="1263" t="str">
        <f t="shared" si="11"/>
        <v>是否直接入户</v>
      </c>
      <c r="R33" s="667" t="s">
        <v>14</v>
      </c>
      <c r="S33" s="668">
        <f t="shared" si="12"/>
        <v>100</v>
      </c>
      <c r="T33" s="667" t="s">
        <v>14</v>
      </c>
      <c r="U33" s="668">
        <f t="shared" si="13"/>
        <v>100</v>
      </c>
      <c r="V33" s="667" t="s">
        <v>14</v>
      </c>
      <c r="W33" s="668">
        <f t="shared" si="14"/>
        <v>100</v>
      </c>
      <c r="X33" s="1265"/>
      <c r="Y33" s="344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1"/>
      <c r="Q35" s="531">
        <f t="shared" si="11"/>
        <v>111</v>
      </c>
      <c r="R35" s="669" t="s">
        <v>14</v>
      </c>
      <c r="S35" s="670">
        <f t="shared" si="12"/>
        <v>100</v>
      </c>
      <c r="T35" s="669" t="s">
        <v>14</v>
      </c>
      <c r="U35" s="670">
        <f t="shared" si="13"/>
        <v>100</v>
      </c>
      <c r="V35" s="669" t="s">
        <v>14</v>
      </c>
      <c r="W35" s="670">
        <f t="shared" si="14"/>
        <v>100</v>
      </c>
      <c r="X35" s="671"/>
      <c r="Y35" s="344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1"/>
      <c r="Q36" s="1263">
        <f t="shared" si="11"/>
        <v>111</v>
      </c>
      <c r="R36" s="667" t="s">
        <v>14</v>
      </c>
      <c r="S36" s="668">
        <f t="shared" si="12"/>
        <v>100</v>
      </c>
      <c r="T36" s="667" t="s">
        <v>14</v>
      </c>
      <c r="U36" s="668">
        <f t="shared" si="13"/>
        <v>100</v>
      </c>
      <c r="V36" s="667" t="s">
        <v>14</v>
      </c>
      <c r="W36" s="668">
        <f t="shared" si="14"/>
        <v>100</v>
      </c>
      <c r="X36" s="1265"/>
      <c r="Y36" s="3441"/>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35" t="str">
        <f>A37</f>
        <v>成交单价</v>
      </c>
      <c r="Q37" s="3435"/>
      <c r="R37" s="3430">
        <f>E37</f>
        <v>0</v>
      </c>
      <c r="S37" s="3430"/>
      <c r="T37" s="3430">
        <f>G37</f>
        <v>0</v>
      </c>
      <c r="U37" s="3430"/>
      <c r="V37" s="3430">
        <f>I37</f>
        <v>0</v>
      </c>
      <c r="W37" s="343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5" t="str">
        <f>A38</f>
        <v>比较价值（元/平方米）</v>
      </c>
      <c r="Q38" s="34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2" t="str">
        <f>A39</f>
        <v>估价对象XX用房的比较价值（楼面单价，元/平方米）</v>
      </c>
      <c r="Q39" s="3433"/>
      <c r="R39" s="3461" t="e">
        <f>IF(F1="售价",ROUND(IF(D38="简单平均",AVERAGE(R38:W38),R38*F38+T38*H38+V38*J38),0),ROUND(IF(D38="简单平均",AVERAGE(R38:V38),R38*F38+T38*H38+V38*J38),1))</f>
        <v>#DIV/0!</v>
      </c>
      <c r="S39" s="3461"/>
      <c r="T39" s="3461"/>
      <c r="U39" s="3461"/>
      <c r="V39" s="3461"/>
      <c r="W39" s="346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ht="15">
      <c r="A5" s="348"/>
      <c r="B5" s="349"/>
      <c r="C5" s="3411" t="s">
        <v>1673</v>
      </c>
      <c r="D5" s="3412"/>
      <c r="E5" s="3409" t="s">
        <v>1674</v>
      </c>
      <c r="F5" s="3410"/>
      <c r="G5" s="3411" t="s">
        <v>1675</v>
      </c>
      <c r="H5" s="3412"/>
      <c r="I5" s="3411" t="s">
        <v>1676</v>
      </c>
      <c r="J5" s="3412"/>
      <c r="K5" s="537"/>
      <c r="L5" s="2487"/>
      <c r="M5" s="2488"/>
      <c r="N5" s="2488"/>
      <c r="O5" s="2488"/>
      <c r="P5" s="3424"/>
      <c r="Q5" s="3425"/>
      <c r="R5" s="3407"/>
      <c r="S5" s="3408"/>
      <c r="T5" s="3407"/>
      <c r="U5" s="3408"/>
      <c r="V5" s="3430"/>
      <c r="W5" s="3430"/>
      <c r="X5" s="1265"/>
      <c r="Y5" s="3407"/>
      <c r="Z5" s="3408"/>
      <c r="AA5" s="3401"/>
      <c r="AB5" s="3401"/>
      <c r="AC5" s="3401"/>
    </row>
    <row r="6" spans="1:29" ht="15.75" thickBot="1">
      <c r="A6" s="350"/>
      <c r="B6" s="351"/>
      <c r="C6" s="3413" t="s">
        <v>1677</v>
      </c>
      <c r="D6" s="3414"/>
      <c r="E6" s="3415" t="s">
        <v>1677</v>
      </c>
      <c r="F6" s="3416"/>
      <c r="G6" s="3413" t="s">
        <v>1677</v>
      </c>
      <c r="H6" s="3414"/>
      <c r="I6" s="3413" t="s">
        <v>1677</v>
      </c>
      <c r="J6" s="3414"/>
      <c r="K6" s="537" t="s">
        <v>1678</v>
      </c>
      <c r="L6" s="2487"/>
      <c r="M6" s="2488"/>
      <c r="N6" s="2488"/>
      <c r="O6" s="2488"/>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31"/>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5"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5"/>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6" t="s">
        <v>1691</v>
      </c>
      <c r="Q14" s="1263" t="str">
        <f t="shared" si="6"/>
        <v>交通便捷度</v>
      </c>
      <c r="R14" s="667" t="s">
        <v>14</v>
      </c>
      <c r="S14" s="668">
        <f t="shared" si="0"/>
        <v>100</v>
      </c>
      <c r="T14" s="667" t="s">
        <v>14</v>
      </c>
      <c r="U14" s="668">
        <f t="shared" si="1"/>
        <v>100</v>
      </c>
      <c r="V14" s="667" t="s">
        <v>14</v>
      </c>
      <c r="W14" s="668">
        <f t="shared" si="2"/>
        <v>100</v>
      </c>
      <c r="X14" s="1265"/>
      <c r="Y14" s="343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7"/>
      <c r="Q15" s="1263"/>
      <c r="R15" s="667"/>
      <c r="S15" s="668"/>
      <c r="T15" s="667"/>
      <c r="U15" s="668"/>
      <c r="V15" s="667"/>
      <c r="W15" s="668"/>
      <c r="X15" s="1265"/>
      <c r="Y15" s="343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7"/>
      <c r="Q16" s="1263" t="str">
        <f>B16</f>
        <v>公共配套设施</v>
      </c>
      <c r="R16" s="667" t="s">
        <v>14</v>
      </c>
      <c r="S16" s="668">
        <f>F16</f>
        <v>100</v>
      </c>
      <c r="T16" s="667" t="s">
        <v>14</v>
      </c>
      <c r="U16" s="668">
        <f>H16</f>
        <v>100</v>
      </c>
      <c r="V16" s="667" t="s">
        <v>14</v>
      </c>
      <c r="W16" s="668">
        <f>J16</f>
        <v>100</v>
      </c>
      <c r="X16" s="1265"/>
      <c r="Y16" s="343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7"/>
      <c r="Q17" s="1263"/>
      <c r="R17" s="667"/>
      <c r="S17" s="668"/>
      <c r="T17" s="667"/>
      <c r="U17" s="668"/>
      <c r="V17" s="667"/>
      <c r="W17" s="668"/>
      <c r="X17" s="1265"/>
      <c r="Y17" s="343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7"/>
      <c r="Q18" s="1263" t="str">
        <f>B18</f>
        <v>基础设施水平</v>
      </c>
      <c r="R18" s="667" t="s">
        <v>14</v>
      </c>
      <c r="S18" s="668">
        <f>F18</f>
        <v>100</v>
      </c>
      <c r="T18" s="667" t="s">
        <v>14</v>
      </c>
      <c r="U18" s="668">
        <f>H18</f>
        <v>100</v>
      </c>
      <c r="V18" s="667" t="s">
        <v>14</v>
      </c>
      <c r="W18" s="668">
        <f>J18</f>
        <v>100</v>
      </c>
      <c r="X18" s="1265"/>
      <c r="Y18" s="343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7"/>
      <c r="Q19" s="1263"/>
      <c r="R19" s="667"/>
      <c r="S19" s="668"/>
      <c r="T19" s="667"/>
      <c r="U19" s="668"/>
      <c r="V19" s="667"/>
      <c r="W19" s="668"/>
      <c r="X19" s="1265"/>
      <c r="Y19" s="343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7"/>
      <c r="Q20" s="1263" t="str">
        <f>B20</f>
        <v>自然及人文环境</v>
      </c>
      <c r="R20" s="667" t="s">
        <v>14</v>
      </c>
      <c r="S20" s="668">
        <f>F20</f>
        <v>100</v>
      </c>
      <c r="T20" s="667" t="s">
        <v>14</v>
      </c>
      <c r="U20" s="668">
        <f>H20</f>
        <v>100</v>
      </c>
      <c r="V20" s="667" t="s">
        <v>14</v>
      </c>
      <c r="W20" s="668">
        <f>J20</f>
        <v>100</v>
      </c>
      <c r="X20" s="1265"/>
      <c r="Y20" s="343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7"/>
      <c r="Q21" s="1263"/>
      <c r="R21" s="667"/>
      <c r="S21" s="668"/>
      <c r="T21" s="667"/>
      <c r="U21" s="668"/>
      <c r="V21" s="667"/>
      <c r="W21" s="668"/>
      <c r="X21" s="1265"/>
      <c r="Y21" s="343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7"/>
      <c r="Q22" s="1263" t="str">
        <f>B22</f>
        <v>楼层</v>
      </c>
      <c r="R22" s="667" t="s">
        <v>14</v>
      </c>
      <c r="S22" s="668">
        <f>F22</f>
        <v>100</v>
      </c>
      <c r="T22" s="667" t="s">
        <v>14</v>
      </c>
      <c r="U22" s="668">
        <f>H22</f>
        <v>100</v>
      </c>
      <c r="V22" s="667" t="s">
        <v>14</v>
      </c>
      <c r="W22" s="668">
        <f>J22</f>
        <v>100</v>
      </c>
      <c r="X22" s="1265"/>
      <c r="Y22" s="343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7"/>
      <c r="Q23" s="1263">
        <f>B23</f>
        <v>111</v>
      </c>
      <c r="R23" s="667" t="s">
        <v>14</v>
      </c>
      <c r="S23" s="668">
        <f>F23</f>
        <v>100</v>
      </c>
      <c r="T23" s="667" t="s">
        <v>14</v>
      </c>
      <c r="U23" s="668">
        <f>H23</f>
        <v>100</v>
      </c>
      <c r="V23" s="667" t="s">
        <v>14</v>
      </c>
      <c r="W23" s="668">
        <f>J23</f>
        <v>100</v>
      </c>
      <c r="X23" s="1265"/>
      <c r="Y23" s="343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7"/>
      <c r="Q24" s="1263">
        <f t="shared" ref="Q24:Q34" si="11">B24</f>
        <v>111</v>
      </c>
      <c r="R24" s="667" t="s">
        <v>14</v>
      </c>
      <c r="S24" s="668">
        <f>F24</f>
        <v>100</v>
      </c>
      <c r="T24" s="667" t="s">
        <v>14</v>
      </c>
      <c r="U24" s="668">
        <f>H24</f>
        <v>100</v>
      </c>
      <c r="V24" s="667" t="s">
        <v>14</v>
      </c>
      <c r="W24" s="668">
        <f>J24</f>
        <v>100</v>
      </c>
      <c r="X24" s="1265"/>
      <c r="Y24" s="343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7"/>
      <c r="Q25" s="530">
        <f t="shared" si="11"/>
        <v>111</v>
      </c>
      <c r="R25" s="664" t="s">
        <v>14</v>
      </c>
      <c r="S25" s="665">
        <f>F25</f>
        <v>100</v>
      </c>
      <c r="T25" s="664" t="s">
        <v>14</v>
      </c>
      <c r="U25" s="665">
        <f>H25</f>
        <v>100</v>
      </c>
      <c r="V25" s="664" t="s">
        <v>14</v>
      </c>
      <c r="W25" s="665">
        <f>J25</f>
        <v>100</v>
      </c>
      <c r="X25" s="666"/>
      <c r="Y25" s="343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1"/>
      <c r="Q27" s="531" t="str">
        <f t="shared" si="11"/>
        <v>成新率</v>
      </c>
      <c r="R27" s="669" t="s">
        <v>14</v>
      </c>
      <c r="S27" s="670" t="e">
        <f t="shared" si="12"/>
        <v>#N/A</v>
      </c>
      <c r="T27" s="669" t="s">
        <v>14</v>
      </c>
      <c r="U27" s="670" t="e">
        <f t="shared" si="13"/>
        <v>#N/A</v>
      </c>
      <c r="V27" s="669" t="s">
        <v>14</v>
      </c>
      <c r="W27" s="670" t="e">
        <f t="shared" si="14"/>
        <v>#N/A</v>
      </c>
      <c r="X27" s="671"/>
      <c r="Y27" s="344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1"/>
      <c r="Q28" s="1263" t="str">
        <f t="shared" si="11"/>
        <v>物业等级</v>
      </c>
      <c r="R28" s="667" t="s">
        <v>14</v>
      </c>
      <c r="S28" s="668">
        <f t="shared" si="12"/>
        <v>100</v>
      </c>
      <c r="T28" s="667" t="s">
        <v>14</v>
      </c>
      <c r="U28" s="668">
        <f t="shared" si="13"/>
        <v>100</v>
      </c>
      <c r="V28" s="667" t="s">
        <v>14</v>
      </c>
      <c r="W28" s="668">
        <f t="shared" si="14"/>
        <v>100</v>
      </c>
      <c r="X28" s="1265"/>
      <c r="Y28" s="344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1"/>
      <c r="Q29" s="1263" t="str">
        <f t="shared" si="11"/>
        <v>有无电梯</v>
      </c>
      <c r="R29" s="667" t="s">
        <v>14</v>
      </c>
      <c r="S29" s="668">
        <f t="shared" si="12"/>
        <v>100</v>
      </c>
      <c r="T29" s="667" t="s">
        <v>14</v>
      </c>
      <c r="U29" s="668">
        <f t="shared" si="13"/>
        <v>100</v>
      </c>
      <c r="V29" s="667" t="s">
        <v>14</v>
      </c>
      <c r="W29" s="668">
        <f t="shared" si="14"/>
        <v>100</v>
      </c>
      <c r="X29" s="1265"/>
      <c r="Y29" s="344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1"/>
      <c r="Q30" s="1263" t="str">
        <f t="shared" si="11"/>
        <v>建筑面积</v>
      </c>
      <c r="R30" s="667" t="s">
        <v>14</v>
      </c>
      <c r="S30" s="668" t="e">
        <f t="shared" si="12"/>
        <v>#N/A</v>
      </c>
      <c r="T30" s="667" t="s">
        <v>14</v>
      </c>
      <c r="U30" s="668" t="e">
        <f t="shared" si="13"/>
        <v>#N/A</v>
      </c>
      <c r="V30" s="667" t="s">
        <v>14</v>
      </c>
      <c r="W30" s="668" t="e">
        <f t="shared" si="14"/>
        <v>#N/A</v>
      </c>
      <c r="X30" s="1265"/>
      <c r="Y30" s="344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1"/>
      <c r="Q31" s="530" t="str">
        <f t="shared" si="11"/>
        <v>是否封闭</v>
      </c>
      <c r="R31" s="664" t="s">
        <v>14</v>
      </c>
      <c r="S31" s="665">
        <f t="shared" si="12"/>
        <v>100</v>
      </c>
      <c r="T31" s="664" t="s">
        <v>14</v>
      </c>
      <c r="U31" s="665">
        <f t="shared" si="13"/>
        <v>100</v>
      </c>
      <c r="V31" s="664" t="s">
        <v>14</v>
      </c>
      <c r="W31" s="665">
        <f t="shared" si="14"/>
        <v>100</v>
      </c>
      <c r="X31" s="666"/>
      <c r="Y31" s="344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1" t="s">
        <v>1696</v>
      </c>
      <c r="Q32" s="1263">
        <f t="shared" si="11"/>
        <v>111</v>
      </c>
      <c r="R32" s="667" t="s">
        <v>14</v>
      </c>
      <c r="S32" s="668">
        <f t="shared" si="12"/>
        <v>100</v>
      </c>
      <c r="T32" s="667" t="s">
        <v>14</v>
      </c>
      <c r="U32" s="668">
        <f t="shared" si="13"/>
        <v>100</v>
      </c>
      <c r="V32" s="667" t="s">
        <v>14</v>
      </c>
      <c r="W32" s="668">
        <f t="shared" si="14"/>
        <v>100</v>
      </c>
      <c r="X32" s="1265"/>
      <c r="Y32" s="344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1"/>
      <c r="Q33" s="1263">
        <f t="shared" si="11"/>
        <v>111</v>
      </c>
      <c r="R33" s="667" t="s">
        <v>14</v>
      </c>
      <c r="S33" s="668">
        <f t="shared" si="12"/>
        <v>100</v>
      </c>
      <c r="T33" s="667" t="s">
        <v>14</v>
      </c>
      <c r="U33" s="668">
        <f t="shared" si="13"/>
        <v>100</v>
      </c>
      <c r="V33" s="667" t="s">
        <v>14</v>
      </c>
      <c r="W33" s="668">
        <f t="shared" si="14"/>
        <v>100</v>
      </c>
      <c r="X33" s="1265"/>
      <c r="Y33" s="344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1"/>
      <c r="Q34" s="1263">
        <f t="shared" si="11"/>
        <v>111</v>
      </c>
      <c r="R34" s="667" t="s">
        <v>14</v>
      </c>
      <c r="S34" s="668">
        <f t="shared" si="12"/>
        <v>100</v>
      </c>
      <c r="T34" s="667" t="s">
        <v>14</v>
      </c>
      <c r="U34" s="668">
        <f t="shared" si="13"/>
        <v>100</v>
      </c>
      <c r="V34" s="667" t="s">
        <v>14</v>
      </c>
      <c r="W34" s="668">
        <f t="shared" si="14"/>
        <v>100</v>
      </c>
      <c r="X34" s="1265"/>
      <c r="Y34" s="344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5" t="str">
        <f>A35</f>
        <v>成交单价（元/平方米）</v>
      </c>
      <c r="Q35" s="3435"/>
      <c r="R35" s="3430">
        <f>E35</f>
        <v>0</v>
      </c>
      <c r="S35" s="3430"/>
      <c r="T35" s="3430">
        <f>G35</f>
        <v>0</v>
      </c>
      <c r="U35" s="3430"/>
      <c r="V35" s="3430">
        <f>I35</f>
        <v>0</v>
      </c>
      <c r="W35" s="343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5" t="str">
        <f>A36</f>
        <v>比较价值（元/平方米）</v>
      </c>
      <c r="Q36" s="34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2" t="str">
        <f>A37</f>
        <v>估价对象XX用房的比较价值（楼面单价，元/平方米）</v>
      </c>
      <c r="Q37" s="3433"/>
      <c r="R37" s="3461" t="e">
        <f>IF(F1="售价",ROUND(IF(D36="简单平均",AVERAGE(R36:W36),R36*F36+T36*H36+V36*J36),0),ROUND(IF(D36="简单平均",AVERAGE(R36:V36),R36*F36+T36*H36+V36*J36),1))</f>
        <v>#DIV/0!</v>
      </c>
      <c r="S37" s="3461"/>
      <c r="T37" s="3461"/>
      <c r="U37" s="3461"/>
      <c r="V37" s="3461"/>
      <c r="W37" s="346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ht="15">
      <c r="A5" s="348"/>
      <c r="B5" s="349"/>
      <c r="C5" s="3411" t="s">
        <v>1673</v>
      </c>
      <c r="D5" s="3412"/>
      <c r="E5" s="3409" t="s">
        <v>1674</v>
      </c>
      <c r="F5" s="3410"/>
      <c r="G5" s="3411" t="s">
        <v>1675</v>
      </c>
      <c r="H5" s="3412"/>
      <c r="I5" s="3411" t="s">
        <v>1676</v>
      </c>
      <c r="J5" s="3412"/>
      <c r="K5" s="537"/>
      <c r="L5" s="2487"/>
      <c r="M5" s="2488"/>
      <c r="N5" s="2488"/>
      <c r="O5" s="2488"/>
      <c r="P5" s="3424"/>
      <c r="Q5" s="3425"/>
      <c r="R5" s="3407"/>
      <c r="S5" s="3408"/>
      <c r="T5" s="3407"/>
      <c r="U5" s="3408"/>
      <c r="V5" s="3430"/>
      <c r="W5" s="3430"/>
      <c r="X5" s="1265"/>
      <c r="Y5" s="3407"/>
      <c r="Z5" s="3408"/>
      <c r="AA5" s="3401"/>
      <c r="AB5" s="3401"/>
      <c r="AC5" s="3401"/>
    </row>
    <row r="6" spans="1:29" ht="15.75" thickBot="1">
      <c r="A6" s="350"/>
      <c r="B6" s="351"/>
      <c r="C6" s="3413" t="s">
        <v>1677</v>
      </c>
      <c r="D6" s="3414"/>
      <c r="E6" s="3415" t="s">
        <v>1677</v>
      </c>
      <c r="F6" s="3416"/>
      <c r="G6" s="3413" t="s">
        <v>1677</v>
      </c>
      <c r="H6" s="3414"/>
      <c r="I6" s="3413" t="s">
        <v>1677</v>
      </c>
      <c r="J6" s="3414"/>
      <c r="K6" s="537" t="s">
        <v>1678</v>
      </c>
      <c r="L6" s="2487"/>
      <c r="M6" s="2488"/>
      <c r="N6" s="2488"/>
      <c r="O6" s="2488"/>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90"/>
      <c r="M10" s="2491"/>
      <c r="N10" s="2491"/>
      <c r="O10" s="2542"/>
      <c r="P10" s="3435"/>
      <c r="Q10" s="530" t="str">
        <f t="shared" si="6"/>
        <v>土地使用年限（年）</v>
      </c>
      <c r="R10" s="664" t="s">
        <v>14</v>
      </c>
      <c r="S10" s="665">
        <f t="shared" si="0"/>
        <v>131</v>
      </c>
      <c r="T10" s="664" t="s">
        <v>14</v>
      </c>
      <c r="U10" s="665">
        <f t="shared" si="1"/>
        <v>131</v>
      </c>
      <c r="V10" s="664" t="s">
        <v>14</v>
      </c>
      <c r="W10" s="665">
        <f t="shared" si="2"/>
        <v>131</v>
      </c>
      <c r="X10" s="666"/>
      <c r="Y10" s="332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5"/>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5"/>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5"/>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5"/>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6" t="s">
        <v>1691</v>
      </c>
      <c r="Q15" s="1263" t="str">
        <f t="shared" si="6"/>
        <v>居住社区成熟度</v>
      </c>
      <c r="R15" s="667" t="s">
        <v>14</v>
      </c>
      <c r="S15" s="668">
        <f t="shared" si="0"/>
        <v>100</v>
      </c>
      <c r="T15" s="667" t="s">
        <v>14</v>
      </c>
      <c r="U15" s="668">
        <f t="shared" si="1"/>
        <v>100</v>
      </c>
      <c r="V15" s="667" t="s">
        <v>14</v>
      </c>
      <c r="W15" s="668">
        <f t="shared" si="2"/>
        <v>100</v>
      </c>
      <c r="X15" s="1265"/>
      <c r="Y15" s="343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7"/>
      <c r="Q16" s="1263"/>
      <c r="R16" s="667"/>
      <c r="S16" s="668"/>
      <c r="T16" s="667"/>
      <c r="U16" s="668"/>
      <c r="V16" s="667"/>
      <c r="W16" s="668"/>
      <c r="X16" s="1265"/>
      <c r="Y16" s="343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7"/>
      <c r="Q17" s="1263" t="str">
        <f>B17</f>
        <v>商业繁华度</v>
      </c>
      <c r="R17" s="667" t="s">
        <v>14</v>
      </c>
      <c r="S17" s="668">
        <f>F17</f>
        <v>100</v>
      </c>
      <c r="T17" s="667" t="s">
        <v>14</v>
      </c>
      <c r="U17" s="668">
        <f>H17</f>
        <v>100</v>
      </c>
      <c r="V17" s="667" t="s">
        <v>14</v>
      </c>
      <c r="W17" s="668">
        <f>J17</f>
        <v>100</v>
      </c>
      <c r="X17" s="1265"/>
      <c r="Y17" s="343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7"/>
      <c r="Q18" s="1263"/>
      <c r="R18" s="667"/>
      <c r="S18" s="668"/>
      <c r="T18" s="667"/>
      <c r="U18" s="668"/>
      <c r="V18" s="667"/>
      <c r="W18" s="668"/>
      <c r="X18" s="1265"/>
      <c r="Y18" s="343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7"/>
      <c r="Q19" s="1263" t="str">
        <f>B19</f>
        <v>办公集聚程度</v>
      </c>
      <c r="R19" s="667" t="s">
        <v>14</v>
      </c>
      <c r="S19" s="668">
        <f>F19</f>
        <v>100</v>
      </c>
      <c r="T19" s="667" t="s">
        <v>14</v>
      </c>
      <c r="U19" s="668">
        <f>H19</f>
        <v>100</v>
      </c>
      <c r="V19" s="667" t="s">
        <v>14</v>
      </c>
      <c r="W19" s="668">
        <f>J19</f>
        <v>100</v>
      </c>
      <c r="X19" s="1265"/>
      <c r="Y19" s="343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7"/>
      <c r="Q20" s="1263"/>
      <c r="R20" s="667"/>
      <c r="S20" s="668"/>
      <c r="T20" s="667"/>
      <c r="U20" s="668"/>
      <c r="V20" s="667"/>
      <c r="W20" s="668"/>
      <c r="X20" s="1265"/>
      <c r="Y20" s="343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7"/>
      <c r="Q21" s="1263" t="str">
        <f>B21</f>
        <v>交通便捷度</v>
      </c>
      <c r="R21" s="667" t="s">
        <v>14</v>
      </c>
      <c r="S21" s="668">
        <f>F21</f>
        <v>100</v>
      </c>
      <c r="T21" s="667" t="s">
        <v>14</v>
      </c>
      <c r="U21" s="668">
        <f>H21</f>
        <v>100</v>
      </c>
      <c r="V21" s="667" t="s">
        <v>14</v>
      </c>
      <c r="W21" s="668">
        <f>J21</f>
        <v>100</v>
      </c>
      <c r="X21" s="1265"/>
      <c r="Y21" s="343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7"/>
      <c r="Q22" s="1263"/>
      <c r="R22" s="667"/>
      <c r="S22" s="668"/>
      <c r="T22" s="667"/>
      <c r="U22" s="668"/>
      <c r="V22" s="667"/>
      <c r="W22" s="668"/>
      <c r="X22" s="1265"/>
      <c r="Y22" s="343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7"/>
      <c r="Q23" s="1263" t="str">
        <f t="shared" ref="Q23:Q37" si="8">B23</f>
        <v>区域土地利用方向</v>
      </c>
      <c r="R23" s="667" t="s">
        <v>14</v>
      </c>
      <c r="S23" s="668">
        <f>F23</f>
        <v>100</v>
      </c>
      <c r="T23" s="667" t="s">
        <v>14</v>
      </c>
      <c r="U23" s="668">
        <f>H23</f>
        <v>100</v>
      </c>
      <c r="V23" s="667" t="s">
        <v>14</v>
      </c>
      <c r="W23" s="668">
        <f>J23</f>
        <v>100</v>
      </c>
      <c r="X23" s="1265"/>
      <c r="Y23" s="343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7"/>
      <c r="Q24" s="1263"/>
      <c r="R24" s="667"/>
      <c r="S24" s="668"/>
      <c r="T24" s="667"/>
      <c r="U24" s="668"/>
      <c r="V24" s="667"/>
      <c r="W24" s="668"/>
      <c r="X24" s="1265"/>
      <c r="Y24" s="343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7"/>
      <c r="Q25" s="1263" t="str">
        <f t="shared" si="8"/>
        <v>自然及人文环境状况</v>
      </c>
      <c r="R25" s="667" t="s">
        <v>14</v>
      </c>
      <c r="S25" s="668">
        <f>F25</f>
        <v>100</v>
      </c>
      <c r="T25" s="667" t="s">
        <v>14</v>
      </c>
      <c r="U25" s="668">
        <f>H25</f>
        <v>100</v>
      </c>
      <c r="V25" s="667" t="s">
        <v>14</v>
      </c>
      <c r="W25" s="668">
        <f>J25</f>
        <v>100</v>
      </c>
      <c r="X25" s="1265"/>
      <c r="Y25" s="343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7"/>
      <c r="Q26" s="1263"/>
      <c r="R26" s="667"/>
      <c r="S26" s="668"/>
      <c r="T26" s="667"/>
      <c r="U26" s="668"/>
      <c r="V26" s="667"/>
      <c r="W26" s="668"/>
      <c r="X26" s="1265"/>
      <c r="Y26" s="343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7"/>
      <c r="Q27" s="530" t="str">
        <f t="shared" si="8"/>
        <v>公共配套设施</v>
      </c>
      <c r="R27" s="664" t="s">
        <v>14</v>
      </c>
      <c r="S27" s="665">
        <f>F27</f>
        <v>100</v>
      </c>
      <c r="T27" s="664" t="s">
        <v>14</v>
      </c>
      <c r="U27" s="665">
        <f>H27</f>
        <v>100</v>
      </c>
      <c r="V27" s="664" t="s">
        <v>14</v>
      </c>
      <c r="W27" s="665">
        <f>J27</f>
        <v>100</v>
      </c>
      <c r="X27" s="666"/>
      <c r="Y27" s="343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7"/>
      <c r="Q28" s="530"/>
      <c r="R28" s="664"/>
      <c r="S28" s="665"/>
      <c r="T28" s="664"/>
      <c r="U28" s="665"/>
      <c r="V28" s="664"/>
      <c r="W28" s="665"/>
      <c r="X28" s="666"/>
      <c r="Y28" s="343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7"/>
      <c r="Q30" s="530"/>
      <c r="R30" s="664"/>
      <c r="S30" s="665"/>
      <c r="T30" s="664"/>
      <c r="U30" s="665"/>
      <c r="V30" s="664"/>
      <c r="W30" s="665"/>
      <c r="X30" s="666"/>
      <c r="Y30" s="343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7"/>
      <c r="Q32" s="1263" t="str">
        <f t="shared" si="8"/>
        <v>毗邻道路的类型与等级</v>
      </c>
      <c r="R32" s="667" t="s">
        <v>14</v>
      </c>
      <c r="S32" s="668">
        <f t="shared" si="10"/>
        <v>100</v>
      </c>
      <c r="T32" s="667" t="s">
        <v>14</v>
      </c>
      <c r="U32" s="668">
        <f t="shared" si="11"/>
        <v>100</v>
      </c>
      <c r="V32" s="667" t="s">
        <v>14</v>
      </c>
      <c r="W32" s="668">
        <f t="shared" si="12"/>
        <v>100</v>
      </c>
      <c r="X32" s="1265"/>
      <c r="Y32" s="343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7"/>
      <c r="Q33" s="1263"/>
      <c r="R33" s="667"/>
      <c r="S33" s="668"/>
      <c r="T33" s="667"/>
      <c r="U33" s="668"/>
      <c r="V33" s="667"/>
      <c r="W33" s="668"/>
      <c r="X33" s="1265"/>
      <c r="Y33" s="343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7"/>
      <c r="Q34" s="1263" t="str">
        <f t="shared" si="8"/>
        <v>土地级别</v>
      </c>
      <c r="R34" s="667" t="s">
        <v>14</v>
      </c>
      <c r="S34" s="668">
        <f t="shared" si="10"/>
        <v>100</v>
      </c>
      <c r="T34" s="667" t="s">
        <v>14</v>
      </c>
      <c r="U34" s="668">
        <f t="shared" si="11"/>
        <v>100</v>
      </c>
      <c r="V34" s="667" t="s">
        <v>14</v>
      </c>
      <c r="W34" s="668">
        <f t="shared" si="12"/>
        <v>100</v>
      </c>
      <c r="X34" s="1265"/>
      <c r="Y34" s="343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7"/>
      <c r="Q35" s="1263">
        <f t="shared" si="8"/>
        <v>111</v>
      </c>
      <c r="R35" s="667" t="s">
        <v>14</v>
      </c>
      <c r="S35" s="668">
        <f t="shared" si="10"/>
        <v>100</v>
      </c>
      <c r="T35" s="667" t="s">
        <v>14</v>
      </c>
      <c r="U35" s="668">
        <f t="shared" si="11"/>
        <v>100</v>
      </c>
      <c r="V35" s="667" t="s">
        <v>14</v>
      </c>
      <c r="W35" s="668">
        <f t="shared" si="12"/>
        <v>100</v>
      </c>
      <c r="X35" s="1265"/>
      <c r="Y35" s="343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0" t="s">
        <v>1696</v>
      </c>
      <c r="Q36" s="1263">
        <f t="shared" si="8"/>
        <v>111</v>
      </c>
      <c r="R36" s="667" t="s">
        <v>14</v>
      </c>
      <c r="S36" s="668">
        <f t="shared" si="10"/>
        <v>100</v>
      </c>
      <c r="T36" s="667" t="s">
        <v>14</v>
      </c>
      <c r="U36" s="668">
        <f t="shared" si="11"/>
        <v>100</v>
      </c>
      <c r="V36" s="667" t="s">
        <v>14</v>
      </c>
      <c r="W36" s="668">
        <f t="shared" si="12"/>
        <v>100</v>
      </c>
      <c r="X36" s="1265"/>
      <c r="Y36" s="344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1"/>
      <c r="Q37" s="1263">
        <f t="shared" si="8"/>
        <v>111</v>
      </c>
      <c r="R37" s="669" t="s">
        <v>14</v>
      </c>
      <c r="S37" s="670">
        <f t="shared" si="10"/>
        <v>100</v>
      </c>
      <c r="T37" s="669" t="s">
        <v>14</v>
      </c>
      <c r="U37" s="670">
        <f t="shared" si="11"/>
        <v>100</v>
      </c>
      <c r="V37" s="669" t="s">
        <v>14</v>
      </c>
      <c r="W37" s="670">
        <f t="shared" si="12"/>
        <v>100</v>
      </c>
      <c r="X37" s="671"/>
      <c r="Y37" s="344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1"/>
      <c r="Q38" s="1263" t="str">
        <f>B38</f>
        <v>宗地面积</v>
      </c>
      <c r="R38" s="667" t="s">
        <v>14</v>
      </c>
      <c r="S38" s="668" t="e">
        <f t="shared" si="10"/>
        <v>#N/A</v>
      </c>
      <c r="T38" s="667" t="s">
        <v>14</v>
      </c>
      <c r="U38" s="668" t="e">
        <f t="shared" si="11"/>
        <v>#N/A</v>
      </c>
      <c r="V38" s="667" t="s">
        <v>14</v>
      </c>
      <c r="W38" s="668" t="e">
        <f t="shared" si="12"/>
        <v>#N/A</v>
      </c>
      <c r="X38" s="1265"/>
      <c r="Y38" s="344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1"/>
      <c r="Q39" s="1263" t="str">
        <f t="shared" ref="Q39:Q45" si="14">B39</f>
        <v>宗地形状</v>
      </c>
      <c r="R39" s="667" t="s">
        <v>14</v>
      </c>
      <c r="S39" s="668">
        <f t="shared" si="10"/>
        <v>100</v>
      </c>
      <c r="T39" s="667" t="s">
        <v>14</v>
      </c>
      <c r="U39" s="668">
        <f t="shared" si="11"/>
        <v>100</v>
      </c>
      <c r="V39" s="667" t="s">
        <v>14</v>
      </c>
      <c r="W39" s="668">
        <f t="shared" si="12"/>
        <v>100</v>
      </c>
      <c r="X39" s="1265"/>
      <c r="Y39" s="344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1"/>
      <c r="Q40" s="1263" t="str">
        <f t="shared" si="14"/>
        <v>临街宽度及深度</v>
      </c>
      <c r="R40" s="667" t="s">
        <v>14</v>
      </c>
      <c r="S40" s="668">
        <f t="shared" si="10"/>
        <v>100</v>
      </c>
      <c r="T40" s="667" t="s">
        <v>14</v>
      </c>
      <c r="U40" s="668">
        <f t="shared" si="11"/>
        <v>100</v>
      </c>
      <c r="V40" s="667" t="s">
        <v>14</v>
      </c>
      <c r="W40" s="668">
        <f t="shared" si="12"/>
        <v>100</v>
      </c>
      <c r="X40" s="1265"/>
      <c r="Y40" s="344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1"/>
      <c r="Q41" s="1263" t="str">
        <f t="shared" si="14"/>
        <v>宗地开发程度</v>
      </c>
      <c r="R41" s="664" t="s">
        <v>14</v>
      </c>
      <c r="S41" s="665">
        <f t="shared" si="10"/>
        <v>100</v>
      </c>
      <c r="T41" s="664" t="s">
        <v>14</v>
      </c>
      <c r="U41" s="665">
        <f t="shared" si="11"/>
        <v>100</v>
      </c>
      <c r="V41" s="664" t="s">
        <v>14</v>
      </c>
      <c r="W41" s="665">
        <f t="shared" si="12"/>
        <v>100</v>
      </c>
      <c r="X41" s="666"/>
      <c r="Y41" s="344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1" t="s">
        <v>1696</v>
      </c>
      <c r="Q42" s="1263" t="str">
        <f t="shared" si="14"/>
        <v>工程地质条件</v>
      </c>
      <c r="R42" s="667" t="s">
        <v>14</v>
      </c>
      <c r="S42" s="668">
        <f t="shared" si="10"/>
        <v>100</v>
      </c>
      <c r="T42" s="667" t="s">
        <v>14</v>
      </c>
      <c r="U42" s="668">
        <f t="shared" si="11"/>
        <v>100</v>
      </c>
      <c r="V42" s="667" t="s">
        <v>14</v>
      </c>
      <c r="W42" s="668">
        <f t="shared" si="12"/>
        <v>100</v>
      </c>
      <c r="X42" s="1265"/>
      <c r="Y42" s="344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1"/>
      <c r="Q43" s="1263">
        <f t="shared" si="14"/>
        <v>111</v>
      </c>
      <c r="R43" s="667" t="s">
        <v>14</v>
      </c>
      <c r="S43" s="668">
        <f t="shared" si="10"/>
        <v>100</v>
      </c>
      <c r="T43" s="667" t="s">
        <v>14</v>
      </c>
      <c r="U43" s="668">
        <f t="shared" si="11"/>
        <v>100</v>
      </c>
      <c r="V43" s="667" t="s">
        <v>14</v>
      </c>
      <c r="W43" s="668">
        <f t="shared" si="12"/>
        <v>100</v>
      </c>
      <c r="X43" s="1265"/>
      <c r="Y43" s="344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1"/>
      <c r="Q44" s="1263">
        <f t="shared" si="14"/>
        <v>111</v>
      </c>
      <c r="R44" s="667" t="s">
        <v>14</v>
      </c>
      <c r="S44" s="668">
        <f t="shared" si="10"/>
        <v>100</v>
      </c>
      <c r="T44" s="667" t="s">
        <v>14</v>
      </c>
      <c r="U44" s="668">
        <f t="shared" si="11"/>
        <v>100</v>
      </c>
      <c r="V44" s="667" t="s">
        <v>14</v>
      </c>
      <c r="W44" s="668">
        <f t="shared" si="12"/>
        <v>100</v>
      </c>
      <c r="X44" s="1265"/>
      <c r="Y44" s="344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1"/>
      <c r="Q45" s="1263">
        <f t="shared" si="14"/>
        <v>111</v>
      </c>
      <c r="R45" s="669" t="s">
        <v>14</v>
      </c>
      <c r="S45" s="670">
        <f t="shared" si="10"/>
        <v>100</v>
      </c>
      <c r="T45" s="669" t="s">
        <v>14</v>
      </c>
      <c r="U45" s="670">
        <f t="shared" si="11"/>
        <v>100</v>
      </c>
      <c r="V45" s="669" t="s">
        <v>14</v>
      </c>
      <c r="W45" s="670">
        <f t="shared" si="12"/>
        <v>100</v>
      </c>
      <c r="X45" s="671"/>
      <c r="Y45" s="344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5" t="str">
        <f>A46</f>
        <v>成交单价</v>
      </c>
      <c r="Q46" s="3435"/>
      <c r="R46" s="3430">
        <f>E46</f>
        <v>0</v>
      </c>
      <c r="S46" s="3430"/>
      <c r="T46" s="3430">
        <f>G46</f>
        <v>0</v>
      </c>
      <c r="U46" s="3430"/>
      <c r="V46" s="3430">
        <f>I46</f>
        <v>0</v>
      </c>
      <c r="W46" s="343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5" t="str">
        <f>A47</f>
        <v>比较价值（元/平方米）</v>
      </c>
      <c r="Q47" s="3435"/>
      <c r="R47" s="3462" t="e">
        <f>ROUND(PRODUCT(R46,AA7:AA45),0)</f>
        <v>#DIV/0!</v>
      </c>
      <c r="S47" s="3462"/>
      <c r="T47" s="3462" t="e">
        <f>ROUND(PRODUCT(T46,AB7:AB45),0)</f>
        <v>#DIV/0!</v>
      </c>
      <c r="U47" s="3462"/>
      <c r="V47" s="3462" t="e">
        <f>ROUND(PRODUCT(V46,AC7:AC45),0)</f>
        <v>#DIV/0!</v>
      </c>
      <c r="W47" s="346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2" t="str">
        <f>A48</f>
        <v>估价对象XX用房的比较价值（楼面单价，元/平方米）</v>
      </c>
      <c r="Q48" s="3433"/>
      <c r="R48" s="3463" t="e">
        <f>ROUND(IF(D47="简单平均",AVERAGE(R47:W47),R47*F47+T47*H47+V47*J47),0)</f>
        <v>#DIV/0!</v>
      </c>
      <c r="S48" s="3463"/>
      <c r="T48" s="3463"/>
      <c r="U48" s="3463"/>
      <c r="V48" s="3463"/>
      <c r="W48" s="346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8" t="s">
        <v>1887</v>
      </c>
      <c r="H55" s="346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16594.73</v>
      </c>
      <c r="F56" s="833" t="e">
        <f t="shared" ref="F56:F64" si="15">ROUND(B56*E56/10000,0)</f>
        <v>#DIV/0!</v>
      </c>
      <c r="G56" s="3417"/>
      <c r="H56" s="343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16594.73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8" t="s">
        <v>1770</v>
      </c>
      <c r="D4" s="3419"/>
      <c r="E4" s="3420" t="s">
        <v>1771</v>
      </c>
      <c r="F4" s="3421"/>
      <c r="G4" s="3418" t="s">
        <v>1772</v>
      </c>
      <c r="H4" s="3419"/>
      <c r="I4" s="3418" t="s">
        <v>1773</v>
      </c>
      <c r="J4" s="3419"/>
      <c r="K4" s="537" t="s">
        <v>1774</v>
      </c>
      <c r="L4" s="2487"/>
      <c r="M4" s="2488"/>
      <c r="N4" s="2488"/>
      <c r="O4" s="2488"/>
      <c r="P4" s="3422" t="s">
        <v>1775</v>
      </c>
      <c r="Q4" s="3423"/>
      <c r="R4" s="3405" t="s">
        <v>1771</v>
      </c>
      <c r="S4" s="3406"/>
      <c r="T4" s="3405" t="s">
        <v>1772</v>
      </c>
      <c r="U4" s="3406"/>
      <c r="V4" s="3430" t="s">
        <v>1773</v>
      </c>
      <c r="W4" s="3430"/>
      <c r="X4" s="1265"/>
      <c r="Y4" s="3405" t="s">
        <v>1775</v>
      </c>
      <c r="Z4" s="3406"/>
      <c r="AA4" s="3400" t="s">
        <v>1771</v>
      </c>
      <c r="AB4" s="3401" t="s">
        <v>1772</v>
      </c>
      <c r="AC4" s="3400" t="s">
        <v>1773</v>
      </c>
    </row>
    <row r="5" spans="1:29" ht="15">
      <c r="A5" s="348"/>
      <c r="B5" s="349"/>
      <c r="C5" s="3411" t="s">
        <v>1673</v>
      </c>
      <c r="D5" s="3412"/>
      <c r="E5" s="3409" t="s">
        <v>1674</v>
      </c>
      <c r="F5" s="3410"/>
      <c r="G5" s="3411" t="s">
        <v>1675</v>
      </c>
      <c r="H5" s="3412"/>
      <c r="I5" s="3411" t="s">
        <v>1676</v>
      </c>
      <c r="J5" s="3412"/>
      <c r="K5" s="537"/>
      <c r="L5" s="2487"/>
      <c r="M5" s="2488"/>
      <c r="N5" s="2488"/>
      <c r="O5" s="2488"/>
      <c r="P5" s="3424"/>
      <c r="Q5" s="3425"/>
      <c r="R5" s="3407"/>
      <c r="S5" s="3408"/>
      <c r="T5" s="3407"/>
      <c r="U5" s="3408"/>
      <c r="V5" s="3430"/>
      <c r="W5" s="3430"/>
      <c r="X5" s="1265"/>
      <c r="Y5" s="3407"/>
      <c r="Z5" s="3408"/>
      <c r="AA5" s="3401"/>
      <c r="AB5" s="3401"/>
      <c r="AC5" s="3401"/>
    </row>
    <row r="6" spans="1:29" ht="15.75" thickBot="1">
      <c r="A6" s="350"/>
      <c r="B6" s="351"/>
      <c r="C6" s="3465" t="s">
        <v>1919</v>
      </c>
      <c r="D6" s="3466"/>
      <c r="E6" s="3467" t="s">
        <v>1919</v>
      </c>
      <c r="F6" s="3468"/>
      <c r="G6" s="3465" t="s">
        <v>1919</v>
      </c>
      <c r="H6" s="3466"/>
      <c r="I6" s="3465" t="s">
        <v>1919</v>
      </c>
      <c r="J6" s="3466"/>
      <c r="K6" s="537" t="s">
        <v>1678</v>
      </c>
      <c r="L6" s="2487"/>
      <c r="M6" s="2488"/>
      <c r="N6" s="2488"/>
      <c r="O6" s="2488"/>
      <c r="P6" s="3426"/>
      <c r="Q6" s="3427"/>
      <c r="R6" s="3407"/>
      <c r="S6" s="3408"/>
      <c r="T6" s="3428"/>
      <c r="U6" s="3429"/>
      <c r="V6" s="3430"/>
      <c r="W6" s="3430"/>
      <c r="X6" s="1265"/>
      <c r="Y6" s="3428"/>
      <c r="Z6" s="3429"/>
      <c r="AA6" s="3402"/>
      <c r="AB6" s="3402"/>
      <c r="AC6" s="3402"/>
    </row>
    <row r="7" spans="1:29" s="102" customFormat="1" ht="15.75" thickBot="1">
      <c r="A7" s="352" t="s">
        <v>1679</v>
      </c>
      <c r="B7" s="353"/>
      <c r="C7" s="354">
        <f>'数据-取费表'!B2</f>
        <v>45827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31"/>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90"/>
      <c r="M10" s="2491"/>
      <c r="N10" s="2491"/>
      <c r="O10" s="2542"/>
      <c r="P10" s="3435"/>
      <c r="Q10" s="530" t="str">
        <f t="shared" si="6"/>
        <v>土地使用年限（年）</v>
      </c>
      <c r="R10" s="664" t="s">
        <v>14</v>
      </c>
      <c r="S10" s="665">
        <f t="shared" si="0"/>
        <v>131</v>
      </c>
      <c r="T10" s="664" t="s">
        <v>14</v>
      </c>
      <c r="U10" s="665">
        <f t="shared" si="1"/>
        <v>131</v>
      </c>
      <c r="V10" s="664" t="s">
        <v>14</v>
      </c>
      <c r="W10" s="665">
        <f t="shared" si="2"/>
        <v>131</v>
      </c>
      <c r="X10" s="666"/>
      <c r="Y10" s="332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5"/>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5"/>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6" t="s">
        <v>1691</v>
      </c>
      <c r="Q15" s="1263" t="str">
        <f t="shared" si="6"/>
        <v>产业集聚程度</v>
      </c>
      <c r="R15" s="667" t="s">
        <v>14</v>
      </c>
      <c r="S15" s="668">
        <f t="shared" si="0"/>
        <v>100</v>
      </c>
      <c r="T15" s="667" t="s">
        <v>14</v>
      </c>
      <c r="U15" s="668">
        <f t="shared" si="1"/>
        <v>100</v>
      </c>
      <c r="V15" s="667" t="s">
        <v>14</v>
      </c>
      <c r="W15" s="668">
        <f t="shared" si="2"/>
        <v>100</v>
      </c>
      <c r="X15" s="1265"/>
      <c r="Y15" s="343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7"/>
      <c r="Q16" s="1263"/>
      <c r="R16" s="667"/>
      <c r="S16" s="668"/>
      <c r="T16" s="667"/>
      <c r="U16" s="668"/>
      <c r="V16" s="667"/>
      <c r="W16" s="668"/>
      <c r="X16" s="1265"/>
      <c r="Y16" s="343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7"/>
      <c r="Q17" s="1263" t="str">
        <f>B17</f>
        <v>交通便捷度</v>
      </c>
      <c r="R17" s="667" t="s">
        <v>14</v>
      </c>
      <c r="S17" s="668">
        <f>F17</f>
        <v>100</v>
      </c>
      <c r="T17" s="667" t="s">
        <v>14</v>
      </c>
      <c r="U17" s="668">
        <f>H17</f>
        <v>100</v>
      </c>
      <c r="V17" s="667" t="s">
        <v>14</v>
      </c>
      <c r="W17" s="668">
        <f>J17</f>
        <v>100</v>
      </c>
      <c r="X17" s="1265"/>
      <c r="Y17" s="343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7"/>
      <c r="Q18" s="1263"/>
      <c r="R18" s="667"/>
      <c r="S18" s="668"/>
      <c r="T18" s="667"/>
      <c r="U18" s="668"/>
      <c r="V18" s="667"/>
      <c r="W18" s="668"/>
      <c r="X18" s="1265"/>
      <c r="Y18" s="343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7"/>
      <c r="Q19" s="1263" t="str">
        <f t="shared" ref="Q19:Q33" si="8">B19</f>
        <v>区域土地利用方向</v>
      </c>
      <c r="R19" s="667" t="s">
        <v>14</v>
      </c>
      <c r="S19" s="668">
        <f>F19</f>
        <v>100</v>
      </c>
      <c r="T19" s="667" t="s">
        <v>14</v>
      </c>
      <c r="U19" s="668">
        <f>H19</f>
        <v>100</v>
      </c>
      <c r="V19" s="667" t="s">
        <v>14</v>
      </c>
      <c r="W19" s="668">
        <f>J19</f>
        <v>100</v>
      </c>
      <c r="X19" s="1265"/>
      <c r="Y19" s="343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7"/>
      <c r="Q20" s="1263"/>
      <c r="R20" s="667"/>
      <c r="S20" s="668"/>
      <c r="T20" s="667"/>
      <c r="U20" s="668"/>
      <c r="V20" s="667"/>
      <c r="W20" s="668"/>
      <c r="X20" s="1265"/>
      <c r="Y20" s="343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7"/>
      <c r="Q21" s="1263" t="str">
        <f t="shared" si="8"/>
        <v>环境状况</v>
      </c>
      <c r="R21" s="667" t="s">
        <v>14</v>
      </c>
      <c r="S21" s="668">
        <f>F21</f>
        <v>100</v>
      </c>
      <c r="T21" s="667" t="s">
        <v>14</v>
      </c>
      <c r="U21" s="668">
        <f>H21</f>
        <v>100</v>
      </c>
      <c r="V21" s="667" t="s">
        <v>14</v>
      </c>
      <c r="W21" s="668">
        <f>J21</f>
        <v>100</v>
      </c>
      <c r="X21" s="1265"/>
      <c r="Y21" s="343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7"/>
      <c r="Q22" s="1263"/>
      <c r="R22" s="667"/>
      <c r="S22" s="668"/>
      <c r="T22" s="667"/>
      <c r="U22" s="668"/>
      <c r="V22" s="667"/>
      <c r="W22" s="668"/>
      <c r="X22" s="1265"/>
      <c r="Y22" s="343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7"/>
      <c r="Q24" s="530"/>
      <c r="R24" s="664"/>
      <c r="S24" s="665"/>
      <c r="T24" s="664"/>
      <c r="U24" s="665"/>
      <c r="V24" s="664"/>
      <c r="W24" s="665"/>
      <c r="X24" s="666"/>
      <c r="Y24" s="343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7"/>
      <c r="Q28" s="1263" t="str">
        <f t="shared" si="8"/>
        <v>毗邻道路的类型与等级</v>
      </c>
      <c r="R28" s="667" t="s">
        <v>14</v>
      </c>
      <c r="S28" s="668">
        <f t="shared" si="10"/>
        <v>100</v>
      </c>
      <c r="T28" s="667" t="s">
        <v>14</v>
      </c>
      <c r="U28" s="668">
        <f t="shared" si="11"/>
        <v>100</v>
      </c>
      <c r="V28" s="667" t="s">
        <v>14</v>
      </c>
      <c r="W28" s="668">
        <f t="shared" si="12"/>
        <v>100</v>
      </c>
      <c r="X28" s="1265"/>
      <c r="Y28" s="343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7"/>
      <c r="Q29" s="1263"/>
      <c r="R29" s="667"/>
      <c r="S29" s="668"/>
      <c r="T29" s="667"/>
      <c r="U29" s="668"/>
      <c r="V29" s="667"/>
      <c r="W29" s="668"/>
      <c r="X29" s="1265"/>
      <c r="Y29" s="343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7"/>
      <c r="Q30" s="1263" t="str">
        <f t="shared" si="8"/>
        <v>土地级别</v>
      </c>
      <c r="R30" s="667" t="s">
        <v>14</v>
      </c>
      <c r="S30" s="668">
        <f t="shared" si="10"/>
        <v>100</v>
      </c>
      <c r="T30" s="667" t="s">
        <v>14</v>
      </c>
      <c r="U30" s="668">
        <f t="shared" si="11"/>
        <v>100</v>
      </c>
      <c r="V30" s="667" t="s">
        <v>14</v>
      </c>
      <c r="W30" s="668">
        <f t="shared" si="12"/>
        <v>100</v>
      </c>
      <c r="X30" s="1265"/>
      <c r="Y30" s="343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7"/>
      <c r="Q31" s="1263">
        <f t="shared" si="8"/>
        <v>111</v>
      </c>
      <c r="R31" s="667" t="s">
        <v>14</v>
      </c>
      <c r="S31" s="668">
        <f t="shared" si="10"/>
        <v>100</v>
      </c>
      <c r="T31" s="667" t="s">
        <v>14</v>
      </c>
      <c r="U31" s="668">
        <f t="shared" si="11"/>
        <v>100</v>
      </c>
      <c r="V31" s="667" t="s">
        <v>14</v>
      </c>
      <c r="W31" s="668">
        <f t="shared" si="12"/>
        <v>100</v>
      </c>
      <c r="X31" s="1265"/>
      <c r="Y31" s="343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0" t="s">
        <v>1696</v>
      </c>
      <c r="Q32" s="1263">
        <f t="shared" si="8"/>
        <v>111</v>
      </c>
      <c r="R32" s="667" t="s">
        <v>14</v>
      </c>
      <c r="S32" s="668">
        <f t="shared" si="10"/>
        <v>100</v>
      </c>
      <c r="T32" s="667" t="s">
        <v>14</v>
      </c>
      <c r="U32" s="668">
        <f t="shared" si="11"/>
        <v>100</v>
      </c>
      <c r="V32" s="667" t="s">
        <v>14</v>
      </c>
      <c r="W32" s="668">
        <f t="shared" si="12"/>
        <v>100</v>
      </c>
      <c r="X32" s="1265"/>
      <c r="Y32" s="344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1"/>
      <c r="Q33" s="1263">
        <f t="shared" si="8"/>
        <v>111</v>
      </c>
      <c r="R33" s="669" t="s">
        <v>14</v>
      </c>
      <c r="S33" s="670">
        <f t="shared" si="10"/>
        <v>100</v>
      </c>
      <c r="T33" s="669" t="s">
        <v>14</v>
      </c>
      <c r="U33" s="670">
        <f t="shared" si="11"/>
        <v>100</v>
      </c>
      <c r="V33" s="669" t="s">
        <v>14</v>
      </c>
      <c r="W33" s="670">
        <f t="shared" si="12"/>
        <v>100</v>
      </c>
      <c r="X33" s="671"/>
      <c r="Y33" s="344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1"/>
      <c r="Q34" s="1263" t="str">
        <f>B34</f>
        <v>宗地面积</v>
      </c>
      <c r="R34" s="667" t="s">
        <v>14</v>
      </c>
      <c r="S34" s="668" t="e">
        <f t="shared" si="10"/>
        <v>#N/A</v>
      </c>
      <c r="T34" s="667" t="s">
        <v>14</v>
      </c>
      <c r="U34" s="668" t="e">
        <f t="shared" si="11"/>
        <v>#N/A</v>
      </c>
      <c r="V34" s="667" t="s">
        <v>14</v>
      </c>
      <c r="W34" s="668" t="e">
        <f t="shared" si="12"/>
        <v>#N/A</v>
      </c>
      <c r="X34" s="1265"/>
      <c r="Y34" s="344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1"/>
      <c r="Q35" s="1263" t="str">
        <f t="shared" ref="Q35:Q40" si="14">B35</f>
        <v>宗地形状</v>
      </c>
      <c r="R35" s="667" t="s">
        <v>14</v>
      </c>
      <c r="S35" s="668">
        <f t="shared" si="10"/>
        <v>100</v>
      </c>
      <c r="T35" s="667" t="s">
        <v>14</v>
      </c>
      <c r="U35" s="668">
        <f t="shared" si="11"/>
        <v>100</v>
      </c>
      <c r="V35" s="667" t="s">
        <v>14</v>
      </c>
      <c r="W35" s="668">
        <f t="shared" si="12"/>
        <v>100</v>
      </c>
      <c r="X35" s="1265"/>
      <c r="Y35" s="344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1"/>
      <c r="Q36" s="1263" t="str">
        <f t="shared" si="14"/>
        <v>宗地开发程度</v>
      </c>
      <c r="R36" s="664" t="s">
        <v>14</v>
      </c>
      <c r="S36" s="665">
        <f t="shared" si="10"/>
        <v>100</v>
      </c>
      <c r="T36" s="664" t="s">
        <v>14</v>
      </c>
      <c r="U36" s="665">
        <f t="shared" si="11"/>
        <v>100</v>
      </c>
      <c r="V36" s="664" t="s">
        <v>14</v>
      </c>
      <c r="W36" s="665">
        <f t="shared" si="12"/>
        <v>100</v>
      </c>
      <c r="X36" s="666"/>
      <c r="Y36" s="344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1" t="s">
        <v>1696</v>
      </c>
      <c r="Q37" s="1263" t="str">
        <f t="shared" si="14"/>
        <v>工程地质条件</v>
      </c>
      <c r="R37" s="667" t="s">
        <v>14</v>
      </c>
      <c r="S37" s="668">
        <f t="shared" si="10"/>
        <v>100</v>
      </c>
      <c r="T37" s="667" t="s">
        <v>14</v>
      </c>
      <c r="U37" s="668">
        <f t="shared" si="11"/>
        <v>100</v>
      </c>
      <c r="V37" s="667" t="s">
        <v>14</v>
      </c>
      <c r="W37" s="668">
        <f t="shared" si="12"/>
        <v>100</v>
      </c>
      <c r="X37" s="1265"/>
      <c r="Y37" s="344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1"/>
      <c r="Q38" s="1263">
        <f t="shared" si="14"/>
        <v>111</v>
      </c>
      <c r="R38" s="667" t="s">
        <v>14</v>
      </c>
      <c r="S38" s="668">
        <f t="shared" si="10"/>
        <v>100</v>
      </c>
      <c r="T38" s="667" t="s">
        <v>14</v>
      </c>
      <c r="U38" s="668">
        <f t="shared" si="11"/>
        <v>100</v>
      </c>
      <c r="V38" s="667" t="s">
        <v>14</v>
      </c>
      <c r="W38" s="668">
        <f t="shared" si="12"/>
        <v>100</v>
      </c>
      <c r="X38" s="1265"/>
      <c r="Y38" s="344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1"/>
      <c r="Q39" s="1263">
        <f t="shared" si="14"/>
        <v>111</v>
      </c>
      <c r="R39" s="667" t="s">
        <v>14</v>
      </c>
      <c r="S39" s="668">
        <f t="shared" si="10"/>
        <v>100</v>
      </c>
      <c r="T39" s="667" t="s">
        <v>14</v>
      </c>
      <c r="U39" s="668">
        <f t="shared" si="11"/>
        <v>100</v>
      </c>
      <c r="V39" s="667" t="s">
        <v>14</v>
      </c>
      <c r="W39" s="668">
        <f t="shared" si="12"/>
        <v>100</v>
      </c>
      <c r="X39" s="1265"/>
      <c r="Y39" s="344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1"/>
      <c r="Q40" s="1263">
        <f t="shared" si="14"/>
        <v>111</v>
      </c>
      <c r="R40" s="669" t="s">
        <v>14</v>
      </c>
      <c r="S40" s="670">
        <f t="shared" si="10"/>
        <v>100</v>
      </c>
      <c r="T40" s="669" t="s">
        <v>14</v>
      </c>
      <c r="U40" s="670">
        <f t="shared" si="11"/>
        <v>100</v>
      </c>
      <c r="V40" s="669" t="s">
        <v>14</v>
      </c>
      <c r="W40" s="670">
        <f t="shared" si="12"/>
        <v>100</v>
      </c>
      <c r="X40" s="671"/>
      <c r="Y40" s="344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5" t="str">
        <f>A41</f>
        <v>成交单价</v>
      </c>
      <c r="Q41" s="3435"/>
      <c r="R41" s="3430">
        <f>E41</f>
        <v>0</v>
      </c>
      <c r="S41" s="3430"/>
      <c r="T41" s="3430">
        <f>G41</f>
        <v>0</v>
      </c>
      <c r="U41" s="3430"/>
      <c r="V41" s="3430">
        <f>I41</f>
        <v>0</v>
      </c>
      <c r="W41" s="343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5" t="str">
        <f>A42</f>
        <v>比较价值（元/平方米）</v>
      </c>
      <c r="Q42" s="3435"/>
      <c r="R42" s="3462" t="e">
        <f>ROUND(PRODUCT(R41,AA7:AA40),0)</f>
        <v>#DIV/0!</v>
      </c>
      <c r="S42" s="3462"/>
      <c r="T42" s="3462" t="e">
        <f>ROUND(PRODUCT(T41,AB7:AB40),0)</f>
        <v>#DIV/0!</v>
      </c>
      <c r="U42" s="3462"/>
      <c r="V42" s="3462" t="e">
        <f>ROUND(PRODUCT(V41,AC7:AC40),0)</f>
        <v>#DIV/0!</v>
      </c>
      <c r="W42" s="34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2" t="str">
        <f>A43</f>
        <v>估价对象XX用房的比较价值（楼面单价，元/平方米）</v>
      </c>
      <c r="Q43" s="3433"/>
      <c r="R43" s="3463" t="e">
        <f>ROUND(IF(D42="简单平均",AVERAGE(R42:W42),R42*F42+T42*H42+V42*J42),0)</f>
        <v>#DIV/0!</v>
      </c>
      <c r="S43" s="3463"/>
      <c r="T43" s="3463"/>
      <c r="U43" s="3463"/>
      <c r="V43" s="3463"/>
      <c r="W43" s="346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8" t="s">
        <v>1887</v>
      </c>
      <c r="H50" s="346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16594.73</v>
      </c>
      <c r="F51" s="611" t="e">
        <f t="shared" ref="F51:F60" si="15">ROUND(B51*E51/10000,0)</f>
        <v>#DIV/0!</v>
      </c>
      <c r="G51" s="3417"/>
      <c r="H51" s="343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27600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2" t="s">
        <v>2084</v>
      </c>
      <c r="D1" s="3473"/>
      <c r="E1" s="3473"/>
      <c r="F1" s="3473"/>
      <c r="G1" s="3473"/>
      <c r="H1" s="3473"/>
      <c r="I1" s="3473"/>
      <c r="J1" s="3473"/>
      <c r="K1" s="3473"/>
      <c r="L1" s="3473"/>
      <c r="M1" s="3473"/>
      <c r="N1" s="3473"/>
      <c r="O1" s="3473"/>
      <c r="P1" s="3473"/>
      <c r="Q1" s="3473"/>
      <c r="R1" s="3473"/>
      <c r="S1" s="347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5233</v>
      </c>
      <c r="C2" s="1984" t="s">
        <v>2074</v>
      </c>
      <c r="D2" s="1984" t="s">
        <v>2075</v>
      </c>
      <c r="E2" s="2398">
        <f ca="1">SUMIF(E6:E13,"&lt;&gt;#ref!",E6:E13)</f>
        <v>27600</v>
      </c>
      <c r="F2" s="2545"/>
      <c r="G2" s="2545"/>
      <c r="H2" s="2545"/>
      <c r="I2" s="2545"/>
      <c r="J2" s="2545"/>
      <c r="K2" s="2545"/>
      <c r="L2" s="2545"/>
      <c r="M2" s="2545"/>
      <c r="N2" s="2545"/>
      <c r="O2" s="2545"/>
      <c r="P2" s="2545"/>
    </row>
    <row r="3" spans="1:16" ht="15.75">
      <c r="A3" s="1984" t="s">
        <v>2076</v>
      </c>
      <c r="B3" s="2388">
        <f ca="1">ROUND(B2*10000/E2,0)</f>
        <v>1896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5233</v>
      </c>
      <c r="C6" s="1984" t="s">
        <v>2074</v>
      </c>
      <c r="D6" s="2545"/>
      <c r="E6" s="2398">
        <f ca="1">SUMIF(INDIRECT("'"&amp;A6&amp;"'"&amp;"!C:C"),"建筑面积",INDIRECT("'"&amp;A6&amp;"'"&amp;"!D:D"))</f>
        <v>27600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2" t="s">
        <v>2598</v>
      </c>
      <c r="B20" s="3475" t="s">
        <v>2619</v>
      </c>
      <c r="C20" s="2843" t="s">
        <v>2430</v>
      </c>
      <c r="D20" s="2844"/>
      <c r="E20" s="2845">
        <v>1</v>
      </c>
      <c r="F20" s="2846" t="s">
        <v>2431</v>
      </c>
      <c r="G20" s="2846"/>
    </row>
    <row r="21" spans="1:13" ht="19.5" customHeight="1">
      <c r="A21" s="3483"/>
      <c r="B21" s="3476"/>
      <c r="C21" s="2847" t="s">
        <v>2432</v>
      </c>
      <c r="D21" s="2848"/>
      <c r="E21" s="2849">
        <v>1</v>
      </c>
      <c r="F21" s="2846" t="s">
        <v>2433</v>
      </c>
      <c r="G21" s="2846"/>
    </row>
    <row r="22" spans="1:13" ht="19.5" customHeight="1">
      <c r="A22" s="3483"/>
      <c r="B22" s="3476"/>
      <c r="C22" s="2847" t="s">
        <v>2434</v>
      </c>
      <c r="D22" s="2848"/>
      <c r="E22" s="2849">
        <v>0.9</v>
      </c>
      <c r="F22" s="2846" t="s">
        <v>2435</v>
      </c>
      <c r="G22" s="2846"/>
    </row>
    <row r="23" spans="1:13" ht="19.5" customHeight="1">
      <c r="A23" s="3483"/>
      <c r="B23" s="3476"/>
      <c r="C23" s="2847" t="s">
        <v>2436</v>
      </c>
      <c r="D23" s="2848"/>
      <c r="E23" s="2849">
        <v>0.9</v>
      </c>
      <c r="F23" s="2846" t="s">
        <v>2437</v>
      </c>
      <c r="G23" s="2846"/>
    </row>
    <row r="24" spans="1:13" ht="19.5" customHeight="1">
      <c r="A24" s="3483"/>
      <c r="B24" s="3476"/>
      <c r="C24" s="2847" t="s">
        <v>2438</v>
      </c>
      <c r="D24" s="2848"/>
      <c r="E24" s="2849">
        <v>0.8</v>
      </c>
      <c r="F24" s="2846" t="s">
        <v>2439</v>
      </c>
      <c r="G24" s="2846"/>
    </row>
    <row r="25" spans="1:13" ht="19.5" customHeight="1" thickBot="1">
      <c r="A25" s="3484"/>
      <c r="B25" s="3477"/>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8" t="s">
        <v>2622</v>
      </c>
      <c r="B27" s="3475" t="s">
        <v>2603</v>
      </c>
      <c r="C27" s="2843" t="s">
        <v>2443</v>
      </c>
      <c r="D27" s="2844"/>
      <c r="E27" s="2845">
        <v>1</v>
      </c>
      <c r="F27" s="2846" t="s">
        <v>2444</v>
      </c>
      <c r="G27" s="2846"/>
    </row>
    <row r="28" spans="1:13" ht="19.5" customHeight="1">
      <c r="A28" s="3479"/>
      <c r="B28" s="3476"/>
      <c r="C28" s="2847" t="s">
        <v>2445</v>
      </c>
      <c r="D28" s="2848"/>
      <c r="E28" s="2849">
        <v>1</v>
      </c>
      <c r="F28" s="2846" t="s">
        <v>2446</v>
      </c>
      <c r="G28" s="2846"/>
    </row>
    <row r="29" spans="1:13" ht="19.5" customHeight="1">
      <c r="A29" s="3479"/>
      <c r="B29" s="3476"/>
      <c r="C29" s="2847" t="s">
        <v>2447</v>
      </c>
      <c r="D29" s="2848"/>
      <c r="E29" s="2849">
        <v>0.8</v>
      </c>
      <c r="F29" s="2846" t="s">
        <v>2448</v>
      </c>
      <c r="G29" s="2846"/>
    </row>
    <row r="30" spans="1:13" ht="19.5" customHeight="1">
      <c r="A30" s="3479"/>
      <c r="B30" s="3476"/>
      <c r="C30" s="2847" t="s">
        <v>2449</v>
      </c>
      <c r="D30" s="2848"/>
      <c r="E30" s="2849">
        <v>0.8</v>
      </c>
      <c r="F30" s="2846" t="s">
        <v>2450</v>
      </c>
      <c r="G30" s="2846"/>
    </row>
    <row r="31" spans="1:13" ht="19.5" customHeight="1">
      <c r="A31" s="3479"/>
      <c r="B31" s="3476"/>
      <c r="C31" s="2847" t="s">
        <v>2451</v>
      </c>
      <c r="D31" s="2848"/>
      <c r="E31" s="2849">
        <v>0.8</v>
      </c>
      <c r="F31" s="2846" t="s">
        <v>2452</v>
      </c>
      <c r="G31" s="2846"/>
    </row>
    <row r="32" spans="1:13" ht="19.5" customHeight="1">
      <c r="A32" s="3479"/>
      <c r="B32" s="3476"/>
      <c r="C32" s="2847" t="s">
        <v>2453</v>
      </c>
      <c r="D32" s="2848"/>
      <c r="E32" s="2849">
        <v>0.7</v>
      </c>
      <c r="F32" s="2846" t="s">
        <v>2454</v>
      </c>
      <c r="G32" s="2846"/>
    </row>
    <row r="33" spans="1:7" ht="19.5" customHeight="1">
      <c r="A33" s="3479"/>
      <c r="B33" s="3476"/>
      <c r="C33" s="2847" t="s">
        <v>2455</v>
      </c>
      <c r="D33" s="2848"/>
      <c r="E33" s="2849">
        <v>0.8</v>
      </c>
      <c r="F33" s="2846" t="s">
        <v>2456</v>
      </c>
      <c r="G33" s="2846"/>
    </row>
    <row r="34" spans="1:7" ht="19.5" customHeight="1">
      <c r="A34" s="3479"/>
      <c r="B34" s="3476"/>
      <c r="C34" s="2847" t="s">
        <v>2457</v>
      </c>
      <c r="D34" s="2848"/>
      <c r="E34" s="2849">
        <v>0.6</v>
      </c>
      <c r="F34" s="2846" t="s">
        <v>2458</v>
      </c>
      <c r="G34" s="2846"/>
    </row>
    <row r="35" spans="1:7" ht="19.5" customHeight="1">
      <c r="A35" s="3479"/>
      <c r="B35" s="3476"/>
      <c r="C35" s="2847" t="s">
        <v>2459</v>
      </c>
      <c r="D35" s="2848"/>
      <c r="E35" s="2849">
        <v>0.2</v>
      </c>
      <c r="F35" s="2846" t="s">
        <v>2460</v>
      </c>
      <c r="G35" s="2846"/>
    </row>
    <row r="36" spans="1:7" ht="19.5" customHeight="1">
      <c r="A36" s="3479"/>
      <c r="B36" s="3476"/>
      <c r="C36" s="2847" t="s">
        <v>2461</v>
      </c>
      <c r="D36" s="2848"/>
      <c r="E36" s="2849">
        <v>0.2</v>
      </c>
      <c r="F36" s="2846" t="s">
        <v>2462</v>
      </c>
      <c r="G36" s="2846"/>
    </row>
    <row r="37" spans="1:7" ht="19.5" customHeight="1">
      <c r="A37" s="3479"/>
      <c r="B37" s="3481" t="s">
        <v>2623</v>
      </c>
      <c r="C37" s="2847" t="s">
        <v>2463</v>
      </c>
      <c r="D37" s="2848"/>
      <c r="E37" s="2849">
        <v>0.6</v>
      </c>
      <c r="F37" s="2846" t="s">
        <v>2464</v>
      </c>
      <c r="G37" s="2846"/>
    </row>
    <row r="38" spans="1:7" ht="19.5" customHeight="1">
      <c r="A38" s="3479"/>
      <c r="B38" s="3476"/>
      <c r="C38" s="2847" t="s">
        <v>2465</v>
      </c>
      <c r="D38" s="2848"/>
      <c r="E38" s="2849">
        <v>0.6</v>
      </c>
      <c r="F38" s="2846" t="s">
        <v>2466</v>
      </c>
      <c r="G38" s="2846"/>
    </row>
    <row r="39" spans="1:7" ht="19.5" customHeight="1" thickBot="1">
      <c r="A39" s="3480"/>
      <c r="B39" s="3477"/>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2" t="s">
        <v>2601</v>
      </c>
      <c r="B41" s="3475" t="s">
        <v>2625</v>
      </c>
      <c r="C41" s="2843" t="s">
        <v>2470</v>
      </c>
      <c r="D41" s="2844"/>
      <c r="E41" s="2845">
        <v>1</v>
      </c>
      <c r="F41" s="2846" t="s">
        <v>2471</v>
      </c>
      <c r="G41" s="2846"/>
    </row>
    <row r="42" spans="1:7" ht="19.5" customHeight="1">
      <c r="A42" s="3483"/>
      <c r="B42" s="3476"/>
      <c r="C42" s="2847" t="s">
        <v>2472</v>
      </c>
      <c r="D42" s="2848"/>
      <c r="E42" s="2849">
        <v>1</v>
      </c>
      <c r="F42" s="2846" t="s">
        <v>2473</v>
      </c>
      <c r="G42" s="2846"/>
    </row>
    <row r="43" spans="1:7" ht="19.5" customHeight="1">
      <c r="A43" s="3483"/>
      <c r="B43" s="3485"/>
      <c r="C43" s="2847" t="s">
        <v>2474</v>
      </c>
      <c r="D43" s="2848"/>
      <c r="E43" s="2849">
        <v>1.5</v>
      </c>
      <c r="F43" s="2846" t="s">
        <v>2475</v>
      </c>
      <c r="G43" s="2846"/>
    </row>
    <row r="44" spans="1:7" ht="19.5" customHeight="1">
      <c r="A44" s="3483"/>
      <c r="B44" s="2858" t="s">
        <v>2626</v>
      </c>
      <c r="C44" s="2847" t="s">
        <v>2627</v>
      </c>
      <c r="D44" s="2848"/>
      <c r="E44" s="2849">
        <v>2</v>
      </c>
      <c r="F44" s="2846" t="s">
        <v>2476</v>
      </c>
      <c r="G44" s="2846"/>
    </row>
    <row r="45" spans="1:7" ht="19.5" customHeight="1">
      <c r="A45" s="3483"/>
      <c r="B45" s="3481" t="s">
        <v>2628</v>
      </c>
      <c r="C45" s="2847" t="s">
        <v>2477</v>
      </c>
      <c r="D45" s="2848"/>
      <c r="E45" s="2849">
        <v>1</v>
      </c>
      <c r="F45" s="2846" t="s">
        <v>2478</v>
      </c>
      <c r="G45" s="2846"/>
    </row>
    <row r="46" spans="1:7" ht="19.5" customHeight="1">
      <c r="A46" s="3483"/>
      <c r="B46" s="3476"/>
      <c r="C46" s="2847" t="s">
        <v>2479</v>
      </c>
      <c r="D46" s="2848"/>
      <c r="E46" s="2849">
        <v>1</v>
      </c>
      <c r="F46" s="2846" t="s">
        <v>2480</v>
      </c>
      <c r="G46" s="2846"/>
    </row>
    <row r="47" spans="1:7" ht="19.5" customHeight="1">
      <c r="A47" s="3483"/>
      <c r="B47" s="3476"/>
      <c r="C47" s="2847" t="s">
        <v>2481</v>
      </c>
      <c r="D47" s="2848"/>
      <c r="E47" s="2849">
        <v>1</v>
      </c>
      <c r="F47" s="2846" t="s">
        <v>2482</v>
      </c>
      <c r="G47" s="2846"/>
    </row>
    <row r="48" spans="1:7" ht="19.5" customHeight="1">
      <c r="A48" s="3483"/>
      <c r="B48" s="3476"/>
      <c r="C48" s="2847" t="s">
        <v>2483</v>
      </c>
      <c r="D48" s="2848"/>
      <c r="E48" s="2849">
        <v>1</v>
      </c>
      <c r="F48" s="2846" t="s">
        <v>2484</v>
      </c>
      <c r="G48" s="2846"/>
    </row>
    <row r="49" spans="1:7" ht="19.5" customHeight="1">
      <c r="A49" s="3483"/>
      <c r="B49" s="3476"/>
      <c r="C49" s="2847" t="s">
        <v>2485</v>
      </c>
      <c r="D49" s="2848"/>
      <c r="E49" s="2849">
        <v>1</v>
      </c>
      <c r="F49" s="2846" t="s">
        <v>2486</v>
      </c>
      <c r="G49" s="2846"/>
    </row>
    <row r="50" spans="1:7" ht="19.5" customHeight="1">
      <c r="A50" s="3483"/>
      <c r="B50" s="3476"/>
      <c r="C50" s="2847" t="s">
        <v>2487</v>
      </c>
      <c r="D50" s="2848"/>
      <c r="E50" s="2849">
        <v>1</v>
      </c>
      <c r="F50" s="2846" t="s">
        <v>2488</v>
      </c>
      <c r="G50" s="2846"/>
    </row>
    <row r="51" spans="1:7" ht="19.5" customHeight="1" thickBot="1">
      <c r="A51" s="3484"/>
      <c r="B51" s="3477"/>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1" t="s">
        <v>2642</v>
      </c>
      <c r="C73" s="2832" t="s">
        <v>2643</v>
      </c>
      <c r="D73" s="2832" t="s">
        <v>2644</v>
      </c>
      <c r="E73" s="2858">
        <v>0.2</v>
      </c>
      <c r="F73" s="2858">
        <v>25</v>
      </c>
    </row>
    <row r="74" spans="1:7" ht="24">
      <c r="A74" s="2858">
        <v>2</v>
      </c>
      <c r="B74" s="3476"/>
      <c r="C74" s="2832" t="s">
        <v>2645</v>
      </c>
      <c r="D74" s="2832" t="s">
        <v>2646</v>
      </c>
      <c r="E74" s="2858">
        <v>0.2</v>
      </c>
      <c r="F74" s="2858">
        <v>25</v>
      </c>
    </row>
    <row r="75" spans="1:7" ht="24">
      <c r="A75" s="2858">
        <v>3</v>
      </c>
      <c r="B75" s="3476"/>
      <c r="C75" s="2832" t="s">
        <v>2647</v>
      </c>
      <c r="D75" s="2832" t="s">
        <v>2648</v>
      </c>
      <c r="E75" s="2858">
        <v>0.2</v>
      </c>
      <c r="F75" s="2858">
        <v>25</v>
      </c>
    </row>
    <row r="76" spans="1:7" ht="13.5">
      <c r="A76" s="2858">
        <v>4</v>
      </c>
      <c r="B76" s="3476"/>
      <c r="C76" s="2832" t="s">
        <v>2649</v>
      </c>
      <c r="D76" s="2832" t="s">
        <v>2650</v>
      </c>
      <c r="E76" s="2858">
        <v>0.15</v>
      </c>
      <c r="F76" s="2858">
        <v>20</v>
      </c>
    </row>
    <row r="77" spans="1:7" ht="24">
      <c r="A77" s="2858">
        <v>5</v>
      </c>
      <c r="B77" s="3476"/>
      <c r="C77" s="2832" t="s">
        <v>2651</v>
      </c>
      <c r="D77" s="2832" t="s">
        <v>2652</v>
      </c>
      <c r="E77" s="2858">
        <v>0.15</v>
      </c>
      <c r="F77" s="2858">
        <v>20</v>
      </c>
    </row>
    <row r="78" spans="1:7" ht="24">
      <c r="A78" s="2858">
        <v>6</v>
      </c>
      <c r="B78" s="3476"/>
      <c r="C78" s="2832" t="s">
        <v>2653</v>
      </c>
      <c r="D78" s="2832" t="s">
        <v>2654</v>
      </c>
      <c r="E78" s="2858">
        <v>0.15</v>
      </c>
      <c r="F78" s="2858">
        <v>20</v>
      </c>
    </row>
    <row r="79" spans="1:7" ht="24">
      <c r="A79" s="2858">
        <v>7</v>
      </c>
      <c r="B79" s="3476"/>
      <c r="C79" s="2832" t="s">
        <v>2655</v>
      </c>
      <c r="D79" s="2832" t="s">
        <v>2656</v>
      </c>
      <c r="E79" s="2858">
        <v>0.15</v>
      </c>
      <c r="F79" s="2858">
        <v>20</v>
      </c>
    </row>
    <row r="80" spans="1:7" ht="24">
      <c r="A80" s="2858">
        <v>8</v>
      </c>
      <c r="B80" s="3476"/>
      <c r="C80" s="2832" t="s">
        <v>2657</v>
      </c>
      <c r="D80" s="2832" t="s">
        <v>2658</v>
      </c>
      <c r="E80" s="2858">
        <v>0.1</v>
      </c>
      <c r="F80" s="2858">
        <v>15</v>
      </c>
    </row>
    <row r="81" spans="1:6" ht="24">
      <c r="A81" s="2858">
        <v>9</v>
      </c>
      <c r="B81" s="3476"/>
      <c r="C81" s="2832" t="s">
        <v>2659</v>
      </c>
      <c r="D81" s="2832" t="s">
        <v>2660</v>
      </c>
      <c r="E81" s="2858">
        <v>0.1</v>
      </c>
      <c r="F81" s="2858">
        <v>15</v>
      </c>
    </row>
    <row r="82" spans="1:6" ht="24">
      <c r="A82" s="2858">
        <v>10</v>
      </c>
      <c r="B82" s="3476"/>
      <c r="C82" s="2832" t="s">
        <v>2661</v>
      </c>
      <c r="D82" s="2832" t="s">
        <v>2662</v>
      </c>
      <c r="E82" s="2858">
        <v>0.1</v>
      </c>
      <c r="F82" s="2858">
        <v>15</v>
      </c>
    </row>
    <row r="83" spans="1:6" ht="24">
      <c r="A83" s="2858">
        <v>11</v>
      </c>
      <c r="B83" s="3476"/>
      <c r="C83" s="2832" t="s">
        <v>2663</v>
      </c>
      <c r="D83" s="2832" t="s">
        <v>2664</v>
      </c>
      <c r="E83" s="2858">
        <v>0.1</v>
      </c>
      <c r="F83" s="2858">
        <v>15</v>
      </c>
    </row>
    <row r="84" spans="1:6" ht="24">
      <c r="A84" s="2858">
        <v>12</v>
      </c>
      <c r="B84" s="3476"/>
      <c r="C84" s="2832" t="s">
        <v>2665</v>
      </c>
      <c r="D84" s="2832" t="s">
        <v>2666</v>
      </c>
      <c r="E84" s="2858">
        <v>0.1</v>
      </c>
      <c r="F84" s="2858">
        <v>15</v>
      </c>
    </row>
    <row r="85" spans="1:6" ht="13.5">
      <c r="A85" s="2858">
        <v>13</v>
      </c>
      <c r="B85" s="3476"/>
      <c r="C85" s="2832" t="s">
        <v>2667</v>
      </c>
      <c r="D85" s="2832" t="s">
        <v>2668</v>
      </c>
      <c r="E85" s="2858">
        <v>0.1</v>
      </c>
      <c r="F85" s="2858">
        <v>15</v>
      </c>
    </row>
    <row r="86" spans="1:6" ht="13.5">
      <c r="A86" s="2858">
        <v>14</v>
      </c>
      <c r="B86" s="3476"/>
      <c r="C86" s="2832" t="s">
        <v>2669</v>
      </c>
      <c r="D86" s="2832" t="s">
        <v>2670</v>
      </c>
      <c r="E86" s="2858">
        <v>0.1</v>
      </c>
      <c r="F86" s="2858">
        <v>15</v>
      </c>
    </row>
    <row r="87" spans="1:6" ht="13.5">
      <c r="A87" s="2858">
        <v>15</v>
      </c>
      <c r="B87" s="3476"/>
      <c r="C87" s="2832" t="s">
        <v>2671</v>
      </c>
      <c r="D87" s="2832" t="s">
        <v>2672</v>
      </c>
      <c r="E87" s="2858">
        <v>0.1</v>
      </c>
      <c r="F87" s="2858">
        <v>15</v>
      </c>
    </row>
    <row r="88" spans="1:6" ht="24">
      <c r="A88" s="2858">
        <v>16</v>
      </c>
      <c r="B88" s="3476"/>
      <c r="C88" s="2832" t="s">
        <v>2673</v>
      </c>
      <c r="D88" s="2832" t="s">
        <v>2674</v>
      </c>
      <c r="E88" s="2858">
        <v>0.1</v>
      </c>
      <c r="F88" s="2858">
        <v>15</v>
      </c>
    </row>
    <row r="89" spans="1:6" ht="24">
      <c r="A89" s="2858">
        <v>17</v>
      </c>
      <c r="B89" s="3485"/>
      <c r="C89" s="2832" t="s">
        <v>2675</v>
      </c>
      <c r="D89" s="2832" t="s">
        <v>2676</v>
      </c>
      <c r="E89" s="2858">
        <v>0.1</v>
      </c>
      <c r="F89" s="2858">
        <v>15</v>
      </c>
    </row>
    <row r="90" spans="1:6" ht="13.5">
      <c r="A90" s="2858">
        <v>18</v>
      </c>
      <c r="B90" s="3481" t="s">
        <v>2677</v>
      </c>
      <c r="C90" s="2832" t="s">
        <v>2678</v>
      </c>
      <c r="D90" s="2832" t="s">
        <v>2679</v>
      </c>
      <c r="E90" s="2858">
        <v>0.2</v>
      </c>
      <c r="F90" s="2858">
        <v>25</v>
      </c>
    </row>
    <row r="91" spans="1:6" ht="24">
      <c r="A91" s="2858">
        <v>19</v>
      </c>
      <c r="B91" s="3476"/>
      <c r="C91" s="2832" t="s">
        <v>2680</v>
      </c>
      <c r="D91" s="2832" t="s">
        <v>2681</v>
      </c>
      <c r="E91" s="2858">
        <v>0.2</v>
      </c>
      <c r="F91" s="2858">
        <v>25</v>
      </c>
    </row>
    <row r="92" spans="1:6" ht="13.5">
      <c r="A92" s="2858">
        <v>20</v>
      </c>
      <c r="B92" s="3476"/>
      <c r="C92" s="2832" t="s">
        <v>2682</v>
      </c>
      <c r="D92" s="2832" t="s">
        <v>2683</v>
      </c>
      <c r="E92" s="2858">
        <v>0.15</v>
      </c>
      <c r="F92" s="2858">
        <v>20</v>
      </c>
    </row>
    <row r="93" spans="1:6" ht="13.5">
      <c r="A93" s="2858">
        <v>21</v>
      </c>
      <c r="B93" s="3476"/>
      <c r="C93" s="2832" t="s">
        <v>2684</v>
      </c>
      <c r="D93" s="2832" t="s">
        <v>2685</v>
      </c>
      <c r="E93" s="2858">
        <v>0.15</v>
      </c>
      <c r="F93" s="2858">
        <v>20</v>
      </c>
    </row>
    <row r="94" spans="1:6" ht="13.5">
      <c r="A94" s="2858">
        <v>22</v>
      </c>
      <c r="B94" s="3476"/>
      <c r="C94" s="2832" t="s">
        <v>2686</v>
      </c>
      <c r="D94" s="2832" t="s">
        <v>2687</v>
      </c>
      <c r="E94" s="2858">
        <v>0.15</v>
      </c>
      <c r="F94" s="2858">
        <v>20</v>
      </c>
    </row>
    <row r="95" spans="1:6" ht="36">
      <c r="A95" s="2858">
        <v>23</v>
      </c>
      <c r="B95" s="3476"/>
      <c r="C95" s="2832" t="s">
        <v>2688</v>
      </c>
      <c r="D95" s="2832" t="s">
        <v>2689</v>
      </c>
      <c r="E95" s="2858">
        <v>0.15</v>
      </c>
      <c r="F95" s="2858">
        <v>20</v>
      </c>
    </row>
    <row r="96" spans="1:6" ht="13.5">
      <c r="A96" s="2858">
        <v>24</v>
      </c>
      <c r="B96" s="3476"/>
      <c r="C96" s="2832" t="s">
        <v>2690</v>
      </c>
      <c r="D96" s="2832" t="s">
        <v>2691</v>
      </c>
      <c r="E96" s="2858">
        <v>0.1</v>
      </c>
      <c r="F96" s="2858">
        <v>15</v>
      </c>
    </row>
    <row r="97" spans="1:6" ht="13.5">
      <c r="A97" s="2858">
        <v>25</v>
      </c>
      <c r="B97" s="3476"/>
      <c r="C97" s="2832" t="s">
        <v>2692</v>
      </c>
      <c r="D97" s="2832" t="s">
        <v>2693</v>
      </c>
      <c r="E97" s="2858">
        <v>0.1</v>
      </c>
      <c r="F97" s="2858">
        <v>15</v>
      </c>
    </row>
    <row r="98" spans="1:6" ht="24">
      <c r="A98" s="2858">
        <v>26</v>
      </c>
      <c r="B98" s="3476"/>
      <c r="C98" s="2832" t="s">
        <v>2694</v>
      </c>
      <c r="D98" s="2832" t="s">
        <v>2695</v>
      </c>
      <c r="E98" s="2858">
        <v>0.1</v>
      </c>
      <c r="F98" s="2858">
        <v>15</v>
      </c>
    </row>
    <row r="99" spans="1:6" ht="24">
      <c r="A99" s="2858">
        <v>27</v>
      </c>
      <c r="B99" s="3476"/>
      <c r="C99" s="2832" t="s">
        <v>2696</v>
      </c>
      <c r="D99" s="2832" t="s">
        <v>2697</v>
      </c>
      <c r="E99" s="2858">
        <v>0.1</v>
      </c>
      <c r="F99" s="2858">
        <v>15</v>
      </c>
    </row>
    <row r="100" spans="1:6" ht="13.5">
      <c r="A100" s="2858">
        <v>28</v>
      </c>
      <c r="B100" s="3476"/>
      <c r="C100" s="2832" t="s">
        <v>2698</v>
      </c>
      <c r="D100" s="2832" t="s">
        <v>2699</v>
      </c>
      <c r="E100" s="2858">
        <v>0.1</v>
      </c>
      <c r="F100" s="2858">
        <v>15</v>
      </c>
    </row>
    <row r="101" spans="1:6" ht="13.5">
      <c r="A101" s="2858">
        <v>29</v>
      </c>
      <c r="B101" s="3476"/>
      <c r="C101" s="2832" t="s">
        <v>2700</v>
      </c>
      <c r="D101" s="2832" t="s">
        <v>2701</v>
      </c>
      <c r="E101" s="2858">
        <v>0.1</v>
      </c>
      <c r="F101" s="2858">
        <v>15</v>
      </c>
    </row>
    <row r="102" spans="1:6" ht="13.5">
      <c r="A102" s="2858">
        <v>30</v>
      </c>
      <c r="B102" s="3476"/>
      <c r="C102" s="2832" t="s">
        <v>2702</v>
      </c>
      <c r="D102" s="2832" t="s">
        <v>2703</v>
      </c>
      <c r="E102" s="2858">
        <v>0.1</v>
      </c>
      <c r="F102" s="2858">
        <v>15</v>
      </c>
    </row>
    <row r="103" spans="1:6" ht="24">
      <c r="A103" s="2858">
        <v>31</v>
      </c>
      <c r="B103" s="3476"/>
      <c r="C103" s="2832" t="s">
        <v>2704</v>
      </c>
      <c r="D103" s="2832" t="s">
        <v>2705</v>
      </c>
      <c r="E103" s="2858">
        <v>0.1</v>
      </c>
      <c r="F103" s="2858">
        <v>15</v>
      </c>
    </row>
    <row r="104" spans="1:6" ht="24">
      <c r="A104" s="2858">
        <v>32</v>
      </c>
      <c r="B104" s="3476"/>
      <c r="C104" s="2832" t="s">
        <v>2706</v>
      </c>
      <c r="D104" s="2832" t="s">
        <v>2707</v>
      </c>
      <c r="E104" s="2858">
        <v>0.1</v>
      </c>
      <c r="F104" s="2858">
        <v>15</v>
      </c>
    </row>
    <row r="105" spans="1:6" ht="24">
      <c r="A105" s="2858">
        <v>33</v>
      </c>
      <c r="B105" s="3476"/>
      <c r="C105" s="2832" t="s">
        <v>2708</v>
      </c>
      <c r="D105" s="2832" t="s">
        <v>2709</v>
      </c>
      <c r="E105" s="2858">
        <v>0.1</v>
      </c>
      <c r="F105" s="2858">
        <v>15</v>
      </c>
    </row>
    <row r="106" spans="1:6" ht="24">
      <c r="A106" s="2858">
        <v>34</v>
      </c>
      <c r="B106" s="3485"/>
      <c r="C106" s="2832" t="s">
        <v>2710</v>
      </c>
      <c r="D106" s="2832" t="s">
        <v>2711</v>
      </c>
      <c r="E106" s="2858">
        <v>0.1</v>
      </c>
      <c r="F106" s="2858">
        <v>15</v>
      </c>
    </row>
    <row r="107" spans="1:6" ht="24">
      <c r="A107" s="2858">
        <v>35</v>
      </c>
      <c r="B107" s="3481" t="s">
        <v>2712</v>
      </c>
      <c r="C107" s="2858" t="s">
        <v>2713</v>
      </c>
      <c r="D107" s="2832" t="s">
        <v>2714</v>
      </c>
      <c r="E107" s="2858">
        <v>0.15</v>
      </c>
      <c r="F107" s="2858">
        <v>20</v>
      </c>
    </row>
    <row r="108" spans="1:6" ht="13.5">
      <c r="A108" s="2858">
        <v>36</v>
      </c>
      <c r="B108" s="3476"/>
      <c r="C108" s="2858" t="s">
        <v>2715</v>
      </c>
      <c r="D108" s="2832" t="s">
        <v>2716</v>
      </c>
      <c r="E108" s="2858">
        <v>0.15</v>
      </c>
      <c r="F108" s="2858">
        <v>20</v>
      </c>
    </row>
    <row r="109" spans="1:6" ht="13.5">
      <c r="A109" s="2858">
        <v>37</v>
      </c>
      <c r="B109" s="3476"/>
      <c r="C109" s="2858" t="s">
        <v>2717</v>
      </c>
      <c r="D109" s="2832" t="s">
        <v>2718</v>
      </c>
      <c r="E109" s="2858">
        <v>0.15</v>
      </c>
      <c r="F109" s="2858">
        <v>20</v>
      </c>
    </row>
    <row r="110" spans="1:6" ht="13.5">
      <c r="A110" s="2858">
        <v>38</v>
      </c>
      <c r="B110" s="3476"/>
      <c r="C110" s="2858" t="s">
        <v>2719</v>
      </c>
      <c r="D110" s="2832" t="s">
        <v>2720</v>
      </c>
      <c r="E110" s="2858">
        <v>0.1</v>
      </c>
      <c r="F110" s="2858">
        <v>15</v>
      </c>
    </row>
    <row r="111" spans="1:6" ht="24">
      <c r="A111" s="2858">
        <v>39</v>
      </c>
      <c r="B111" s="3476"/>
      <c r="C111" s="2858" t="s">
        <v>2721</v>
      </c>
      <c r="D111" s="2832" t="s">
        <v>2722</v>
      </c>
      <c r="E111" s="2858">
        <v>0.1</v>
      </c>
      <c r="F111" s="2858">
        <v>15</v>
      </c>
    </row>
    <row r="112" spans="1:6" ht="24">
      <c r="A112" s="2858">
        <v>40</v>
      </c>
      <c r="B112" s="3485"/>
      <c r="C112" s="2858" t="s">
        <v>2723</v>
      </c>
      <c r="D112" s="2832" t="s">
        <v>2724</v>
      </c>
      <c r="E112" s="2858">
        <v>0.1</v>
      </c>
      <c r="F112" s="2858">
        <v>15</v>
      </c>
    </row>
    <row r="113" spans="1:6" ht="13.5">
      <c r="A113" s="2858">
        <v>41</v>
      </c>
      <c r="B113" s="3486" t="s">
        <v>2725</v>
      </c>
      <c r="C113" s="2858" t="s">
        <v>2726</v>
      </c>
      <c r="D113" s="2832" t="s">
        <v>2727</v>
      </c>
      <c r="E113" s="2858">
        <v>0.1</v>
      </c>
      <c r="F113" s="2858">
        <v>15</v>
      </c>
    </row>
    <row r="114" spans="1:6" ht="13.5">
      <c r="A114" s="2858">
        <v>42</v>
      </c>
      <c r="B114" s="3486"/>
      <c r="C114" s="2858" t="s">
        <v>2728</v>
      </c>
      <c r="D114" s="2832" t="s">
        <v>2729</v>
      </c>
      <c r="E114" s="2858">
        <v>0.1</v>
      </c>
      <c r="F114" s="2858">
        <v>15</v>
      </c>
    </row>
    <row r="115" spans="1:6" ht="24">
      <c r="A115" s="2858">
        <v>43</v>
      </c>
      <c r="B115" s="3486"/>
      <c r="C115" s="2858" t="s">
        <v>2730</v>
      </c>
      <c r="D115" s="2832" t="s">
        <v>2731</v>
      </c>
      <c r="E115" s="2858">
        <v>0.1</v>
      </c>
      <c r="F115" s="2858">
        <v>15</v>
      </c>
    </row>
    <row r="116" spans="1:6" ht="13.5">
      <c r="A116" s="2858">
        <v>44</v>
      </c>
      <c r="B116" s="3481" t="s">
        <v>2732</v>
      </c>
      <c r="C116" s="2858" t="s">
        <v>2733</v>
      </c>
      <c r="D116" s="2832" t="s">
        <v>2734</v>
      </c>
      <c r="E116" s="2858">
        <v>0.1</v>
      </c>
      <c r="F116" s="2858">
        <v>15</v>
      </c>
    </row>
    <row r="117" spans="1:6" ht="24">
      <c r="A117" s="2858">
        <v>45</v>
      </c>
      <c r="B117" s="3485"/>
      <c r="C117" s="2832" t="s">
        <v>2735</v>
      </c>
      <c r="D117" s="2832" t="s">
        <v>2736</v>
      </c>
      <c r="E117" s="2858">
        <v>0.1</v>
      </c>
      <c r="F117" s="2858">
        <v>15</v>
      </c>
    </row>
    <row r="118" spans="1:6" ht="24">
      <c r="A118" s="2858">
        <v>46</v>
      </c>
      <c r="B118" s="3481" t="s">
        <v>2737</v>
      </c>
      <c r="C118" s="2858" t="s">
        <v>2738</v>
      </c>
      <c r="D118" s="2832" t="s">
        <v>2739</v>
      </c>
      <c r="E118" s="2858">
        <v>0.1</v>
      </c>
      <c r="F118" s="2858">
        <v>15</v>
      </c>
    </row>
    <row r="119" spans="1:6" ht="24">
      <c r="A119" s="2858">
        <v>47</v>
      </c>
      <c r="B119" s="3485"/>
      <c r="C119" s="2858" t="s">
        <v>2740</v>
      </c>
      <c r="D119" s="2832" t="s">
        <v>2741</v>
      </c>
      <c r="E119" s="2858">
        <v>0.1</v>
      </c>
      <c r="F119" s="2858">
        <v>15</v>
      </c>
    </row>
    <row r="120" spans="1:6" ht="13.5">
      <c r="A120" s="2858">
        <v>48</v>
      </c>
      <c r="B120" s="3481" t="s">
        <v>2742</v>
      </c>
      <c r="C120" s="2858" t="s">
        <v>2743</v>
      </c>
      <c r="D120" s="2832" t="s">
        <v>2744</v>
      </c>
      <c r="E120" s="2858">
        <v>0.1</v>
      </c>
      <c r="F120" s="2858">
        <v>15</v>
      </c>
    </row>
    <row r="121" spans="1:6" ht="13.5">
      <c r="A121" s="2858">
        <v>49</v>
      </c>
      <c r="B121" s="3485"/>
      <c r="C121" s="2858" t="s">
        <v>2745</v>
      </c>
      <c r="D121" s="2832" t="s">
        <v>2746</v>
      </c>
      <c r="E121" s="2858">
        <v>0.1</v>
      </c>
      <c r="F121" s="2858">
        <v>15</v>
      </c>
    </row>
    <row r="122" spans="1:6" ht="24">
      <c r="A122" s="2858">
        <v>50</v>
      </c>
      <c r="B122" s="3486" t="s">
        <v>2747</v>
      </c>
      <c r="C122" s="2858" t="s">
        <v>2748</v>
      </c>
      <c r="D122" s="2832" t="s">
        <v>2749</v>
      </c>
      <c r="E122" s="2858">
        <v>0.1</v>
      </c>
      <c r="F122" s="2858">
        <v>15</v>
      </c>
    </row>
    <row r="123" spans="1:6" ht="24">
      <c r="A123" s="2858">
        <v>51</v>
      </c>
      <c r="B123" s="3486"/>
      <c r="C123" s="2858" t="s">
        <v>2750</v>
      </c>
      <c r="D123" s="2832" t="s">
        <v>2751</v>
      </c>
      <c r="E123" s="2858">
        <v>0.1</v>
      </c>
      <c r="F123" s="2858">
        <v>15</v>
      </c>
    </row>
    <row r="124" spans="1:6" ht="24">
      <c r="A124" s="2858">
        <v>52</v>
      </c>
      <c r="B124" s="3486" t="s">
        <v>2752</v>
      </c>
      <c r="C124" s="2858" t="s">
        <v>2753</v>
      </c>
      <c r="D124" s="2832" t="s">
        <v>2754</v>
      </c>
      <c r="E124" s="2858">
        <v>0.1</v>
      </c>
      <c r="F124" s="2858">
        <v>15</v>
      </c>
    </row>
    <row r="125" spans="1:6" ht="24">
      <c r="A125" s="2858">
        <v>53</v>
      </c>
      <c r="B125" s="3486"/>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6" t="s">
        <v>2760</v>
      </c>
      <c r="C127" s="2858" t="s">
        <v>2761</v>
      </c>
      <c r="D127" s="2832" t="s">
        <v>2762</v>
      </c>
      <c r="E127" s="2858">
        <v>0.1</v>
      </c>
      <c r="F127" s="2858">
        <v>15</v>
      </c>
    </row>
    <row r="128" spans="1:6" ht="13.5">
      <c r="A128" s="2858">
        <v>56</v>
      </c>
      <c r="B128" s="3486"/>
      <c r="C128" s="2858" t="s">
        <v>2763</v>
      </c>
      <c r="D128" s="2832" t="s">
        <v>2764</v>
      </c>
      <c r="E128" s="2858">
        <v>0.1</v>
      </c>
      <c r="F128" s="2858">
        <v>15</v>
      </c>
    </row>
    <row r="129" spans="1:6" ht="24">
      <c r="A129" s="2858">
        <v>57</v>
      </c>
      <c r="B129" s="3486"/>
      <c r="C129" s="2858" t="s">
        <v>2765</v>
      </c>
      <c r="D129" s="2832" t="s">
        <v>2766</v>
      </c>
      <c r="E129" s="2858">
        <v>0.1</v>
      </c>
      <c r="F129" s="2858">
        <v>15</v>
      </c>
    </row>
    <row r="130" spans="1:6" ht="24">
      <c r="A130" s="2858">
        <v>58</v>
      </c>
      <c r="B130" s="3486" t="s">
        <v>2767</v>
      </c>
      <c r="C130" s="2858" t="s">
        <v>2768</v>
      </c>
      <c r="D130" s="2832" t="s">
        <v>2769</v>
      </c>
      <c r="E130" s="2858">
        <v>0.1</v>
      </c>
      <c r="F130" s="2858">
        <v>15</v>
      </c>
    </row>
    <row r="131" spans="1:6" ht="13.5">
      <c r="A131" s="2858">
        <v>59</v>
      </c>
      <c r="B131" s="3486"/>
      <c r="C131" s="2858" t="s">
        <v>2770</v>
      </c>
      <c r="D131" s="2832" t="s">
        <v>2771</v>
      </c>
      <c r="E131" s="2858">
        <v>0.1</v>
      </c>
      <c r="F131" s="2858">
        <v>15</v>
      </c>
    </row>
    <row r="132" spans="1:6" ht="13.5">
      <c r="A132" s="2858">
        <v>60</v>
      </c>
      <c r="B132" s="3481" t="s">
        <v>2772</v>
      </c>
      <c r="C132" s="2858" t="s">
        <v>2773</v>
      </c>
      <c r="D132" s="2832" t="s">
        <v>2774</v>
      </c>
      <c r="E132" s="2858">
        <v>0.1</v>
      </c>
      <c r="F132" s="2858">
        <v>15</v>
      </c>
    </row>
    <row r="133" spans="1:6" ht="13.5">
      <c r="A133" s="2858">
        <v>61</v>
      </c>
      <c r="B133" s="3485"/>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6" t="s">
        <v>2780</v>
      </c>
      <c r="C135" s="2858" t="s">
        <v>2781</v>
      </c>
      <c r="D135" s="2832" t="s">
        <v>2782</v>
      </c>
      <c r="E135" s="2858">
        <v>0.1</v>
      </c>
      <c r="F135" s="2858">
        <v>15</v>
      </c>
    </row>
    <row r="136" spans="1:6" ht="13.5">
      <c r="A136" s="2858">
        <v>64</v>
      </c>
      <c r="B136" s="3486"/>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13222</v>
      </c>
    </row>
    <row r="6" spans="1:5" ht="15.75">
      <c r="B6" s="3172"/>
      <c r="C6" s="1392" t="s">
        <v>911</v>
      </c>
      <c r="D6" s="797" t="str">
        <f ca="1">NUMBERSTRING(INT(D5*10000),2)&amp;"元整"</f>
        <v>壹亿叁仟贰佰贰拾贰万元整</v>
      </c>
    </row>
    <row r="7" spans="1:5" ht="15.75">
      <c r="B7" s="3177"/>
      <c r="C7" s="1393" t="s">
        <v>912</v>
      </c>
      <c r="D7" s="798">
        <f ca="1">结果表!H102</f>
        <v>7968</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13222</v>
      </c>
    </row>
    <row r="14" spans="1:5" ht="15.75">
      <c r="B14" s="3172"/>
      <c r="C14" s="1392" t="s">
        <v>911</v>
      </c>
      <c r="D14" s="797" t="str">
        <f ca="1">NUMBERSTRING(INT(D13*10000),2)&amp;"元整"</f>
        <v>壹亿叁仟贰佰贰拾贰万元整</v>
      </c>
    </row>
    <row r="15" spans="1:5" ht="15">
      <c r="B15" s="3177"/>
      <c r="C15" s="1393" t="s">
        <v>921</v>
      </c>
      <c r="D15" s="806">
        <f ca="1">结果表!H108</f>
        <v>7968</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4.抵押净值</v>
      </c>
      <c r="C19" s="1397" t="s">
        <v>910</v>
      </c>
      <c r="D19" s="798">
        <f ca="1">结果表!H111</f>
        <v>5027</v>
      </c>
    </row>
    <row r="20" spans="1:5" ht="15.75">
      <c r="B20" s="3172"/>
      <c r="C20" s="1392" t="s">
        <v>923</v>
      </c>
      <c r="D20" s="797" t="str">
        <f ca="1">NUMBERSTRING(INT(D19*10000),2)&amp;"元整"</f>
        <v>伍仟零贰拾柒万元整</v>
      </c>
    </row>
    <row r="21" spans="1:5" ht="15.75" thickBot="1">
      <c r="B21" s="3173"/>
      <c r="C21" s="1399" t="s">
        <v>921</v>
      </c>
      <c r="D21" s="807">
        <f ca="1">结果表!H112</f>
        <v>3029</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32128</v>
      </c>
      <c r="C2" s="2" t="s">
        <v>106</v>
      </c>
      <c r="D2" s="191"/>
      <c r="E2" s="191"/>
      <c r="F2" s="191"/>
      <c r="G2" s="191"/>
    </row>
    <row r="3" spans="1:7" s="192" customFormat="1" ht="18" customHeight="1" thickBot="1">
      <c r="A3" s="195" t="s">
        <v>58</v>
      </c>
      <c r="B3" s="196">
        <f ca="1">ROUND(B2*10000/'数据-汇总表'!E3,0)</f>
        <v>19360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332</v>
      </c>
      <c r="D10" s="795">
        <f>'数据-汇总表'!E6</f>
        <v>16594.73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332</v>
      </c>
      <c r="D19" s="204">
        <f>'数据-汇总表'!E3</f>
        <v>16594.73</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1068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25659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6460</v>
      </c>
      <c r="D34" s="209"/>
      <c r="E34" s="212"/>
      <c r="F34" s="249">
        <f>IF('数据-取费表'!B24=0,1,'数据-取费表'!N16)</f>
        <v>1</v>
      </c>
      <c r="G34" s="211" t="s">
        <v>89</v>
      </c>
    </row>
    <row r="35" spans="1:7" ht="13.5" customHeight="1">
      <c r="A35" s="734" t="s">
        <v>351</v>
      </c>
      <c r="B35" s="207" t="s">
        <v>33</v>
      </c>
      <c r="C35" s="212">
        <f>ROUND(C34*F35,0)</f>
        <v>323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332</v>
      </c>
      <c r="D37" s="209">
        <f>'数据-汇总表'!E3</f>
        <v>16594.73</v>
      </c>
      <c r="E37" s="241">
        <f>'数据-取费表'!B35</f>
        <v>200</v>
      </c>
      <c r="F37" s="251"/>
      <c r="G37" s="253" t="s">
        <v>92</v>
      </c>
    </row>
    <row r="38" spans="1:7" ht="13.5" customHeight="1">
      <c r="A38" s="734" t="s">
        <v>354</v>
      </c>
      <c r="B38" s="207" t="s">
        <v>36</v>
      </c>
      <c r="C38" s="212">
        <f>ROUND(C34*F38,0)</f>
        <v>129</v>
      </c>
      <c r="D38" s="212"/>
      <c r="E38" s="212"/>
      <c r="F38" s="251">
        <f>'数据-取费表'!B36</f>
        <v>0.02</v>
      </c>
      <c r="G38" s="211" t="s">
        <v>90</v>
      </c>
    </row>
    <row r="39" spans="1:7" s="206" customFormat="1" ht="13.5" customHeight="1">
      <c r="A39" s="731" t="s">
        <v>338</v>
      </c>
      <c r="B39" s="202" t="s">
        <v>77</v>
      </c>
      <c r="C39" s="224">
        <f>ROUND(C33*F20,0)</f>
        <v>145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229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225</v>
      </c>
      <c r="D42" s="230"/>
      <c r="E42" s="230"/>
      <c r="F42" s="231"/>
      <c r="G42" s="3352" t="s">
        <v>94</v>
      </c>
    </row>
    <row r="43" spans="1:7" ht="13.5" customHeight="1">
      <c r="A43" s="734" t="s">
        <v>347</v>
      </c>
      <c r="B43" s="207" t="s">
        <v>426</v>
      </c>
      <c r="C43" s="230">
        <f ca="1">ROUND(IF('数据-取费表'!B22&lt;=1,C39*F22*'数据-取费表'!B21/2,C39*(POWER((1+F22),'数据-取费表'!B21/2)-1)),0)</f>
        <v>4</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369</v>
      </c>
      <c r="D45" s="227">
        <f>C47</f>
        <v>1E-3</v>
      </c>
      <c r="E45" s="228" t="s">
        <v>102</v>
      </c>
      <c r="F45" s="238"/>
      <c r="G45" s="239" t="s">
        <v>434</v>
      </c>
    </row>
    <row r="46" spans="1:7" s="206" customFormat="1" ht="13.5" customHeight="1">
      <c r="A46" s="734" t="s">
        <v>349</v>
      </c>
      <c r="B46" s="240" t="s">
        <v>427</v>
      </c>
      <c r="C46" s="241">
        <f>ROUND((C33+C39)*F27,0)</f>
        <v>369</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8625</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6469</v>
      </c>
      <c r="D51" s="224"/>
      <c r="E51" s="224"/>
      <c r="F51" s="256"/>
      <c r="G51" s="226" t="s">
        <v>37</v>
      </c>
    </row>
    <row r="52" spans="1:7" s="200" customFormat="1" ht="16.5" thickBot="1">
      <c r="A52" s="257" t="s">
        <v>38</v>
      </c>
      <c r="B52" s="258"/>
      <c r="C52" s="259">
        <f ca="1">C31+C51</f>
        <v>32128</v>
      </c>
      <c r="D52" s="258"/>
      <c r="E52" s="258"/>
      <c r="F52" s="258"/>
      <c r="G52" s="260"/>
    </row>
    <row r="55" spans="1:7" ht="15">
      <c r="B55" s="262" t="s">
        <v>39</v>
      </c>
      <c r="C55" s="263"/>
    </row>
    <row r="56" spans="1:7">
      <c r="B56" s="265" t="s">
        <v>40</v>
      </c>
      <c r="C56" s="266">
        <f ca="1">ROUND(C51/C52,3)</f>
        <v>0.20100000000000001</v>
      </c>
    </row>
    <row r="57" spans="1:7">
      <c r="B57" s="265" t="s">
        <v>41</v>
      </c>
      <c r="C57" s="267">
        <f ca="1">1-C56</f>
        <v>0.79899999999999993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3172</v>
      </c>
      <c r="B1" s="3487"/>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8" t="s">
        <v>3223</v>
      </c>
      <c r="B1" s="3488"/>
      <c r="C1" s="3488"/>
      <c r="D1" s="3488"/>
      <c r="E1" s="3488"/>
      <c r="F1" s="3489"/>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45827</v>
      </c>
      <c r="B1" s="2930" t="s">
        <v>3369</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0" t="s">
        <v>2818</v>
      </c>
      <c r="S29" s="3491"/>
      <c r="T29" s="3491"/>
      <c r="U29" s="3491"/>
      <c r="V29" s="3491"/>
      <c r="W29" s="3491"/>
      <c r="X29" s="2897"/>
      <c r="Y29" s="3490" t="s">
        <v>2819</v>
      </c>
      <c r="Z29" s="3491"/>
      <c r="AA29" s="3491"/>
      <c r="AB29" s="3491"/>
      <c r="AC29" s="3491"/>
      <c r="AD29" s="3491"/>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2830</v>
      </c>
      <c r="B1" s="3503"/>
      <c r="C1" s="3503"/>
      <c r="D1" s="3503"/>
      <c r="E1" s="3503"/>
      <c r="F1" s="3503"/>
      <c r="G1" s="350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16594.73</v>
      </c>
      <c r="C4" s="801">
        <f>项目基本情况!C18</f>
        <v>27600</v>
      </c>
      <c r="D4" s="801">
        <f ca="1">结果表!D118</f>
        <v>6875</v>
      </c>
      <c r="E4" s="801">
        <f ca="1">结果表!E118</f>
        <v>4143</v>
      </c>
      <c r="F4" s="801">
        <f ca="1">结果表!F118</f>
        <v>6347</v>
      </c>
      <c r="G4" s="801">
        <f ca="1">结果表!G118</f>
        <v>3825</v>
      </c>
      <c r="H4" s="801">
        <f ca="1">结果表!H118</f>
        <v>13222</v>
      </c>
      <c r="I4" s="801">
        <f ca="1">结果表!I118</f>
        <v>7968</v>
      </c>
    </row>
    <row r="5" spans="1:9" ht="30" customHeight="1">
      <c r="A5" s="3183" t="s">
        <v>927</v>
      </c>
      <c r="B5" s="3183"/>
      <c r="C5" s="3183"/>
      <c r="D5" s="3183" t="str">
        <f ca="1">结果表!D119</f>
        <v>陆仟捌佰柒拾伍万元整</v>
      </c>
      <c r="E5" s="3183"/>
      <c r="F5" s="3183" t="str">
        <f ca="1">结果表!F119</f>
        <v>陆仟叁佰肆拾柒万元整</v>
      </c>
      <c r="G5" s="3183"/>
      <c r="H5" s="3183" t="str">
        <f ca="1">结果表!H119</f>
        <v>壹亿叁仟贰佰贰拾贰万元整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13222</v>
      </c>
      <c r="E8" s="3184"/>
      <c r="F8" s="3184"/>
      <c r="G8" s="3184"/>
      <c r="H8" s="3184"/>
      <c r="I8" s="3184"/>
    </row>
    <row r="9" spans="1:9" ht="15">
      <c r="A9" s="3183" t="s">
        <v>927</v>
      </c>
      <c r="B9" s="3183"/>
      <c r="C9" s="3183"/>
      <c r="D9" s="3183" t="str">
        <f ca="1">结果表!D123</f>
        <v>壹亿叁仟贰佰贰拾贰万元整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抵押净值</v>
      </c>
      <c r="B12" s="3184"/>
      <c r="C12" s="3184"/>
      <c r="D12" s="3184">
        <f ca="1">结果表!D126</f>
        <v>5027</v>
      </c>
      <c r="E12" s="3184"/>
      <c r="F12" s="3184"/>
      <c r="G12" s="3184"/>
      <c r="H12" s="3184"/>
      <c r="I12" s="3184"/>
    </row>
    <row r="13" spans="1:9" ht="15.75" thickBot="1">
      <c r="A13" s="3188" t="s">
        <v>927</v>
      </c>
      <c r="B13" s="3188"/>
      <c r="C13" s="3188"/>
      <c r="D13" s="3188" t="str">
        <f ca="1">结果表!D127</f>
        <v>伍仟零贰拾柒万元整</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2025-06-20T02:27:10Z</dcterms:modified>
</cp:coreProperties>
</file>