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60" yWindow="15" windowWidth="12120" windowHeight="7620" tabRatio="936"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比较法-住宅" sheetId="21" state="hidden" r:id="rId22"/>
    <sheet name="典型户型修正" sheetId="31"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F104" i="33"/>
  <c r="E104"/>
  <c r="I36" l="1"/>
  <c r="G36"/>
  <c r="E36"/>
  <c r="C36" l="1"/>
  <c r="I47" i="21" l="1"/>
  <c r="G47"/>
  <c r="E47"/>
  <c r="I5"/>
  <c r="G5"/>
  <c r="E20" i="1"/>
  <c r="C37" i="21" s="1"/>
  <c r="B35" i="4"/>
  <c r="B28"/>
  <c r="D2"/>
  <c r="G37" i="21" l="1"/>
  <c r="I37"/>
  <c r="E37"/>
  <c r="AH5" i="59"/>
  <c r="AG5"/>
  <c r="AE5"/>
  <c r="AF5" s="1"/>
  <c r="AD5"/>
  <c r="Q5"/>
  <c r="P5"/>
  <c r="O5"/>
  <c r="N5"/>
  <c r="L3" l="1"/>
  <c r="K3"/>
  <c r="J3"/>
  <c r="I3"/>
  <c r="AH6" l="1"/>
  <c r="AG6"/>
  <c r="AE6"/>
  <c r="AF6" s="1"/>
  <c r="AD6"/>
  <c r="Q6" l="1"/>
  <c r="AB5" s="1"/>
  <c r="P6"/>
  <c r="O6"/>
  <c r="Y5" s="1"/>
  <c r="Z5" s="1"/>
  <c r="N6"/>
  <c r="X5" s="1"/>
  <c r="Q7"/>
  <c r="P7"/>
  <c r="O7"/>
  <c r="N7"/>
  <c r="D7"/>
  <c r="AA5" l="1"/>
  <c r="E6"/>
  <c r="U6" s="1"/>
  <c r="F6"/>
  <c r="AB6"/>
  <c r="E5"/>
  <c r="AA6"/>
  <c r="C6"/>
  <c r="T6" s="1"/>
  <c r="Y6"/>
  <c r="Z6" s="1"/>
  <c r="B6"/>
  <c r="S6" s="1"/>
  <c r="X6"/>
  <c r="A2" i="50"/>
  <c r="F5" i="59" l="1"/>
  <c r="V6"/>
  <c r="B5"/>
  <c r="D6"/>
  <c r="C5"/>
  <c r="D5" s="1"/>
  <c r="K60" i="15" l="1"/>
  <c r="P72" s="1"/>
  <c r="P59" l="1"/>
  <c r="A126" i="57"/>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9" i="59" l="1"/>
  <c r="P9"/>
  <c r="Q9"/>
  <c r="N9"/>
  <c r="X11" l="1"/>
  <c r="Y11"/>
  <c r="Z11" s="1"/>
  <c r="AA11"/>
  <c r="AB11"/>
  <c r="X12"/>
  <c r="Y12"/>
  <c r="Z12"/>
  <c r="AA12"/>
  <c r="AB12"/>
  <c r="X13"/>
  <c r="Y13"/>
  <c r="Z13" s="1"/>
  <c r="AA13"/>
  <c r="AB13"/>
  <c r="X14"/>
  <c r="Y14"/>
  <c r="Z14"/>
  <c r="AA14"/>
  <c r="AB14"/>
  <c r="X15"/>
  <c r="Y15"/>
  <c r="Z15"/>
  <c r="AA15"/>
  <c r="AB15"/>
  <c r="X16"/>
  <c r="Y16"/>
  <c r="Z16" s="1"/>
  <c r="AA16"/>
  <c r="AB16"/>
  <c r="X17"/>
  <c r="Y17"/>
  <c r="Z17"/>
  <c r="AA17"/>
  <c r="AB17"/>
  <c r="X18"/>
  <c r="Y18"/>
  <c r="Z18" s="1"/>
  <c r="AA18"/>
  <c r="AB18"/>
  <c r="X19"/>
  <c r="Y19"/>
  <c r="Z19"/>
  <c r="AA19"/>
  <c r="AB19"/>
  <c r="AB20"/>
  <c r="AA20"/>
  <c r="Y20"/>
  <c r="X20"/>
  <c r="AD3"/>
  <c r="AE3"/>
  <c r="AF3" s="1"/>
  <c r="AG3"/>
  <c r="AH3"/>
  <c r="AD7"/>
  <c r="AE7"/>
  <c r="AF7" s="1"/>
  <c r="AG7"/>
  <c r="AH7"/>
  <c r="AD8"/>
  <c r="AE8"/>
  <c r="AF8" s="1"/>
  <c r="AG8"/>
  <c r="AH8"/>
  <c r="AD9"/>
  <c r="AE9"/>
  <c r="AF9" s="1"/>
  <c r="AG9"/>
  <c r="AH9"/>
  <c r="AD10"/>
  <c r="AE10"/>
  <c r="AF10"/>
  <c r="AG10"/>
  <c r="AH10"/>
  <c r="AD11"/>
  <c r="AE11"/>
  <c r="AF11"/>
  <c r="AG11"/>
  <c r="AH11"/>
  <c r="AD12"/>
  <c r="AE12"/>
  <c r="AF12" s="1"/>
  <c r="AG12"/>
  <c r="AH12"/>
  <c r="AD13"/>
  <c r="AE13"/>
  <c r="AF13" s="1"/>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H21"/>
  <c r="AG21"/>
  <c r="AE21"/>
  <c r="AD21"/>
  <c r="AF21"/>
  <c r="AD22"/>
  <c r="AE22"/>
  <c r="AF22"/>
  <c r="AG22"/>
  <c r="AH22"/>
  <c r="S5" i="31" l="1"/>
  <c r="M5"/>
  <c r="N5"/>
  <c r="O5"/>
  <c r="P5"/>
  <c r="Q5"/>
  <c r="R5"/>
  <c r="C1" i="61" l="1"/>
  <c r="L1" s="1"/>
  <c r="F7"/>
  <c r="J1" l="1"/>
  <c r="B68" i="60"/>
  <c r="F6" i="61"/>
  <c r="F5"/>
  <c r="D5"/>
  <c r="D3"/>
  <c r="D7"/>
  <c r="D6"/>
  <c r="F4"/>
  <c r="F3"/>
  <c r="D4"/>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S62"/>
  <c r="Q62"/>
  <c r="P62"/>
  <c r="O62"/>
  <c r="N62"/>
  <c r="F62"/>
  <c r="V62" s="1"/>
  <c r="E62"/>
  <c r="U62" s="1"/>
  <c r="C62"/>
  <c r="T62" s="1"/>
  <c r="B62"/>
  <c r="Q61"/>
  <c r="P61"/>
  <c r="O61"/>
  <c r="N61"/>
  <c r="F61"/>
  <c r="F60" s="1"/>
  <c r="B61"/>
  <c r="B60" s="1"/>
  <c r="Q60"/>
  <c r="P60"/>
  <c r="O60"/>
  <c r="N60"/>
  <c r="Q59"/>
  <c r="P59"/>
  <c r="O59"/>
  <c r="N59"/>
  <c r="D59"/>
  <c r="S58"/>
  <c r="Q58"/>
  <c r="P58"/>
  <c r="O58"/>
  <c r="N58"/>
  <c r="F58"/>
  <c r="V58" s="1"/>
  <c r="E58"/>
  <c r="U58" s="1"/>
  <c r="C58"/>
  <c r="T58" s="1"/>
  <c r="B58"/>
  <c r="Q57"/>
  <c r="P57"/>
  <c r="O57"/>
  <c r="N57"/>
  <c r="F57"/>
  <c r="F56" s="1"/>
  <c r="B57"/>
  <c r="B56" s="1"/>
  <c r="Q56"/>
  <c r="P56"/>
  <c r="O56"/>
  <c r="N56"/>
  <c r="Q55"/>
  <c r="P55"/>
  <c r="O55"/>
  <c r="N55"/>
  <c r="D55"/>
  <c r="S54"/>
  <c r="Q54"/>
  <c r="P54"/>
  <c r="O54"/>
  <c r="N54"/>
  <c r="F54"/>
  <c r="V54" s="1"/>
  <c r="E54"/>
  <c r="C54"/>
  <c r="B54"/>
  <c r="Q53"/>
  <c r="P53"/>
  <c r="O53"/>
  <c r="N53"/>
  <c r="F53"/>
  <c r="F52" s="1"/>
  <c r="B53"/>
  <c r="B52" s="1"/>
  <c r="Q52"/>
  <c r="P52"/>
  <c r="O52"/>
  <c r="N52"/>
  <c r="Q51"/>
  <c r="P51"/>
  <c r="O51"/>
  <c r="N51"/>
  <c r="D51"/>
  <c r="U50"/>
  <c r="S50"/>
  <c r="P50"/>
  <c r="N50"/>
  <c r="F50"/>
  <c r="V50" s="1"/>
  <c r="E50"/>
  <c r="E49" s="1"/>
  <c r="P49" s="1"/>
  <c r="C50"/>
  <c r="B50"/>
  <c r="F49"/>
  <c r="F48" s="1"/>
  <c r="Q48" s="1"/>
  <c r="B49"/>
  <c r="E48"/>
  <c r="P47" s="1"/>
  <c r="D47"/>
  <c r="Q46"/>
  <c r="P46"/>
  <c r="O46"/>
  <c r="N46"/>
  <c r="Q45"/>
  <c r="P45"/>
  <c r="O45"/>
  <c r="N45"/>
  <c r="F45"/>
  <c r="F46" s="1"/>
  <c r="V46" s="1"/>
  <c r="Q44"/>
  <c r="P44"/>
  <c r="O44"/>
  <c r="N44"/>
  <c r="E44"/>
  <c r="C44"/>
  <c r="Q43"/>
  <c r="F44" s="1"/>
  <c r="P43"/>
  <c r="O43"/>
  <c r="N43"/>
  <c r="B44" s="1"/>
  <c r="B45" s="1"/>
  <c r="B46" s="1"/>
  <c r="S46" s="1"/>
  <c r="D43"/>
  <c r="Q42"/>
  <c r="P42"/>
  <c r="O42"/>
  <c r="N42"/>
  <c r="Q41"/>
  <c r="P41"/>
  <c r="O41"/>
  <c r="N41"/>
  <c r="F41"/>
  <c r="F42" s="1"/>
  <c r="V42" s="1"/>
  <c r="Q40"/>
  <c r="P40"/>
  <c r="O40"/>
  <c r="N40"/>
  <c r="E40"/>
  <c r="C40"/>
  <c r="Q39"/>
  <c r="F40" s="1"/>
  <c r="P39"/>
  <c r="O39"/>
  <c r="N39"/>
  <c r="B40" s="1"/>
  <c r="B41" s="1"/>
  <c r="B42" s="1"/>
  <c r="S42" s="1"/>
  <c r="D39"/>
  <c r="Q38"/>
  <c r="P38"/>
  <c r="O38"/>
  <c r="N38"/>
  <c r="Q37"/>
  <c r="P37"/>
  <c r="O37"/>
  <c r="N37"/>
  <c r="F37"/>
  <c r="F38" s="1"/>
  <c r="V38" s="1"/>
  <c r="Q36"/>
  <c r="P36"/>
  <c r="O36"/>
  <c r="N36"/>
  <c r="E36"/>
  <c r="C36"/>
  <c r="Q35"/>
  <c r="F36" s="1"/>
  <c r="P35"/>
  <c r="O35"/>
  <c r="N35"/>
  <c r="B36" s="1"/>
  <c r="B37" s="1"/>
  <c r="B38" s="1"/>
  <c r="S38" s="1"/>
  <c r="D35"/>
  <c r="Q34"/>
  <c r="P34"/>
  <c r="O34"/>
  <c r="N34"/>
  <c r="Q33"/>
  <c r="P33"/>
  <c r="O33"/>
  <c r="N33"/>
  <c r="Q32"/>
  <c r="P32"/>
  <c r="O32"/>
  <c r="N32"/>
  <c r="E32"/>
  <c r="E33" s="1"/>
  <c r="E34" s="1"/>
  <c r="U34" s="1"/>
  <c r="Q31"/>
  <c r="F32" s="1"/>
  <c r="F33" s="1"/>
  <c r="F34" s="1"/>
  <c r="V34" s="1"/>
  <c r="P3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Z20"/>
  <c r="Q20"/>
  <c r="P20"/>
  <c r="O20"/>
  <c r="N20"/>
  <c r="F20"/>
  <c r="F21" s="1"/>
  <c r="F22" s="1"/>
  <c r="V22" s="1"/>
  <c r="Q19"/>
  <c r="P19"/>
  <c r="E20" s="1"/>
  <c r="E21" s="1"/>
  <c r="E22" s="1"/>
  <c r="U22" s="1"/>
  <c r="O19"/>
  <c r="C20" s="1"/>
  <c r="N19"/>
  <c r="B20" s="1"/>
  <c r="B21" s="1"/>
  <c r="B22" s="1"/>
  <c r="S22" s="1"/>
  <c r="D19"/>
  <c r="Q18"/>
  <c r="P18"/>
  <c r="O18"/>
  <c r="N18"/>
  <c r="Q17"/>
  <c r="P17"/>
  <c r="O17"/>
  <c r="N17"/>
  <c r="Q16"/>
  <c r="P16"/>
  <c r="O16"/>
  <c r="N16"/>
  <c r="F16"/>
  <c r="F17" s="1"/>
  <c r="F18" s="1"/>
  <c r="V18" s="1"/>
  <c r="Q15"/>
  <c r="P15"/>
  <c r="E16" s="1"/>
  <c r="E17" s="1"/>
  <c r="E18" s="1"/>
  <c r="U18" s="1"/>
  <c r="O15"/>
  <c r="C16" s="1"/>
  <c r="N15"/>
  <c r="B16" s="1"/>
  <c r="B17" s="1"/>
  <c r="B18" s="1"/>
  <c r="S18" s="1"/>
  <c r="D15"/>
  <c r="Q14"/>
  <c r="P14"/>
  <c r="O14"/>
  <c r="N14"/>
  <c r="Q13"/>
  <c r="P13"/>
  <c r="O13"/>
  <c r="N13"/>
  <c r="Q12"/>
  <c r="P12"/>
  <c r="O12"/>
  <c r="N12"/>
  <c r="F12"/>
  <c r="F13" s="1"/>
  <c r="F14" s="1"/>
  <c r="V14" s="1"/>
  <c r="Q11"/>
  <c r="P11"/>
  <c r="E12" s="1"/>
  <c r="E13" s="1"/>
  <c r="E14" s="1"/>
  <c r="U14" s="1"/>
  <c r="O11"/>
  <c r="C12" s="1"/>
  <c r="N11"/>
  <c r="B12" s="1"/>
  <c r="B13" s="1"/>
  <c r="B14" s="1"/>
  <c r="S14" s="1"/>
  <c r="D11"/>
  <c r="O10"/>
  <c r="N10"/>
  <c r="C10" l="1"/>
  <c r="T10" s="1"/>
  <c r="Y3"/>
  <c r="Z3" s="1"/>
  <c r="Y7"/>
  <c r="Z7" s="1"/>
  <c r="Y8"/>
  <c r="Z8" s="1"/>
  <c r="Y10"/>
  <c r="Z10" s="1"/>
  <c r="Y9"/>
  <c r="Z9" s="1"/>
  <c r="B10"/>
  <c r="X10"/>
  <c r="X9"/>
  <c r="X3"/>
  <c r="X7"/>
  <c r="X8"/>
  <c r="C13"/>
  <c r="D12"/>
  <c r="C17"/>
  <c r="D16"/>
  <c r="C21"/>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B9" l="1"/>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T26"/>
  <c r="D26"/>
  <c r="T38"/>
  <c r="D38"/>
  <c r="T42"/>
  <c r="D42"/>
  <c r="T46"/>
  <c r="D46"/>
  <c r="B86" i="43" l="1"/>
  <c r="B75"/>
  <c r="B66"/>
  <c r="B55"/>
  <c r="Z25" i="40" l="1"/>
  <c r="Q25"/>
  <c r="E94"/>
  <c r="F94" s="1"/>
  <c r="D94"/>
  <c r="H25"/>
  <c r="U25" s="1"/>
  <c r="F25"/>
  <c r="AA25" s="1"/>
  <c r="C25"/>
  <c r="Z27" i="39"/>
  <c r="Q27"/>
  <c r="D101"/>
  <c r="E101" s="1"/>
  <c r="F101" s="1"/>
  <c r="C29"/>
  <c r="C27"/>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AB25" i="40" l="1"/>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2" i="1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X28" i="31"/>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D114"/>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I30" i="31"/>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D113"/>
  <c r="D111"/>
  <c r="E111" s="1"/>
  <c r="F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c r="Q44"/>
  <c r="Z44"/>
  <c r="Q43"/>
  <c r="Z43"/>
  <c r="Q42"/>
  <c r="Z42"/>
  <c r="J42"/>
  <c r="AC42" s="1"/>
  <c r="Q41"/>
  <c r="Z41" s="1"/>
  <c r="Q40"/>
  <c r="Z40" s="1"/>
  <c r="J40"/>
  <c r="AC40" s="1"/>
  <c r="H40"/>
  <c r="AB40" s="1"/>
  <c r="AA40"/>
  <c r="Q39"/>
  <c r="Z39"/>
  <c r="Q38"/>
  <c r="Z38"/>
  <c r="J38"/>
  <c r="H38"/>
  <c r="AB38" s="1"/>
  <c r="F38"/>
  <c r="S38" s="1"/>
  <c r="Q37"/>
  <c r="Z37" s="1"/>
  <c r="Q36"/>
  <c r="Z36" s="1"/>
  <c r="Q35"/>
  <c r="Z35" s="1"/>
  <c r="H35"/>
  <c r="AB35" s="1"/>
  <c r="F35"/>
  <c r="S35" s="1"/>
  <c r="Q34"/>
  <c r="Z34" s="1"/>
  <c r="H34"/>
  <c r="AB34" s="1"/>
  <c r="F34"/>
  <c r="AA34" s="1"/>
  <c r="Q33"/>
  <c r="Z33"/>
  <c r="Q32"/>
  <c r="Z32" s="1"/>
  <c r="Q31"/>
  <c r="Z31" s="1"/>
  <c r="Q30"/>
  <c r="Z30" s="1"/>
  <c r="Q29"/>
  <c r="Z29" s="1"/>
  <c r="Q28"/>
  <c r="Z28" s="1"/>
  <c r="Q27"/>
  <c r="Z27" s="1"/>
  <c r="Q26"/>
  <c r="Z26" s="1"/>
  <c r="Q25"/>
  <c r="Z25" s="1"/>
  <c r="Q23"/>
  <c r="Z23"/>
  <c r="Q19"/>
  <c r="Z19" s="1"/>
  <c r="Q17"/>
  <c r="Z17"/>
  <c r="Q15"/>
  <c r="Z15" s="1"/>
  <c r="F15"/>
  <c r="S15" s="1"/>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AC3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F37" s="1"/>
  <c r="S37" s="1"/>
  <c r="J34"/>
  <c r="AC34" s="1"/>
  <c r="F25"/>
  <c r="AA25" s="1"/>
  <c r="J25"/>
  <c r="AC25" s="1"/>
  <c r="H25"/>
  <c r="AB25" s="1"/>
  <c r="J23"/>
  <c r="AC23" s="1"/>
  <c r="F23"/>
  <c r="AA23" s="1"/>
  <c r="H23"/>
  <c r="U23" s="1"/>
  <c r="J19"/>
  <c r="W19" s="1"/>
  <c r="J17"/>
  <c r="AC17" s="1"/>
  <c r="H17"/>
  <c r="AB17" s="1"/>
  <c r="J15"/>
  <c r="AC15" s="1"/>
  <c r="F11"/>
  <c r="AA11" s="1"/>
  <c r="H10"/>
  <c r="U10" s="1"/>
  <c r="S10" i="21"/>
  <c r="U40" i="33"/>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F17"/>
  <c r="AA17" s="1"/>
  <c r="H15"/>
  <c r="AB15" s="1"/>
  <c r="AB11"/>
  <c r="AC27" i="40"/>
  <c r="AC42" i="34"/>
  <c r="W42"/>
  <c r="AA42"/>
  <c r="S42"/>
  <c r="W38"/>
  <c r="J37" i="33"/>
  <c r="AC37"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AC32" i="34"/>
  <c r="AC14"/>
  <c r="J10" i="36"/>
  <c r="AC10"/>
  <c r="AB46" i="21"/>
  <c r="U14"/>
  <c r="AC14"/>
  <c r="S46" i="33"/>
  <c r="AC13" i="36"/>
  <c r="AC11"/>
  <c r="U32"/>
  <c r="AB45" i="33"/>
  <c r="U31"/>
  <c r="U42" i="21"/>
  <c r="S19"/>
  <c r="J41" i="39"/>
  <c r="W41" s="1"/>
  <c r="AC45"/>
  <c r="U36"/>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S11"/>
  <c r="AB38"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A131" i="9"/>
  <c r="A134" i="57"/>
  <c r="B102"/>
  <c r="B106" s="1"/>
  <c r="C111"/>
  <c r="H106" s="1"/>
  <c r="D127"/>
  <c r="S23" i="21"/>
  <c r="W17"/>
  <c r="AC15"/>
  <c r="C109" i="57"/>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B28" i="36"/>
  <c r="AB13" i="40"/>
  <c r="U33"/>
  <c r="S12"/>
  <c r="AB13" i="37"/>
  <c r="U44" i="33"/>
  <c r="U11" i="36"/>
  <c r="AB11" i="35"/>
  <c r="U32" i="34"/>
  <c r="AB32"/>
  <c r="AA30"/>
  <c r="H45" i="21"/>
  <c r="AB45" s="1"/>
  <c r="J14" i="36"/>
  <c r="AC14" s="1"/>
  <c r="AA30" i="35"/>
  <c r="AC30" i="21"/>
  <c r="S15" i="34"/>
  <c r="J40"/>
  <c r="AC40" s="1"/>
  <c r="S37" i="40"/>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AA14" i="35"/>
  <c r="S14"/>
  <c r="W11" i="21"/>
  <c r="S45" i="39"/>
  <c r="AA45"/>
  <c r="H27" i="21"/>
  <c r="AB27" s="1"/>
  <c r="J27"/>
  <c r="W27" s="1"/>
  <c r="F27"/>
  <c r="AA27" s="1"/>
  <c r="J29"/>
  <c r="AC29" s="1"/>
  <c r="H29"/>
  <c r="U29" s="1"/>
  <c r="F29"/>
  <c r="J31"/>
  <c r="W31" s="1"/>
  <c r="H31"/>
  <c r="F31"/>
  <c r="AA31" s="1"/>
  <c r="H39"/>
  <c r="U39" s="1"/>
  <c r="F117"/>
  <c r="G117"/>
  <c r="S9"/>
  <c r="AA9"/>
  <c r="AA15" i="33"/>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A38" i="33"/>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D93" i="9"/>
  <c r="D37" i="11"/>
  <c r="C37" s="1"/>
  <c r="P51" i="15"/>
  <c r="G1" i="61"/>
  <c r="J41" i="33" l="1"/>
  <c r="W41" s="1"/>
  <c r="G111"/>
  <c r="H111" s="1"/>
  <c r="I111" s="1"/>
  <c r="J111" s="1"/>
  <c r="K111" s="1"/>
  <c r="L111" s="1"/>
  <c r="M111" s="1"/>
  <c r="J36"/>
  <c r="AC36" s="1"/>
  <c r="F36"/>
  <c r="S36" s="1"/>
  <c r="H36"/>
  <c r="U36" s="1"/>
  <c r="S34"/>
  <c r="H19"/>
  <c r="AB19" s="1"/>
  <c r="F19"/>
  <c r="S19" s="1"/>
  <c r="AB28"/>
  <c r="AB43"/>
  <c r="AA41"/>
  <c r="AA27"/>
  <c r="S26"/>
  <c r="S25"/>
  <c r="AA37"/>
  <c r="AA35"/>
  <c r="W34"/>
  <c r="W28"/>
  <c r="W23"/>
  <c r="AB23"/>
  <c r="S14"/>
  <c r="W10"/>
  <c r="AB10"/>
  <c r="C33"/>
  <c r="E13" i="1"/>
  <c r="C8" i="11" s="1"/>
  <c r="C5" s="1"/>
  <c r="W36" i="33"/>
  <c r="W29"/>
  <c r="AA29"/>
  <c r="U8"/>
  <c r="E5" i="1"/>
  <c r="AB37" i="21"/>
  <c r="W8"/>
  <c r="H56" i="43"/>
  <c r="D10" i="11"/>
  <c r="C10" s="1"/>
  <c r="C2" i="31"/>
  <c r="I23" s="1"/>
  <c r="P60" i="15"/>
  <c r="D3" i="35"/>
  <c r="D3" i="34"/>
  <c r="D78" i="9"/>
  <c r="D94" i="57"/>
  <c r="D79"/>
  <c r="C29" i="12"/>
  <c r="D28" s="1"/>
  <c r="C114" i="57"/>
  <c r="H109" s="1"/>
  <c r="C112"/>
  <c r="H107" s="1"/>
  <c r="A16" i="55"/>
  <c r="B46" i="60" s="1"/>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A14" i="52"/>
  <c r="B61" i="60" s="1"/>
  <c r="C29" i="11"/>
  <c r="D27" s="1"/>
  <c r="C47"/>
  <c r="D45" s="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M18" i="15"/>
  <c r="D69" i="57"/>
  <c r="F54"/>
  <c r="F31" i="12"/>
  <c r="F52" i="9"/>
  <c r="F48"/>
  <c r="O52" s="1"/>
  <c r="F30" i="11"/>
  <c r="F32" i="15"/>
  <c r="F61" s="1"/>
  <c r="F28"/>
  <c r="C28" s="1"/>
  <c r="F49" i="57"/>
  <c r="O53" s="1"/>
  <c r="F55"/>
  <c r="F53"/>
  <c r="F54" i="9"/>
  <c r="D68"/>
  <c r="F53"/>
  <c r="E27" i="1"/>
  <c r="B25"/>
  <c r="E18" s="1"/>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109"/>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AA28"/>
  <c r="U30"/>
  <c r="S39"/>
  <c r="AB26"/>
  <c r="W35"/>
  <c r="W40"/>
  <c r="W26"/>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AC41" i="33" l="1"/>
  <c r="AA36"/>
  <c r="D20" i="12"/>
  <c r="C20" s="1"/>
  <c r="F43" i="15"/>
  <c r="F72" s="1"/>
  <c r="M29"/>
  <c r="F7"/>
  <c r="J33" i="33"/>
  <c r="F33"/>
  <c r="H33"/>
  <c r="C6" i="15"/>
  <c r="C33" i="21"/>
  <c r="C7" i="12"/>
  <c r="C8" s="1"/>
  <c r="C4" s="1"/>
  <c r="C23" s="1"/>
  <c r="D19"/>
  <c r="C19" s="1"/>
  <c r="D14"/>
  <c r="C14" s="1"/>
  <c r="D17"/>
  <c r="C17" s="1"/>
  <c r="B27" i="31"/>
  <c r="C28" s="1"/>
  <c r="C20" i="11"/>
  <c r="C28" s="1"/>
  <c r="M60" i="15"/>
  <c r="M20" i="43"/>
  <c r="C19" s="1"/>
  <c r="C10" i="15"/>
  <c r="C5" s="1"/>
  <c r="C32" s="1"/>
  <c r="C54"/>
  <c r="C34"/>
  <c r="N60"/>
  <c r="L60"/>
  <c r="Q72" s="1"/>
  <c r="C30" i="11"/>
  <c r="C48"/>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A18" i="55" s="1"/>
  <c r="B48" i="60" s="1"/>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115" i="43"/>
  <c r="D113" s="1"/>
  <c r="J22" s="1"/>
  <c r="C21" s="1"/>
  <c r="M84"/>
  <c r="N84" s="1"/>
  <c r="K84"/>
  <c r="J84" s="1"/>
  <c r="D84" s="1"/>
  <c r="J5" i="15"/>
  <c r="J18" s="1"/>
  <c r="M81" i="43"/>
  <c r="N81" s="1"/>
  <c r="K81"/>
  <c r="J81" s="1"/>
  <c r="D81" s="1"/>
  <c r="M88"/>
  <c r="N88" s="1"/>
  <c r="K88"/>
  <c r="J88" s="1"/>
  <c r="D88" s="1"/>
  <c r="J7" i="36" l="1"/>
  <c r="AA33" i="33"/>
  <c r="S33"/>
  <c r="F31" i="15"/>
  <c r="F51"/>
  <c r="AB33" i="33"/>
  <c r="U33"/>
  <c r="W33"/>
  <c r="AC33"/>
  <c r="H33" i="21"/>
  <c r="J33"/>
  <c r="F33"/>
  <c r="B25" i="31"/>
  <c r="X27"/>
  <c r="X25" s="1"/>
  <c r="C36" i="57" s="1"/>
  <c r="F124" s="1"/>
  <c r="V27" i="31"/>
  <c r="V25" s="1"/>
  <c r="Y27"/>
  <c r="Y25" s="1"/>
  <c r="U27"/>
  <c r="U25" s="1"/>
  <c r="C35" i="57" s="1"/>
  <c r="D124" s="1"/>
  <c r="C31" i="12"/>
  <c r="C5" i="43"/>
  <c r="I55" i="15"/>
  <c r="J54"/>
  <c r="G43" i="35"/>
  <c r="H43" s="1"/>
  <c r="Q59" i="15"/>
  <c r="F7" i="33"/>
  <c r="AA7" s="1"/>
  <c r="R48" s="1"/>
  <c r="R39" i="35"/>
  <c r="C38" s="1"/>
  <c r="D25" i="12"/>
  <c r="C25" i="11"/>
  <c r="C26"/>
  <c r="D22" s="1"/>
  <c r="C23"/>
  <c r="C24"/>
  <c r="H7" i="36"/>
  <c r="U7" s="1"/>
  <c r="B40" i="1"/>
  <c r="M27" i="15" s="1"/>
  <c r="J7" i="33"/>
  <c r="W7" s="1"/>
  <c r="J24" i="15"/>
  <c r="D41" i="11"/>
  <c r="C11" i="12"/>
  <c r="C34" i="11"/>
  <c r="C14" i="15"/>
  <c r="E81" i="43"/>
  <c r="F7" i="21"/>
  <c r="AA7"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F60" l="1"/>
  <c r="C50"/>
  <c r="C49" s="1"/>
  <c r="C67" s="1"/>
  <c r="B124" i="57"/>
  <c r="E124" s="1"/>
  <c r="H102"/>
  <c r="W33" i="21"/>
  <c r="AC33"/>
  <c r="D125" i="57"/>
  <c r="F125"/>
  <c r="AA33" i="21"/>
  <c r="R48" s="1"/>
  <c r="E48" s="1"/>
  <c r="S33"/>
  <c r="AB33"/>
  <c r="U33"/>
  <c r="C36" i="43"/>
  <c r="C35"/>
  <c r="C34"/>
  <c r="C33"/>
  <c r="S7" i="33"/>
  <c r="B33" i="1"/>
  <c r="F41" i="15" s="1"/>
  <c r="F70" s="1"/>
  <c r="Q50"/>
  <c r="C39" i="35"/>
  <c r="B3" s="1"/>
  <c r="AB7" i="36"/>
  <c r="T36" s="1"/>
  <c r="G36" s="1"/>
  <c r="G41" s="1"/>
  <c r="H41" s="1"/>
  <c r="AC7" i="33"/>
  <c r="V48" s="1"/>
  <c r="I48" s="1"/>
  <c r="I52" s="1"/>
  <c r="J52" s="1"/>
  <c r="S7" i="21"/>
  <c r="C15" i="12"/>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F70" i="39"/>
  <c r="G68"/>
  <c r="G63" i="40"/>
  <c r="F65"/>
  <c r="U7" i="21"/>
  <c r="AB7"/>
  <c r="T48" s="1"/>
  <c r="G48" s="1"/>
  <c r="W10" i="40"/>
  <c r="AC10"/>
  <c r="S10"/>
  <c r="AA10"/>
  <c r="W10" i="39"/>
  <c r="AC10"/>
  <c r="AA10"/>
  <c r="S10"/>
  <c r="AB10" i="40"/>
  <c r="U10"/>
  <c r="U10" i="39"/>
  <c r="AB10"/>
  <c r="Q71" i="15"/>
  <c r="Q58"/>
  <c r="C39" i="43"/>
  <c r="C37"/>
  <c r="C38"/>
  <c r="C29"/>
  <c r="C61" i="15" l="1"/>
  <c r="G124" i="57"/>
  <c r="I113"/>
  <c r="D130" s="1"/>
  <c r="H14" i="62" s="1"/>
  <c r="D117" i="57"/>
  <c r="D118" s="1"/>
  <c r="I114" s="1"/>
  <c r="D131" s="1"/>
  <c r="G40" i="36"/>
  <c r="H40" s="1"/>
  <c r="R37"/>
  <c r="C37"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27" i="12"/>
  <c r="C25" s="1"/>
  <c r="C39" i="11"/>
  <c r="C20" i="15"/>
  <c r="C23" s="1"/>
  <c r="I63" i="40"/>
  <c r="H65"/>
  <c r="I68" i="39"/>
  <c r="H70"/>
  <c r="C26" i="43"/>
  <c r="B2" s="1"/>
  <c r="B3" s="1"/>
  <c r="C27"/>
  <c r="M57" i="57" l="1"/>
  <c r="C43" i="11"/>
  <c r="C41" s="1"/>
  <c r="C32" i="12"/>
  <c r="B2" s="1"/>
  <c r="C46" i="11"/>
  <c r="C45" s="1"/>
  <c r="C26" i="15"/>
  <c r="C29" s="1"/>
  <c r="J60" s="1"/>
  <c r="J61" s="1"/>
  <c r="J68" i="39"/>
  <c r="I70"/>
  <c r="J63" i="40"/>
  <c r="I65"/>
  <c r="Q46" i="15" l="1"/>
  <c r="C49" i="11"/>
  <c r="C51" s="1"/>
  <c r="C52" s="1"/>
  <c r="B3" s="1"/>
  <c r="B3" i="12"/>
  <c r="C13" i="15"/>
  <c r="Q47"/>
  <c r="J19"/>
  <c r="J17" s="1"/>
  <c r="C33"/>
  <c r="C31" s="1"/>
  <c r="J14"/>
  <c r="C58"/>
  <c r="C36"/>
  <c r="K68" i="39"/>
  <c r="J70"/>
  <c r="K63" i="40"/>
  <c r="J65"/>
  <c r="D20" i="57"/>
  <c r="D119" l="1"/>
  <c r="I115"/>
  <c r="D132" s="1"/>
  <c r="I14" i="62" s="1"/>
  <c r="B8" s="1"/>
  <c r="D103" i="57"/>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33"/>
  <c r="E2" i="21"/>
  <c r="C19" i="57"/>
  <c r="E2" i="36"/>
  <c r="E2" i="34"/>
  <c r="C20" i="57"/>
  <c r="E2" i="37"/>
  <c r="E2" i="35"/>
  <c r="E2" i="11"/>
  <c r="B2" i="36" l="1"/>
  <c r="B3" s="1"/>
  <c r="B2" i="34"/>
  <c r="B3" s="1"/>
  <c r="B2" i="35"/>
  <c r="B2" i="37"/>
  <c r="B3" s="1"/>
  <c r="B2" i="33"/>
  <c r="B3" s="1"/>
  <c r="B2" i="21"/>
  <c r="C102" i="57"/>
  <c r="B2" i="11"/>
  <c r="G20" i="57"/>
  <c r="C103"/>
  <c r="Q65" i="15"/>
  <c r="L58"/>
  <c r="L61" s="1"/>
  <c r="L47" s="1"/>
  <c r="O68" i="39"/>
  <c r="O70" s="1"/>
  <c r="N70"/>
  <c r="O63" i="40"/>
  <c r="O65" s="1"/>
  <c r="N65"/>
  <c r="D19" i="9"/>
  <c r="D19" i="57"/>
  <c r="D101" i="9" l="1"/>
  <c r="B3" i="21"/>
  <c r="B2" i="15"/>
  <c r="B3"/>
  <c r="Q64"/>
  <c r="Q73" s="1"/>
  <c r="Q55"/>
  <c r="Q60" s="1"/>
  <c r="D22" i="57"/>
  <c r="D102"/>
  <c r="G19"/>
  <c r="C105" s="1"/>
  <c r="H7" i="40"/>
  <c r="F7"/>
  <c r="J7"/>
  <c r="H7" i="39"/>
  <c r="F7"/>
  <c r="J7"/>
  <c r="C19" i="9"/>
  <c r="C20"/>
  <c r="D20"/>
  <c r="D102" l="1"/>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C32" i="57"/>
  <c r="R28" i="31"/>
  <c r="S27"/>
  <c r="T27"/>
  <c r="G47" i="40"/>
  <c r="H47" s="1"/>
  <c r="G46"/>
  <c r="H46" s="1"/>
  <c r="I46"/>
  <c r="J46" s="1"/>
  <c r="R48" i="39"/>
  <c r="E47"/>
  <c r="R43" i="40"/>
  <c r="E42"/>
  <c r="G51" i="39"/>
  <c r="H51" s="1"/>
  <c r="G52"/>
  <c r="H52" s="1"/>
  <c r="S28" i="31" l="1"/>
  <c r="S25" s="1"/>
  <c r="T28"/>
  <c r="T25" s="1"/>
  <c r="E46" i="40"/>
  <c r="F46" s="1"/>
  <c r="E47"/>
  <c r="F47" s="1"/>
  <c r="I52" i="39"/>
  <c r="J52" s="1"/>
  <c r="E51"/>
  <c r="F51" s="1"/>
  <c r="E52"/>
  <c r="F52" s="1"/>
  <c r="C42" i="40"/>
  <c r="C43"/>
  <c r="C47" i="39"/>
  <c r="C48"/>
  <c r="I47" i="40"/>
  <c r="J47" s="1"/>
  <c r="R25" i="31" l="1"/>
  <c r="B24" s="1"/>
  <c r="B3" s="1"/>
  <c r="C34" i="57" s="1"/>
  <c r="I124" s="1"/>
  <c r="B23" i="31"/>
  <c r="B2" s="1"/>
  <c r="C33" i="57" s="1"/>
  <c r="H124" s="1"/>
  <c r="B7" i="62"/>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I103" i="57" l="1"/>
  <c r="D109"/>
  <c r="C106"/>
  <c r="H125"/>
  <c r="I104"/>
  <c r="C107"/>
  <c r="D110"/>
  <c r="C7" i="62"/>
  <c r="D7"/>
  <c r="F61" i="40"/>
  <c r="B2" s="1"/>
  <c r="B3" s="1"/>
  <c r="F66" i="39"/>
  <c r="B2" s="1"/>
  <c r="B3" s="1"/>
  <c r="D115" i="57" l="1"/>
  <c r="D116" s="1"/>
  <c r="I112" s="1"/>
  <c r="D129" s="1"/>
  <c r="D120"/>
  <c r="I116" s="1"/>
  <c r="I111"/>
  <c r="D46"/>
  <c r="M49"/>
  <c r="C79" l="1"/>
  <c r="C74" s="1"/>
  <c r="C86"/>
  <c r="C94"/>
  <c r="C87" s="1"/>
  <c r="D56"/>
  <c r="M54" s="1"/>
  <c r="D53"/>
  <c r="D54"/>
  <c r="D49" s="1"/>
  <c r="M53" s="1"/>
  <c r="C73"/>
  <c r="C80" s="1"/>
  <c r="C65"/>
  <c r="C64" s="1"/>
  <c r="C68" s="1"/>
  <c r="C69" s="1"/>
  <c r="D55" s="1"/>
  <c r="M50"/>
  <c r="D128"/>
  <c r="M56" i="9"/>
  <c r="D130"/>
  <c r="D13" i="52" s="1"/>
  <c r="C96" i="57" l="1"/>
  <c r="L69"/>
  <c r="M69" s="1"/>
  <c r="L67"/>
  <c r="M67" s="1"/>
  <c r="L65"/>
  <c r="M65" s="1"/>
  <c r="L68"/>
  <c r="M68" s="1"/>
  <c r="L66"/>
  <c r="M66" s="1"/>
  <c r="L64"/>
  <c r="M64" s="1"/>
  <c r="C81"/>
  <c r="E81" s="1"/>
  <c r="E82" s="1"/>
  <c r="D35" i="9"/>
  <c r="C35" s="1"/>
  <c r="C82" i="57" l="1"/>
  <c r="M70"/>
  <c r="N70" s="1"/>
  <c r="C97"/>
  <c r="E97" s="1"/>
  <c r="E98" s="1"/>
  <c r="C34" i="9"/>
  <c r="D34"/>
  <c r="C98" i="57" l="1"/>
  <c r="D59" s="1"/>
  <c r="D57" s="1"/>
  <c r="M55" s="1"/>
  <c r="N58" s="1"/>
  <c r="P58" s="1"/>
  <c r="I112" i="9"/>
  <c r="D114"/>
  <c r="D115" s="1"/>
  <c r="N60" i="57" l="1"/>
  <c r="N61" s="1"/>
  <c r="N59"/>
  <c r="N62"/>
  <c r="I113" i="9"/>
  <c r="D41" i="50"/>
  <c r="B63" i="60" s="1"/>
  <c r="D39" i="50"/>
  <c r="D40" s="1"/>
  <c r="D18"/>
  <c r="D127" i="9"/>
  <c r="D10" i="52" s="1"/>
  <c r="D128" i="9" l="1"/>
  <c r="D11" i="52" s="1"/>
  <c r="D20" i="50"/>
  <c r="D19"/>
  <c r="B32" i="60" s="1"/>
  <c r="B31"/>
  <c r="I114" i="9" l="1"/>
  <c r="D116"/>
  <c r="D129" l="1"/>
  <c r="D12" i="52" s="1"/>
  <c r="D21" i="50"/>
  <c r="D42"/>
  <c r="D43" s="1"/>
  <c r="D22" l="1"/>
  <c r="B35" i="60" s="1"/>
  <c r="B33"/>
  <c r="F121" i="9"/>
  <c r="F4" i="52" s="1"/>
  <c r="B40" i="60" s="1"/>
  <c r="D121" i="9"/>
  <c r="D4" i="52" s="1"/>
  <c r="B37" i="60" s="1"/>
  <c r="H121" i="9"/>
  <c r="H4" i="52" l="1"/>
  <c r="D14" i="62"/>
  <c r="I102" i="9"/>
  <c r="M48" s="1"/>
  <c r="I121"/>
  <c r="C104" s="1"/>
  <c r="I110"/>
  <c r="D122"/>
  <c r="D5" i="52" s="1"/>
  <c r="B39" i="60" s="1"/>
  <c r="E121" i="9"/>
  <c r="E4" i="52" s="1"/>
  <c r="B38" i="60" s="1"/>
  <c r="D106" i="9"/>
  <c r="D112" s="1"/>
  <c r="F122"/>
  <c r="F5" i="52" s="1"/>
  <c r="B42" i="60" s="1"/>
  <c r="G121" i="9"/>
  <c r="G4" i="52" s="1"/>
  <c r="B41" i="60" s="1"/>
  <c r="C103" i="9"/>
  <c r="D7" i="50"/>
  <c r="H122" i="9"/>
  <c r="H5" i="52" s="1"/>
  <c r="E14" i="62" l="1"/>
  <c r="B5"/>
  <c r="F14"/>
  <c r="I4" i="52"/>
  <c r="I103" i="9"/>
  <c r="D107"/>
  <c r="D28" i="50"/>
  <c r="D29" s="1"/>
  <c r="D45" i="9"/>
  <c r="D59" s="1"/>
  <c r="M55" s="1"/>
  <c r="D30" i="50"/>
  <c r="D9"/>
  <c r="B21" i="60" s="1"/>
  <c r="B19"/>
  <c r="D8" i="50"/>
  <c r="B22" i="60" s="1"/>
  <c r="D117" i="9"/>
  <c r="D113"/>
  <c r="D125"/>
  <c r="D36" i="50"/>
  <c r="D37" s="1"/>
  <c r="D15"/>
  <c r="M49" i="9"/>
  <c r="D8" i="52" l="1"/>
  <c r="G14" i="62"/>
  <c r="B6" s="1"/>
  <c r="C5"/>
  <c r="D5"/>
  <c r="D53" i="9"/>
  <c r="D48" s="1"/>
  <c r="M52" s="1"/>
  <c r="D52"/>
  <c r="D55"/>
  <c r="M53" s="1"/>
  <c r="C93"/>
  <c r="C86" s="1"/>
  <c r="C85"/>
  <c r="C72"/>
  <c r="C78"/>
  <c r="C73" s="1"/>
  <c r="C64"/>
  <c r="C63" s="1"/>
  <c r="C67" s="1"/>
  <c r="C68" s="1"/>
  <c r="D54" s="1"/>
  <c r="B29" i="60"/>
  <c r="D16" i="50"/>
  <c r="B30" i="60" s="1"/>
  <c r="D44" i="50"/>
  <c r="I115" i="9"/>
  <c r="D23" i="50" s="1"/>
  <c r="B34" i="60" s="1"/>
  <c r="L68" i="9"/>
  <c r="M68" s="1"/>
  <c r="L63"/>
  <c r="M63" s="1"/>
  <c r="L64"/>
  <c r="M64" s="1"/>
  <c r="L65"/>
  <c r="M65" s="1"/>
  <c r="L66"/>
  <c r="M66" s="1"/>
  <c r="L67"/>
  <c r="M67" s="1"/>
  <c r="I111"/>
  <c r="D38" i="50"/>
  <c r="B62" i="60" s="1"/>
  <c r="C6" i="62" l="1"/>
  <c r="D6"/>
  <c r="M69" i="9"/>
  <c r="N69" s="1"/>
  <c r="C95"/>
  <c r="C79"/>
  <c r="C80" s="1"/>
  <c r="E80" s="1"/>
  <c r="E81" s="1"/>
  <c r="D17" i="50"/>
  <c r="D126" i="9"/>
  <c r="D9" i="52" s="1"/>
  <c r="C96" i="9" l="1"/>
  <c r="E96" s="1"/>
  <c r="E97" s="1"/>
  <c r="C81"/>
  <c r="C97" l="1"/>
  <c r="D58" s="1"/>
  <c r="D56" s="1"/>
  <c r="M54" s="1"/>
  <c r="N57" s="1"/>
  <c r="P57" s="1"/>
  <c r="N58"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<sst xmlns="http://schemas.openxmlformats.org/spreadsheetml/2006/main" count="6884" uniqueCount="2889">
  <si>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</si>
  <si>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</si>
  <si>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</si>
  <si>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</si>
  <si>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</si>
  <si>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</si>
  <si>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</si>
  <si>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</si>
  <si>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</si>
  <si>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</si>
  <si>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</si>
  <si>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</si>
  <si>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</si>
  <si>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</si>
  <si>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</si>
  <si>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</si>
  <si>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</si>
  <si>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</si>
  <si>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</si>
  <si>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</si>
  <si>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</si>
  <si>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</si>
  <si>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</si>
  <si>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</si>
  <si>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</si>
  <si>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</si>
  <si>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</si>
  <si>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</si>
  <si>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</si>
  <si>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</si>
  <si>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</si>
  <si>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</si>
  <si>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</si>
  <si>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</si>
  <si>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</si>
  <si>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</si>
  <si>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</si>
  <si>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</si>
  <si>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</si>
  <si>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</si>
  <si>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</si>
  <si>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</si>
  <si>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</si>
  <si>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</si>
  <si>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</si>
  <si>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</si>
  <si>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</si>
  <si>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</si>
  <si>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</si>
  <si>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</si>
  <si>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</si>
  <si>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</si>
  <si>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</si>
  <si>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</si>
  <si>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</si>
  <si>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</si>
  <si>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</si>
  <si>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</si>
  <si>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</si>
  <si>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</si>
  <si>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</si>
  <si>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</si>
  <si>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</si>
  <si>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</si>
  <si>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</si>
  <si>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</si>
  <si>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</si>
  <si>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</si>
  <si>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</si>
  <si>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</si>
  <si>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</si>
  <si>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</si>
  <si>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</si>
  <si>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</si>
  <si>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</si>
  <si>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</si>
  <si>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</si>
  <si>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</si>
  <si>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</si>
  <si>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</si>
  <si>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</si>
  <si>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</si>
  <si>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</si>
  <si>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</si>
  <si>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</si>
  <si>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</si>
  <si>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</si>
  <si>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</si>
  <si>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</si>
  <si>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</si>
  <si>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</si>
  <si>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</si>
  <si>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</si>
  <si>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</si>
  <si>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</si>
  <si>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</si>
  <si>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</si>
  <si>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</si>
  <si>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</si>
  <si>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</si>
  <si>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</si>
  <si>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</si>
  <si>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</si>
  <si>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</si>
  <si>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</si>
  <si>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</si>
  <si>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</si>
  <si>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</si>
  <si>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</si>
  <si>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</si>
  <si>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</si>
  <si>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</si>
  <si>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</si>
  <si>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</si>
  <si>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</si>
  <si>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</si>
  <si>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</si>
  <si>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</si>
  <si>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</si>
  <si>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</si>
  <si>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</si>
  <si>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</si>
  <si>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</si>
  <si>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</si>
  <si>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</si>
  <si>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</si>
  <si>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</si>
  <si>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</si>
  <si>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</si>
  <si>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</si>
  <si>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</si>
  <si>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</si>
  <si>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</si>
  <si>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</si>
  <si>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</si>
  <si>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</si>
  <si>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</si>
  <si>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</si>
  <si>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</si>
  <si>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</si>
  <si>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</si>
  <si>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</si>
  <si>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</si>
  <si>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</si>
  <si>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</si>
  <si>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</si>
  <si>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</si>
  <si>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</si>
  <si>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</si>
  <si>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</si>
  <si>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</si>
  <si>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</si>
  <si>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</si>
  <si>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</si>
  <si>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</si>
  <si>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</si>
  <si>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</si>
  <si>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</si>
  <si>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</si>
  <si>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</si>
  <si>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</si>
  <si>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</si>
  <si>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</si>
  <si>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</si>
  <si>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</si>
  <si>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</si>
  <si>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</si>
  <si>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</si>
  <si>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</si>
  <si>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</si>
  <si>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</si>
  <si>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</si>
  <si>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</si>
  <si>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</si>
  <si>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</si>
  <si>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</si>
  <si>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</si>
  <si>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</si>
  <si>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</si>
  <si>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</si>
  <si>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</si>
  <si>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</si>
  <si>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</si>
  <si>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</si>
  <si>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</si>
  <si>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</si>
  <si>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</si>
  <si>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</si>
  <si>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</si>
  <si>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</si>
  <si>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</si>
  <si>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</si>
  <si>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</si>
  <si>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</si>
  <si>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</si>
  <si>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</si>
  <si>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</si>
  <si>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</si>
  <si>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</si>
  <si>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</si>
  <si>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</si>
  <si>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</si>
  <si>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</si>
  <si>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</si>
  <si>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</si>
  <si>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</si>
  <si>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</si>
  <si>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</si>
  <si>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</si>
  <si>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</si>
  <si>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</si>
  <si>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</si>
  <si>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</si>
  <si>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</si>
  <si>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</si>
  <si>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</si>
  <si>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</si>
  <si>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</si>
  <si>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</si>
  <si>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</si>
  <si>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</si>
  <si>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</si>
  <si>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</si>
  <si>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</si>
  <si>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</si>
  <si>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</si>
  <si>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</si>
  <si>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</si>
  <si>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</si>
  <si>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</si>
  <si>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</si>
  <si>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</si>
  <si>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</si>
  <si>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</si>
  <si>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</si>
  <si>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</si>
  <si>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</si>
  <si>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</si>
  <si>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</si>
  <si>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</si>
  <si>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</si>
  <si>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</si>
  <si>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</si>
  <si>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</si>
  <si>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</si>
  <si>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</si>
  <si>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</si>
  <si>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</si>
  <si>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</si>
  <si>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</si>
  <si>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</si>
  <si>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</si>
  <si>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</si>
  <si>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</si>
  <si>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</si>
  <si>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</si>
  <si>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</si>
  <si>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</si>
  <si>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</si>
  <si>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</si>
  <si>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</si>
  <si>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</si>
  <si>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</si>
  <si>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</si>
  <si>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</si>
  <si>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</si>
  <si>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</si>
  <si>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</si>
  <si>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</si>
  <si>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</si>
  <si>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</si>
  <si>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</si>
  <si>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</si>
  <si>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</si>
  <si>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</si>
  <si>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</si>
  <si>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</si>
  <si>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</si>
  <si>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</si>
  <si>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</si>
  <si>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</si>
  <si>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</si>
  <si>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</si>
  <si>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</si>
  <si>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</si>
  <si>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</si>
  <si>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</si>
  <si>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</si>
  <si>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</si>
  <si>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</si>
  <si>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</si>
  <si>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</si>
  <si>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</si>
  <si>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</si>
  <si>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</si>
  <si>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</si>
  <si>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</si>
  <si>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</si>
  <si>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</si>
  <si>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</si>
  <si>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</si>
  <si>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</si>
  <si>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</si>
  <si>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</si>
  <si>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</si>
  <si>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</si>
  <si>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</si>
  <si>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</si>
  <si>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</si>
  <si>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</si>
  <si>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</si>
  <si>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</si>
  <si>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</si>
  <si>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</si>
  <si>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</si>
  <si>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</si>
  <si>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</si>
  <si>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</si>
  <si>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</si>
  <si>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</si>
  <si>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</si>
  <si>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</si>
  <si>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</si>
  <si>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</si>
  <si>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</si>
  <si>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</si>
  <si>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</si>
  <si>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</si>
  <si>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</si>
  <si>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</si>
  <si>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</si>
  <si>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</si>
  <si>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</si>
  <si>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</si>
  <si>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</si>
  <si>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</si>
  <si>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</si>
  <si>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</si>
  <si>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</si>
  <si>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</si>
  <si>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</si>
  <si>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</si>
  <si>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</si>
  <si>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</si>
  <si>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</si>
  <si>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</si>
  <si>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</si>
  <si>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</si>
  <si>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</si>
  <si>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</si>
  <si>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</si>
  <si>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</si>
  <si>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</si>
  <si>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</si>
  <si>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</si>
  <si>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</si>
  <si>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</si>
  <si>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</si>
  <si>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</si>
  <si>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</si>
  <si>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</si>
  <si>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</si>
  <si>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</si>
  <si>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</si>
  <si>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</si>
  <si>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</si>
  <si>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</si>
  <si>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</si>
  <si>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</si>
  <si>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</si>
  <si>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</si>
  <si>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</si>
  <si>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</si>
  <si>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</si>
  <si>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</si>
  <si>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</si>
  <si>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</si>
  <si>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</si>
  <si>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</si>
  <si>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</si>
  <si>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</si>
  <si>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</si>
  <si>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</si>
  <si>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</si>
  <si>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</si>
  <si>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</si>
  <si>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</si>
  <si>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</si>
  <si>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</si>
  <si>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</si>
  <si>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</si>
  <si>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</si>
  <si>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</si>
  <si>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</si>
  <si>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</si>
  <si>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</si>
  <si>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</si>
  <si>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</si>
  <si>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</si>
  <si>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</si>
  <si>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</si>
  <si>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</si>
  <si>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</si>
  <si>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</si>
  <si>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</si>
  <si>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</si>
  <si>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</si>
  <si>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</si>
  <si>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</si>
  <si>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</si>
  <si>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</si>
  <si>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</si>
  <si>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</si>
  <si>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</si>
  <si>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</si>
  <si>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</si>
  <si>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</si>
  <si>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</si>
  <si>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</si>
  <si>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</si>
  <si>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</si>
  <si>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</si>
  <si>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</si>
  <si>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</si>
  <si>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</si>
  <si>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</si>
  <si>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</si>
  <si>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</si>
  <si>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</si>
  <si>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</si>
  <si>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</si>
  <si>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</si>
  <si>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</si>
  <si>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</si>
  <si>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</si>
  <si>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</si>
  <si>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</si>
  <si>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</si>
  <si>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</si>
  <si>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</si>
  <si>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</si>
  <si>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</si>
  <si>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</si>
  <si>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</si>
  <si>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</si>
  <si>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</si>
  <si>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</si>
  <si>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</si>
  <si>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</si>
  <si>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</si>
  <si>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</si>
  <si>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</si>
  <si>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</si>
  <si>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</si>
  <si>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</si>
  <si>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</si>
  <si>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</si>
  <si>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</si>
  <si>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</si>
  <si>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</si>
  <si>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</si>
  <si>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</si>
  <si>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</si>
  <si>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</si>
  <si>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</si>
  <si>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</si>
  <si>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</si>
  <si>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</si>
  <si>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</si>
  <si>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</si>
  <si>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</si>
  <si>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</si>
  <si>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</si>
  <si>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</si>
  <si>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</si>
  <si>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</si>
  <si>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</si>
  <si>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</si>
  <si>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</si>
  <si>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</si>
  <si>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</si>
  <si>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</si>
  <si>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</si>
  <si>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</si>
  <si>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</si>
  <si>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</si>
  <si>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</si>
  <si>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</si>
  <si>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</si>
  <si>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</si>
  <si>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</si>
  <si>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</si>
  <si>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</si>
  <si>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</si>
  <si>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</si>
  <si>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</si>
  <si>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</si>
  <si>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</si>
  <si>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</si>
  <si>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</si>
  <si>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</si>
  <si>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</si>
  <si>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</si>
  <si>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</si>
  <si>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</si>
  <si>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</si>
  <si>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</si>
  <si>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</si>
  <si>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</si>
  <si>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</si>
  <si>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</si>
  <si>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</si>
  <si>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</si>
  <si>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</si>
  <si>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</si>
  <si>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</si>
  <si>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</si>
  <si>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</si>
  <si>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</si>
  <si>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</si>
  <si>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</si>
  <si>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</si>
  <si>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</si>
  <si>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</si>
  <si>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</si>
  <si>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</si>
  <si>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</si>
  <si>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</si>
  <si>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</si>
  <si>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</si>
  <si>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</si>
  <si>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</si>
  <si>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</si>
  <si>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</si>
  <si>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</si>
  <si>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</si>
  <si>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</si>
  <si>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</si>
  <si>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</si>
  <si>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</si>
  <si>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</si>
  <si>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</si>
  <si>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</si>
  <si>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</si>
  <si>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</si>
  <si>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</si>
  <si>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</si>
  <si>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</si>
  <si>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</si>
  <si>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</si>
  <si>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</si>
  <si>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</si>
  <si>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</si>
  <si>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</si>
  <si>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</si>
  <si>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</si>
  <si>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</si>
  <si>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</si>
  <si>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</si>
  <si>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</si>
  <si>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</si>
  <si>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</si>
  <si>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</si>
  <si>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</si>
  <si>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</si>
  <si>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</si>
  <si>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</si>
  <si>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</si>
  <si>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</si>
  <si>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</si>
  <si>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</si>
  <si>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</si>
  <si>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</si>
  <si>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</si>
  <si>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</si>
  <si>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</si>
  <si>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</si>
  <si>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</si>
  <si>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</si>
  <si>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</si>
  <si>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</si>
  <si>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</si>
  <si>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</si>
  <si>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</si>
  <si>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</si>
  <si>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</si>
  <si>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</si>
  <si>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</si>
  <si>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</si>
  <si>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</si>
  <si>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</si>
  <si>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</si>
  <si>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</si>
  <si>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</si>
  <si>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</si>
  <si>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</si>
  <si>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</si>
  <si>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</si>
  <si>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</si>
  <si>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</si>
  <si>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</si>
  <si>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</si>
  <si>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</si>
  <si>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</si>
  <si>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</si>
  <si>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</si>
  <si>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</si>
  <si>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</si>
  <si>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</si>
  <si>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</si>
  <si>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</si>
  <si>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</si>
  <si>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</si>
  <si>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</si>
  <si>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</si>
  <si>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</si>
  <si>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</si>
  <si>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</si>
  <si>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</si>
  <si>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</si>
  <si>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</si>
  <si>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</si>
  <si>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</si>
  <si>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</si>
  <si>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</si>
  <si>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</si>
  <si>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</si>
  <si>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</si>
  <si>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</si>
  <si>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</si>
  <si>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</si>
  <si>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</si>
  <si>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</si>
  <si>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</si>
  <si>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</si>
  <si>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</si>
  <si>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</si>
  <si>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</si>
  <si>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</si>
  <si>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</si>
  <si>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</si>
  <si>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</si>
  <si>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</si>
  <si>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</si>
  <si>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</si>
  <si>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</si>
  <si>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</si>
  <si>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</si>
  <si>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</si>
  <si>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</si>
  <si>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</si>
  <si>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</si>
  <si>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</si>
  <si>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</si>
  <si>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</si>
  <si>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</si>
  <si>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</si>
  <si>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</si>
  <si>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</si>
  <si>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</si>
  <si>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</si>
  <si>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</si>
  <si>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</si>
  <si>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</si>
  <si>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</si>
  <si>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</si>
  <si>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</si>
  <si>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</si>
  <si>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</si>
  <si>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</si>
  <si>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</si>
  <si>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</si>
  <si>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</si>
  <si>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</si>
  <si>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</si>
  <si>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</si>
  <si>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</si>
  <si>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</si>
  <si>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</si>
  <si>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</si>
  <si>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</si>
  <si>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</si>
  <si>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</si>
  <si>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</si>
  <si>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</si>
  <si>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</si>
  <si>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</si>
  <si>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</si>
  <si>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</si>
  <si>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</si>
  <si>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</si>
  <si>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</si>
  <si>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</si>
  <si>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</si>
  <si>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</si>
  <si>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</si>
  <si>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</si>
  <si>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</si>
  <si>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</si>
  <si>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</si>
  <si>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</si>
  <si>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</si>
  <si>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</si>
  <si>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</si>
  <si>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</si>
  <si>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</si>
  <si>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</si>
  <si>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</si>
  <si>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</si>
  <si>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</si>
  <si>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</si>
  <si>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</si>
  <si>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</si>
  <si>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</si>
  <si>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</si>
  <si>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</si>
  <si>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</si>
  <si>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</si>
  <si>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</si>
  <si>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</si>
  <si>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</si>
  <si>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</si>
  <si>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</si>
  <si>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</si>
  <si>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</si>
  <si>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</si>
  <si>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</si>
  <si>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</si>
  <si>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</si>
  <si>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</si>
  <si>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</si>
  <si>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</si>
  <si>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</si>
  <si>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</si>
  <si>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</si>
  <si>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</si>
  <si>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</si>
  <si>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</si>
  <si>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</si>
  <si>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</si>
  <si>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</si>
  <si>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</si>
  <si>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</si>
  <si>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</si>
  <si>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</si>
  <si>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</si>
  <si>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</si>
  <si>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</si>
  <si>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</si>
  <si>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</si>
  <si>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</si>
  <si>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</si>
  <si>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</si>
  <si>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</si>
  <si>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</si>
  <si>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</si>
  <si>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</si>
  <si>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</si>
  <si>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</si>
  <si>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</si>
  <si>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</si>
  <si>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</si>
  <si>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</si>
  <si>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</si>
  <si>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</si>
  <si>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</si>
  <si>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</si>
  <si>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</si>
  <si>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</si>
  <si>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</si>
  <si>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</si>
  <si>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</si>
  <si>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</si>
  <si>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</si>
  <si>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</si>
  <si>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</si>
  <si>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</si>
  <si>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</si>
  <si>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</si>
  <si>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</si>
  <si>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</si>
  <si>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</si>
  <si>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</si>
  <si>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</si>
  <si>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</si>
  <si>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</si>
  <si>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</si>
  <si>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</si>
  <si>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</si>
  <si>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</si>
  <si>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</si>
  <si>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</si>
  <si>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</si>
  <si>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</si>
  <si>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</si>
  <si>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</si>
  <si>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</si>
  <si>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</si>
  <si>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</si>
  <si>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</si>
  <si>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</si>
  <si>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</si>
  <si>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</si>
  <si>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</si>
  <si>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</si>
  <si>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</si>
  <si>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</si>
  <si>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</si>
  <si>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</si>
  <si>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</si>
  <si>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</si>
  <si>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</si>
  <si>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</si>
  <si>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</si>
  <si>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</si>
  <si>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</si>
  <si>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</si>
  <si>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</si>
  <si>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</si>
  <si>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</si>
  <si>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</si>
  <si>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</si>
  <si>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</si>
  <si>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</si>
  <si>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</si>
  <si>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</si>
  <si>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</si>
  <si>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</si>
  <si>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</si>
  <si>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</si>
  <si>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</si>
  <si>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</si>
  <si>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</si>
  <si>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</si>
  <si>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</si>
  <si>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</si>
  <si>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</si>
  <si>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</si>
  <si>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</si>
  <si>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</si>
  <si>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</si>
  <si>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</si>
  <si>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</si>
  <si>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</si>
  <si>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</si>
  <si>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</si>
  <si>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</si>
  <si>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</si>
  <si>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</si>
  <si>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</si>
  <si>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</si>
  <si>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</si>
  <si>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</si>
  <si>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</si>
  <si>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</si>
  <si>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</si>
  <si>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</si>
  <si>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</si>
  <si>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</si>
  <si>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</si>
  <si>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</si>
  <si>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</si>
  <si>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</si>
  <si>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</si>
  <si>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</si>
  <si>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</si>
  <si>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</si>
  <si>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</si>
  <si>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</si>
  <si>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</si>
  <si>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</si>
  <si>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</si>
  <si>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</si>
  <si>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</si>
  <si>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</si>
  <si>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</si>
  <si>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</si>
  <si>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</si>
  <si>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</si>
  <si>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</si>
  <si>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</si>
  <si>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</si>
  <si>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</si>
  <si>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</si>
  <si>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</si>
  <si>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</si>
  <si>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</si>
  <si>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</si>
  <si>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</si>
  <si>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</si>
  <si>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</si>
  <si>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</si>
  <si>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</si>
  <si>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</si>
  <si>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</si>
  <si>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</si>
  <si>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</si>
  <si>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</si>
  <si>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</si>
  <si>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</si>
  <si>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</si>
  <si>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</si>
  <si>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</si>
  <si>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</si>
  <si>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</si>
  <si>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</si>
  <si>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</si>
  <si>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</si>
  <si>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</si>
  <si>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</si>
  <si>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</si>
  <si>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</si>
  <si>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</si>
  <si>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</si>
  <si>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</si>
  <si>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</si>
  <si>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</si>
  <si>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</si>
  <si>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</si>
  <si>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</si>
  <si>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</si>
  <si>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</si>
  <si>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</si>
  <si>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</si>
  <si>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</si>
  <si>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</si>
  <si>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</si>
  <si>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</si>
  <si>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</si>
  <si>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</si>
  <si>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</si>
  <si>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</si>
  <si>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</si>
  <si>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</si>
  <si>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</si>
  <si>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</si>
  <si>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</si>
  <si>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</si>
  <si>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</si>
  <si>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</si>
  <si>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</si>
  <si>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</si>
  <si>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</si>
  <si>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</si>
  <si>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</si>
  <si>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</si>
  <si>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</si>
  <si>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</si>
  <si>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</si>
  <si>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</si>
  <si>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</si>
  <si>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</si>
  <si>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</si>
  <si>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</si>
  <si>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</si>
  <si>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</si>
  <si>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</si>
  <si>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</si>
  <si>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</si>
  <si>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</si>
  <si>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</si>
  <si>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</si>
  <si>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</si>
  <si>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</si>
  <si>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</si>
  <si>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</si>
  <si>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</si>
  <si>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</si>
  <si>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</si>
  <si>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</si>
  <si>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</si>
  <si>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</si>
  <si>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</si>
  <si>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</si>
  <si>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</si>
  <si>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</si>
  <si>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</si>
  <si>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</si>
  <si>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</si>
  <si>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</si>
  <si>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</si>
  <si>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</si>
  <si>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</si>
  <si>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</si>
  <si>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</si>
  <si>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</si>
  <si>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</si>
  <si>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</si>
  <si>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</si>
  <si>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</si>
  <si>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</si>
  <si>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</si>
  <si>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</si>
  <si>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</si>
  <si>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</si>
  <si>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</si>
  <si>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</si>
  <si>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</si>
  <si>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</si>
  <si>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</si>
  <si>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</si>
  <si>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</si>
  <si>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</si>
  <si>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</si>
  <si>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</si>
  <si>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</si>
  <si>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</si>
  <si>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</si>
  <si>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</si>
  <si>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</si>
  <si>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</si>
  <si>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</si>
  <si>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</si>
  <si>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</si>
  <si>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</si>
  <si>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</si>
  <si>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</si>
  <si>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</si>
  <si>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</si>
  <si>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</si>
  <si>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</si>
  <si>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</si>
  <si>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</si>
  <si>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</si>
  <si>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</si>
  <si>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</si>
  <si>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</si>
  <si>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</si>
  <si>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</si>
  <si>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</si>
  <si>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</si>
  <si>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</si>
  <si>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</si>
  <si>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</si>
  <si>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</si>
  <si>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</si>
  <si>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</si>
  <si>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</si>
  <si>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</si>
  <si>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</si>
  <si>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</si>
  <si>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</si>
  <si>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</si>
  <si>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</si>
  <si>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</si>
  <si>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</si>
  <si>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</si>
  <si>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</si>
  <si>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</si>
  <si>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</si>
  <si>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</si>
  <si>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</si>
  <si>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</si>
  <si>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</si>
  <si>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</si>
  <si>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</si>
  <si>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</si>
  <si>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</si>
  <si>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</si>
  <si>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</si>
  <si>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</si>
  <si>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</si>
  <si>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</si>
  <si>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</si>
  <si>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</si>
  <si>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</si>
  <si>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</si>
  <si>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</si>
  <si>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</si>
  <si>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</si>
  <si>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</si>
  <si>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</si>
  <si>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</si>
  <si>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</si>
  <si>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</si>
  <si>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</si>
  <si>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</si>
  <si>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</si>
  <si>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</si>
  <si>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</si>
  <si>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</si>
  <si>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</si>
  <si>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</si>
  <si>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</si>
  <si>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</si>
  <si>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</si>
  <si>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</si>
  <si>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</si>
  <si>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</si>
  <si>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</si>
  <si>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</si>
  <si>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</si>
  <si>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</si>
  <si>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</si>
  <si>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</si>
  <si>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</si>
  <si>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</si>
  <si>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</si>
  <si>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</si>
  <si>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</si>
  <si>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</si>
  <si>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</si>
  <si>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</si>
  <si>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</si>
  <si>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</si>
  <si>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</si>
  <si>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</si>
  <si>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</si>
  <si>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</si>
  <si>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</si>
  <si>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</si>
  <si>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</si>
  <si>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</si>
  <si>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</si>
  <si>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</si>
  <si>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</si>
  <si>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</si>
  <si>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</si>
  <si>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</si>
  <si>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</si>
  <si>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</si>
  <si>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</si>
  <si>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</si>
  <si>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</si>
  <si>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</si>
  <si>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</si>
  <si>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</si>
  <si>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</si>
  <si>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</si>
  <si>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</si>
  <si>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</si>
  <si>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</si>
  <si>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</si>
  <si>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</si>
  <si>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</si>
  <si>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</si>
  <si>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</si>
  <si>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</si>
  <si>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</si>
  <si>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</si>
  <si>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</si>
  <si>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</si>
  <si>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</si>
  <si>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</si>
  <si>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</si>
  <si>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</si>
  <si>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</si>
  <si>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</si>
  <si>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</si>
  <si>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</si>
  <si>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</si>
  <si>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</si>
  <si>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</si>
  <si>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</si>
  <si>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</si>
  <si>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</si>
  <si>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</si>
  <si>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</si>
  <si>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</si>
  <si>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</si>
  <si>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</si>
  <si>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</si>
  <si>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</si>
  <si>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</si>
  <si>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</si>
  <si>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</si>
  <si>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</si>
  <si>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</si>
  <si>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</si>
  <si>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</si>
  <si>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</si>
  <si>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</si>
  <si>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</si>
  <si>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</si>
  <si>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</si>
  <si>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</si>
  <si>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</si>
  <si>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</si>
  <si>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</si>
  <si>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</si>
  <si>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</si>
  <si>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</si>
  <si>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</si>
  <si>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</si>
  <si>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</si>
  <si>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</si>
  <si>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</si>
  <si>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</si>
  <si>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</si>
  <si>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</si>
  <si>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</si>
  <si>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</si>
  <si>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</si>
  <si>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</si>
  <si>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</si>
  <si>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</si>
  <si>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</si>
  <si>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</si>
  <si>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</si>
  <si>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</si>
  <si>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</si>
  <si>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</si>
  <si>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</si>
  <si>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</si>
  <si>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</si>
  <si>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</si>
  <si>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</si>
  <si>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</si>
  <si>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</si>
  <si>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</si>
  <si>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</si>
  <si>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</si>
  <si>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</si>
  <si>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</si>
  <si>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</si>
  <si>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</si>
  <si>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</si>
  <si>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</si>
  <si>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</si>
  <si>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</si>
  <si>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</si>
  <si>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</si>
  <si>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</si>
  <si>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</si>
  <si>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</si>
  <si>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</si>
  <si>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</si>
  <si>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</si>
  <si>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</si>
  <si>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</si>
  <si>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</si>
  <si>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</si>
  <si>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</si>
  <si>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</si>
  <si>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</si>
  <si>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</si>
  <si>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</si>
  <si>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</si>
  <si>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</si>
  <si>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</si>
  <si>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</si>
  <si>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</si>
  <si>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</si>
  <si>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</si>
  <si>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</si>
  <si>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</si>
  <si>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</si>
  <si>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</si>
  <si>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</si>
  <si>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</si>
  <si>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</si>
  <si>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</si>
  <si>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</si>
  <si>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</si>
  <si>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</si>
  <si>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</si>
  <si>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</si>
  <si>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</si>
  <si>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</si>
  <si>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</si>
  <si>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</si>
  <si>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</si>
  <si>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</si>
  <si>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</si>
  <si>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</si>
  <si>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</si>
  <si>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</si>
  <si>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</si>
  <si>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</si>
  <si>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</si>
  <si>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</si>
  <si>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</si>
  <si>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</si>
  <si>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</si>
  <si>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</si>
  <si>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</si>
  <si>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</si>
  <si>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</si>
  <si>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</si>
  <si>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</si>
  <si>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</si>
  <si>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</si>
  <si>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</si>
  <si>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</si>
  <si>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</si>
  <si>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</si>
  <si>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</si>
  <si>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</si>
  <si>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</si>
  <si>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</si>
  <si>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</si>
  <si>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</si>
  <si>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</si>
  <si>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</si>
  <si>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</si>
  <si>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</si>
  <si>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</si>
  <si>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</si>
  <si>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</si>
  <si>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</si>
  <si>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</si>
  <si>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</si>
  <si>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</si>
  <si>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</si>
  <si>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</si>
  <si>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</si>
  <si>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</si>
  <si>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</si>
  <si>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</si>
  <si>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</si>
  <si>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</si>
  <si>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</si>
  <si>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</si>
  <si>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</si>
  <si>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</si>
  <si>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</si>
  <si>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</si>
  <si>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</si>
  <si>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</si>
  <si>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</si>
  <si>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</si>
  <si>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</si>
  <si>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</si>
  <si>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</si>
  <si>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</si>
  <si>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</si>
  <si>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</si>
  <si>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</si>
  <si>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</si>
  <si>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</si>
  <si>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</si>
  <si>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</si>
  <si>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</si>
  <si>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</si>
  <si>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</si>
  <si>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</si>
  <si>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</si>
  <si>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</si>
  <si>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</si>
  <si>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</si>
  <si>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</si>
  <si>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</si>
  <si>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</si>
  <si>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</si>
  <si>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</si>
  <si>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</si>
  <si>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</si>
  <si>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</si>
  <si>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</si>
  <si>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</si>
  <si>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</si>
  <si>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</si>
  <si>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</si>
  <si>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</si>
  <si>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</si>
  <si>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</si>
  <si>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</si>
  <si>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</si>
  <si>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</si>
  <si>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</si>
  <si>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</si>
  <si>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</si>
  <si>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</si>
  <si>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</si>
  <si>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</si>
  <si>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</si>
  <si>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</si>
  <si>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</si>
  <si>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</si>
  <si>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</si>
  <si>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</si>
  <si>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</si>
  <si>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</si>
  <si>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</si>
  <si>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</si>
  <si>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</si>
  <si>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</si>
  <si>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</si>
  <si>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</si>
  <si>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</si>
  <si>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</si>
  <si>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</si>
  <si>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</si>
  <si>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</si>
  <si>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</si>
  <si>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</si>
  <si>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</si>
  <si>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</si>
  <si>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</si>
  <si>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</si>
  <si>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</si>
  <si>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</si>
  <si>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</si>
  <si>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</si>
  <si>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</si>
  <si>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</si>
  <si>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</si>
  <si>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</si>
  <si>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</si>
  <si>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</si>
  <si>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</si>
  <si>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</si>
  <si>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</si>
  <si>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</si>
  <si>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</si>
  <si>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</si>
  <si>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</si>
  <si>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</si>
  <si>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</si>
  <si>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</si>
  <si>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</si>
  <si>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</si>
  <si>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</si>
  <si>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</si>
  <si>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</si>
  <si>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</si>
  <si>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</si>
  <si>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</si>
  <si>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</si>
  <si>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</si>
  <si>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</si>
  <si>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</si>
  <si>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</si>
  <si>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</si>
  <si>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</si>
  <si>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</si>
  <si>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</si>
  <si>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</si>
  <si>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</si>
  <si>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</si>
  <si>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</si>
  <si>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</si>
  <si>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</si>
  <si>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</si>
  <si>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</si>
  <si>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</si>
  <si>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</si>
  <si>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</si>
  <si>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</si>
  <si>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</si>
  <si>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</si>
  <si>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</si>
  <si>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</si>
  <si>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</si>
  <si>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</si>
  <si>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</si>
  <si>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</si>
  <si>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</si>
  <si>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</si>
  <si>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</si>
  <si>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</si>
  <si>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</si>
  <si>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</si>
  <si>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</si>
  <si>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</si>
  <si>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</si>
  <si>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</si>
  <si>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</si>
  <si>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</si>
  <si>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</si>
  <si>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</si>
  <si>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</si>
  <si>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</si>
  <si>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</si>
  <si>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</si>
  <si>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</si>
  <si>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</si>
  <si>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</si>
  <si>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</si>
  <si>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</si>
  <si>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</si>
  <si>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</si>
  <si>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</si>
  <si>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</si>
  <si>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</si>
  <si>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</si>
  <si>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</si>
  <si>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</si>
  <si>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</si>
  <si>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</si>
  <si>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</si>
  <si>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</si>
  <si>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</si>
  <si>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</si>
  <si>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</si>
  <si>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</si>
  <si>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</si>
  <si>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</si>
  <si>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</si>
  <si>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</si>
  <si>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</si>
  <si>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</si>
  <si>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</si>
  <si>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</si>
  <si>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</si>
  <si>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</si>
  <si>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</si>
  <si>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</si>
  <si>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</si>
  <si>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</si>
  <si>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</si>
  <si>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</si>
  <si>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</si>
  <si>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</si>
  <si>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</si>
  <si>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</si>
  <si>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</si>
  <si>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</si>
  <si>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</si>
  <si>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</si>
  <si>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</si>
  <si>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</si>
  <si>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</si>
  <si>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</si>
  <si>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</si>
  <si>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</si>
  <si>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</si>
  <si>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</si>
  <si>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</si>
  <si>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</si>
  <si>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</si>
  <si>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</si>
  <si>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</si>
  <si>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</si>
  <si>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</si>
  <si>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</si>
  <si>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</si>
  <si>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</si>
  <si>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</si>
  <si>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</si>
  <si>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</si>
  <si>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</si>
  <si>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</si>
  <si>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</si>
  <si>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</si>
  <si>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</si>
  <si>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</si>
  <si>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</si>
  <si>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</si>
  <si>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</si>
  <si>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</si>
  <si>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</si>
  <si>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</si>
  <si>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</si>
  <si>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</si>
  <si>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</si>
  <si>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</si>
  <si>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</si>
  <si>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</si>
  <si>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</si>
  <si>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</si>
  <si>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</si>
  <si>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</si>
  <si>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</si>
  <si>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</si>
  <si>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</si>
  <si>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</si>
  <si>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</si>
  <si>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</si>
  <si>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</si>
  <si>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</si>
  <si>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</si>
  <si>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</si>
  <si>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</si>
  <si>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</si>
  <si>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</si>
  <si>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</si>
  <si>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</si>
  <si>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</si>
  <si>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</si>
  <si>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</si>
  <si>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</si>
  <si>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</si>
  <si>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</si>
  <si>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</si>
  <si>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</si>
  <si>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</si>
  <si>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</si>
  <si>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</si>
  <si>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</si>
  <si>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</si>
  <si>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</si>
  <si>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</si>
  <si>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</si>
  <si>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</si>
  <si>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</si>
  <si>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</si>
  <si>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</si>
  <si>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</si>
  <si>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</si>
  <si>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</si>
  <si>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</si>
  <si>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</si>
  <si>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</si>
  <si>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</si>
  <si>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</si>
  <si>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</si>
  <si>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</si>
  <si>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</si>
  <si>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</si>
  <si>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</si>
  <si>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</si>
  <si>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</si>
  <si>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</si>
  <si>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</si>
  <si>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</si>
  <si>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</si>
  <si>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</si>
  <si>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</si>
  <si>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</si>
  <si>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</si>
  <si>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</si>
  <si>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</si>
  <si>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</si>
  <si>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</si>
  <si>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</si>
  <si>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</si>
  <si>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</si>
  <si>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</si>
  <si>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</si>
  <si>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</si>
  <si>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</si>
  <si>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</si>
  <si>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</si>
  <si>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</si>
  <si>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</si>
  <si>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</si>
  <si>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</si>
  <si>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</si>
  <si>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</si>
  <si>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</si>
  <si>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</si>
  <si>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</si>
  <si>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</si>
  <si>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</si>
  <si>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</si>
  <si>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</si>
  <si>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</si>
  <si>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</si>
  <si>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</si>
  <si>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</si>
  <si>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</si>
  <si>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</si>
  <si>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</si>
  <si>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</si>
  <si>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</si>
  <si>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</si>
  <si>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</si>
  <si>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</si>
  <si>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</si>
  <si>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</si>
  <si>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</si>
  <si>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</si>
  <si>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</si>
  <si>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</si>
  <si>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</si>
  <si>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</si>
  <si>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</si>
  <si>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</si>
  <si>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</si>
  <si>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</si>
  <si>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</si>
  <si>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</si>
  <si>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</si>
  <si>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</si>
  <si>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</si>
  <si>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</si>
  <si>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</si>
  <si>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</si>
  <si>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</si>
  <si>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</si>
  <si>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</si>
  <si>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</si>
  <si>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</si>
  <si>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</si>
  <si>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</si>
  <si>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</si>
  <si>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</si>
  <si>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</si>
  <si>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</si>
  <si>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</si>
  <si>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</si>
  <si>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</si>
  <si>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</si>
  <si>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</si>
  <si>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</si>
  <si>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</si>
  <si>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</si>
  <si>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</si>
  <si>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</si>
  <si>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</si>
  <si>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</si>
  <si>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</si>
  <si>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</si>
  <si>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</si>
  <si>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</si>
  <si>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</si>
  <si>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</si>
  <si>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</si>
  <si>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</si>
  <si>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</si>
  <si>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</si>
  <si>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</si>
  <si>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</si>
  <si>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</si>
  <si>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</si>
  <si>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</si>
  <si>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</si>
  <si>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</si>
  <si>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</si>
  <si>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</si>
  <si>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</si>
  <si>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</si>
  <si>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</si>
  <si>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</si>
  <si>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</si>
  <si>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</si>
  <si>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</si>
  <si>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</si>
  <si>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</si>
  <si>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</si>
  <si>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</si>
  <si>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</si>
  <si>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</si>
  <si>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</si>
  <si>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</si>
  <si>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</si>
  <si>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</si>
  <si>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</si>
  <si>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</si>
  <si>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</si>
  <si>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</si>
  <si>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</si>
  <si>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</si>
  <si>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</si>
  <si>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</si>
  <si>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</si>
  <si>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</si>
  <si>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</si>
  <si>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</si>
  <si>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</si>
  <si>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</si>
  <si>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</si>
  <si>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</si>
  <si>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</si>
  <si>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</si>
  <si>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</si>
  <si>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</si>
  <si>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</si>
  <si>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</si>
  <si>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</si>
  <si>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</si>
  <si>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</si>
  <si>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</si>
  <si>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</si>
  <si>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</si>
  <si>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</si>
  <si>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</si>
  <si>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</si>
  <si>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</si>
  <si>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</si>
  <si>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</si>
  <si>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</si>
  <si>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</si>
  <si>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</si>
  <si>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</si>
  <si>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</si>
  <si>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</si>
  <si>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</si>
  <si>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</si>
  <si>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</si>
  <si>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</si>
  <si>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</si>
  <si>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</si>
  <si>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</si>
  <si>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</si>
  <si>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</si>
  <si>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</si>
  <si>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</si>
  <si>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</si>
  <si>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</si>
  <si>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</si>
  <si>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</si>
  <si>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</si>
  <si>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</si>
  <si>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</si>
  <si>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</si>
  <si>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</si>
  <si>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</si>
  <si>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</si>
  <si>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</si>
  <si>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</si>
  <si>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</si>
  <si>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</si>
  <si>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</si>
  <si>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</si>
  <si>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</si>
  <si>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</si>
  <si>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</si>
  <si>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</si>
  <si>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</si>
  <si>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</si>
  <si>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</si>
  <si>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</si>
  <si>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</si>
  <si>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</si>
  <si>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</si>
  <si>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</si>
  <si>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</si>
  <si>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</si>
  <si>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</si>
  <si>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</si>
  <si>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</si>
  <si>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</si>
  <si>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</si>
  <si>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</si>
  <si>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</si>
  <si>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</si>
  <si>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</si>
  <si>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</si>
  <si>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</si>
  <si>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</si>
  <si>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</si>
  <si>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</si>
  <si>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</si>
  <si>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</si>
  <si>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</si>
  <si>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</si>
  <si>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</si>
  <si>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</si>
  <si>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</si>
  <si>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</si>
  <si>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</si>
  <si>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</si>
  <si>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</si>
  <si>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</si>
  <si>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</si>
  <si>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</si>
  <si>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</si>
  <si>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</si>
  <si>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</si>
  <si>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</si>
  <si>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</si>
  <si>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</si>
  <si>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</si>
  <si>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</si>
  <si>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</si>
  <si>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</si>
  <si>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</si>
  <si>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</si>
  <si>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</si>
  <si>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</si>
  <si>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</si>
  <si>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</si>
  <si>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</si>
  <si>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</si>
  <si>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</si>
  <si>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</si>
  <si>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</si>
  <si>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</si>
  <si>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</si>
  <si>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</si>
  <si>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</si>
  <si>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</si>
  <si>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</si>
  <si>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</si>
  <si>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</si>
  <si>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</si>
  <si>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</si>
  <si>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</si>
  <si>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</si>
  <si>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</si>
  <si>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</si>
  <si>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</si>
  <si>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</si>
  <si>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</si>
  <si>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</si>
  <si>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</si>
  <si>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</si>
  <si>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</si>
  <si>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</si>
  <si>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</si>
  <si>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</si>
  <si>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</si>
  <si>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</si>
  <si>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</si>
  <si>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</si>
  <si>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</si>
  <si>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</si>
  <si>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</si>
  <si>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</si>
  <si>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</si>
  <si>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</si>
  <si>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</si>
  <si>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</si>
  <si>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</si>
  <si>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</si>
  <si>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</si>
  <si>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</si>
  <si>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</si>
  <si>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</si>
  <si>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</si>
  <si>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</si>
  <si>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</si>
  <si>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</si>
  <si>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</si>
  <si>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</si>
  <si>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</si>
  <si>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</si>
  <si>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</si>
  <si>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</si>
  <si>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</si>
  <si>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</si>
  <si>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</si>
  <si>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</si>
  <si>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</si>
  <si>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</si>
  <si>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</si>
  <si>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</si>
  <si>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</si>
  <si>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</si>
  <si>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</si>
  <si>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</si>
  <si>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</si>
  <si>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</si>
  <si>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</si>
  <si>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</si>
  <si>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</si>
  <si>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</si>
  <si>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</si>
  <si>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</si>
  <si>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</si>
  <si>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</si>
  <si>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</si>
  <si>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</si>
  <si>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</si>
  <si>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</si>
  <si>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</si>
  <si>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</si>
  <si>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</si>
  <si>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</si>
  <si>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</si>
  <si>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</si>
  <si>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</si>
  <si>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</si>
  <si>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</si>
  <si>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</si>
  <si>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</si>
  <si>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</si>
  <si>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</si>
  <si>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</si>
  <si>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</si>
  <si>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</si>
  <si>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</si>
  <si>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</si>
  <si>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</si>
  <si>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</si>
  <si>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</si>
  <si>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</si>
  <si>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</si>
  <si>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</si>
  <si>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</si>
  <si>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</si>
  <si>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</si>
  <si>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</si>
  <si>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</si>
  <si>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</si>
  <si>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</si>
  <si>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</si>
  <si>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</si>
  <si>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</si>
  <si>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</si>
  <si>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</si>
  <si>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</si>
  <si>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</si>
  <si>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</si>
  <si>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</si>
  <si>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</si>
  <si>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</si>
  <si>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</si>
  <si>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</si>
  <si>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</si>
  <si>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</si>
  <si>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</si>
  <si>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</si>
  <si>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</si>
  <si>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</si>
  <si>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</si>
  <si>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</si>
  <si>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</si>
  <si>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</si>
  <si>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</si>
  <si>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</si>
  <si>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</si>
  <si>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</si>
  <si>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</si>
  <si>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</si>
  <si>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</si>
  <si>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</si>
  <si>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</si>
  <si>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</si>
  <si>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</si>
  <si>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</si>
  <si>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</si>
  <si>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</si>
  <si>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</si>
  <si>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</si>
  <si>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</si>
  <si>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</si>
  <si>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</si>
  <si>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</si>
  <si>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</si>
  <si>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</si>
  <si>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</si>
  <si>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</si>
  <si>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</si>
  <si>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</si>
  <si>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</si>
  <si>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</si>
  <si>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</si>
  <si>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</si>
  <si>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</si>
  <si>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</si>
  <si>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</si>
  <si>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</si>
  <si>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</si>
  <si>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</si>
  <si>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</si>
  <si>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</si>
  <si>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</si>
  <si>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</si>
  <si>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</si>
  <si>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</si>
  <si>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</si>
  <si>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</si>
  <si>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</si>
  <si>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</si>
  <si>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</si>
  <si>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</si>
  <si>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</si>
  <si>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</si>
  <si>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</si>
  <si>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</si>
  <si>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</si>
  <si>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</si>
  <si>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</si>
  <si>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</si>
  <si>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</si>
  <si>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</si>
  <si>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</si>
  <si>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</si>
  <si>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</si>
  <si>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</si>
  <si>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</si>
  <si>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</si>
  <si>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</si>
  <si>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</si>
  <si>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</si>
  <si>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</si>
  <si>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</si>
  <si>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</si>
  <si>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</si>
  <si>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</si>
  <si>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</si>
  <si>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</si>
  <si>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</si>
  <si>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</si>
  <si>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</si>
  <si>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</si>
  <si>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</si>
  <si>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</si>
  <si>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</si>
  <si>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</si>
  <si>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</si>
  <si>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</si>
  <si>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</si>
  <si>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</si>
  <si>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</si>
  <si>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</si>
  <si>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</si>
  <si>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</si>
  <si>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</si>
  <si>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</si>
  <si>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</si>
  <si>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</si>
  <si>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</si>
  <si>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</si>
  <si>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</si>
  <si>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</si>
  <si>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</si>
  <si>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</si>
  <si>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</si>
  <si>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</si>
  <si>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</si>
  <si>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</si>
  <si>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</si>
  <si>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</si>
  <si>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</si>
  <si>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</si>
  <si>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</si>
  <si>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</si>
  <si>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</si>
  <si>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</si>
  <si>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</si>
  <si>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</si>
  <si>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</si>
  <si>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</si>
  <si>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</si>
  <si>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</si>
  <si>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</si>
  <si>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</si>
  <si>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</si>
  <si>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</si>
  <si>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</si>
  <si>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</si>
  <si>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</si>
  <si>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</si>
  <si>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</si>
  <si>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</si>
  <si>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</si>
  <si>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</si>
  <si>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</si>
  <si>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</si>
  <si>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</si>
  <si>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</si>
  <si>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</si>
  <si>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</si>
  <si>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</si>
  <si>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</si>
  <si>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</si>
  <si>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</si>
  <si>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</si>
  <si>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</si>
  <si>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</si>
  <si>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</si>
  <si>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</si>
  <si>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</si>
  <si>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</si>
  <si>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</si>
  <si>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</si>
  <si>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</si>
  <si>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</si>
  <si>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</si>
  <si>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</si>
  <si>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</si>
  <si>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</si>
  <si>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</si>
  <si>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</si>
  <si>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</si>
  <si>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</si>
  <si>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</si>
  <si>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</si>
  <si>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</si>
  <si>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</si>
  <si>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</si>
  <si>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</si>
  <si>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</si>
  <si>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</si>
  <si>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</si>
  <si>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</si>
  <si>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</si>
  <si>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</si>
  <si>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</si>
  <si>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</si>
  <si>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</si>
  <si>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</si>
  <si>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</si>
  <si>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</si>
  <si>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</si>
  <si>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</si>
  <si>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</si>
  <si>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</si>
  <si>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</si>
  <si>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</si>
  <si>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</si>
  <si>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</si>
  <si>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</si>
  <si>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</si>
  <si>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</si>
  <si>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</si>
  <si>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</si>
  <si>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</si>
  <si>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</si>
  <si>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</si>
  <si>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</si>
  <si>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</si>
  <si>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</si>
  <si>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</si>
  <si>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</si>
  <si>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</si>
  <si>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</si>
  <si>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</si>
  <si>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</si>
  <si>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</si>
  <si>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</si>
  <si>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</si>
  <si>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</si>
  <si>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</si>
  <si>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</si>
  <si>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</si>
  <si>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</si>
  <si>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</si>
  <si>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</si>
  <si>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</si>
  <si>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</si>
  <si>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</si>
  <si>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</si>
  <si>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</si>
  <si>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</si>
  <si>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</si>
  <si>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</si>
  <si>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</si>
  <si>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</si>
  <si>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</si>
  <si>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</si>
  <si>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</si>
  <si>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</si>
  <si>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</si>
  <si>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</si>
  <si>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</si>
  <si>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</si>
  <si>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</si>
  <si>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</si>
  <si>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</si>
  <si>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</si>
  <si>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</si>
  <si>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</si>
  <si>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</si>
  <si>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</si>
  <si>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</si>
  <si>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</si>
  <si>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</si>
  <si>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</si>
  <si>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</si>
  <si>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</si>
  <si>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</si>
  <si>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</si>
  <si>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</si>
  <si>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</si>
  <si>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</si>
  <si>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</si>
  <si>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</si>
  <si>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</si>
  <si>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</si>
  <si>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</si>
  <si>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</si>
  <si>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</si>
  <si>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</si>
  <si>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</si>
  <si>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</si>
  <si>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</si>
  <si>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</si>
  <si>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</si>
  <si>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</si>
  <si>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</si>
  <si>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</si>
  <si>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</si>
  <si>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</si>
  <si>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</si>
  <si>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</si>
  <si>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</si>
  <si>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</si>
  <si>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</si>
  <si>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</si>
  <si>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</si>
  <si>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</si>
  <si>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</si>
  <si>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</si>
  <si>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</si>
  <si>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</si>
  <si>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</si>
  <si>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</si>
  <si>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</si>
  <si>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</si>
  <si>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</si>
  <si>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</si>
  <si>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</si>
  <si>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</si>
  <si>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</si>
  <si>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</si>
  <si>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</si>
  <si>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</si>
  <si>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</si>
  <si>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</si>
  <si>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</si>
  <si>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</si>
  <si>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</si>
  <si>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</si>
  <si>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</si>
  <si>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</si>
  <si>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</si>
  <si>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</si>
  <si>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</si>
  <si>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</si>
  <si>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</si>
  <si>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</si>
  <si>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</si>
  <si>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</si>
  <si>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</si>
  <si>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</si>
  <si>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</si>
  <si>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</si>
  <si>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</si>
  <si>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</si>
  <si>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</si>
  <si>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</si>
  <si>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</si>
  <si>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</si>
  <si>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</si>
  <si>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</si>
  <si>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</si>
  <si>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</si>
  <si>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</si>
  <si>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</si>
  <si>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</si>
  <si>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</si>
  <si>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</si>
  <si>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</si>
  <si>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</si>
  <si>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</si>
  <si>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</si>
  <si>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</si>
  <si>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</si>
  <si>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</si>
  <si>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</si>
  <si>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</si>
  <si>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</si>
  <si>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</si>
  <si>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</si>
  <si>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</si>
  <si>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</si>
  <si>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</si>
  <si>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</si>
  <si>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</si>
  <si>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</si>
  <si>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</si>
  <si>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</si>
  <si>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</si>
  <si>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</si>
  <si>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</si>
  <si>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</si>
  <si>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</si>
  <si>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</si>
  <si>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</si>
  <si>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</si>
  <si>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</si>
  <si>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</si>
  <si>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</si>
  <si>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</si>
  <si>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</si>
  <si>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</si>
  <si>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</si>
  <si>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</si>
  <si>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</si>
  <si>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</si>
  <si>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</si>
  <si>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</si>
  <si>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</si>
  <si>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</si>
  <si>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</si>
  <si>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</si>
  <si>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</si>
  <si>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</si>
  <si>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</si>
  <si>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</si>
  <si>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</si>
  <si>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</si>
  <si>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</si>
  <si>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</si>
  <si>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</si>
  <si>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</si>
  <si>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</si>
  <si>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</si>
  <si>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</si>
  <si>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</si>
  <si>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</si>
  <si>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</si>
  <si>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</si>
  <si>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</si>
  <si>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</si>
  <si>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</si>
  <si>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</si>
  <si>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</si>
  <si>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</si>
  <si>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</si>
  <si>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</si>
  <si>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</si>
  <si>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</si>
  <si>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</si>
  <si>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</si>
  <si>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</si>
  <si>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</si>
  <si>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</si>
  <si>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</si>
  <si>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</si>
  <si>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</si>
  <si>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</si>
  <si>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</si>
  <si>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</si>
  <si>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</si>
  <si>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</si>
  <si>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</si>
  <si>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</si>
  <si>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</si>
  <si>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</si>
  <si>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</si>
  <si>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</si>
  <si>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</si>
  <si>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</si>
  <si>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</si>
  <si>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</si>
  <si>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</si>
  <si>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</si>
  <si>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</si>
  <si>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</si>
  <si>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</si>
  <si>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</si>
  <si>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</si>
  <si>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</si>
  <si>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</si>
  <si>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</si>
  <si>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</si>
  <si>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</si>
  <si>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</si>
  <si>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</si>
  <si>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</si>
  <si>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</si>
  <si>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</si>
  <si>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</si>
  <si>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</si>
  <si>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</si>
  <si>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</si>
  <si>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</si>
  <si>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</si>
  <si>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</si>
  <si>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</si>
  <si>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</si>
  <si>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</si>
  <si>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</si>
  <si>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</si>
  <si>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</si>
  <si>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</si>
  <si>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</si>
  <si>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</si>
  <si>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</si>
  <si>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</si>
  <si>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</si>
  <si>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</si>
  <si>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</si>
  <si>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</si>
  <si>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</si>
  <si>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</si>
  <si>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</si>
  <si>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</si>
  <si>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</si>
  <si>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</si>
  <si>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</si>
  <si>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</si>
  <si>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</si>
  <si>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</si>
  <si>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</si>
  <si>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</si>
  <si>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</si>
  <si>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</si>
  <si>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</si>
  <si>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</si>
  <si>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</si>
  <si>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</si>
  <si>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</si>
  <si>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</si>
  <si>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</si>
  <si>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</si>
  <si>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</si>
  <si>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</si>
  <si>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</si>
  <si>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</si>
  <si>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</si>
  <si>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</si>
  <si>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</si>
  <si>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</si>
  <si>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</si>
  <si>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</si>
  <si>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</si>
  <si>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</si>
  <si>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</si>
  <si>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</si>
  <si>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</si>
  <si>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</si>
  <si>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</si>
  <si>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</si>
  <si>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</si>
  <si>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</si>
  <si>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</si>
  <si>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</si>
  <si>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</si>
  <si>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</si>
  <si>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</si>
  <si>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</si>
  <si>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</si>
  <si>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</si>
  <si>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</si>
  <si>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</si>
  <si>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</si>
  <si>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</si>
  <si>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</si>
  <si>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</si>
  <si>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</si>
  <si>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</si>
  <si>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</si>
  <si>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</si>
  <si>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</si>
  <si>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</si>
  <si>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</si>
  <si>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</si>
  <si>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</si>
  <si>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</si>
  <si>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</si>
  <si>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</si>
  <si>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</si>
  <si>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</si>
  <si>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</si>
  <si>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</si>
  <si>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</si>
  <si>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</si>
  <si>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</si>
  <si>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</si>
  <si>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</si>
  <si>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</si>
  <si>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</si>
  <si>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</si>
  <si>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</si>
  <si>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</si>
  <si>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</si>
  <si>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</si>
  <si>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</si>
  <si>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</si>
  <si>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</si>
  <si>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</si>
  <si>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</si>
  <si>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</si>
  <si>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</si>
  <si>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</si>
  <si>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</si>
  <si>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</si>
  <si>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</si>
  <si>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</si>
  <si>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</si>
  <si>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</si>
  <si>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</si>
  <si>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</si>
  <si>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</si>
  <si>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</si>
  <si>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</si>
  <si>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</si>
  <si>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</si>
  <si>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</si>
  <si>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</si>
  <si>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</si>
  <si>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</si>
  <si>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</si>
  <si>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</si>
  <si>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</si>
  <si>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</si>
  <si>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</si>
  <si>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</si>
  <si>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</si>
  <si>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</si>
  <si>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</si>
  <si>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</si>
  <si>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</si>
  <si>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</si>
  <si>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</si>
  <si>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</si>
  <si>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</si>
  <si>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</si>
  <si>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</si>
  <si>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</si>
  <si>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</si>
  <si>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</si>
  <si>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</si>
  <si>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</si>
  <si>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</si>
  <si>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</si>
  <si>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</si>
  <si>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</si>
  <si>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</si>
  <si>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</si>
  <si>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</si>
  <si>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</si>
  <si>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</si>
  <si>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</si>
  <si>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</si>
  <si>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</si>
  <si>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</si>
  <si>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</si>
  <si>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</si>
  <si>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</si>
  <si>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</si>
  <si>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</si>
  <si>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</si>
  <si>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</si>
  <si>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</si>
  <si>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</si>
  <si>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</si>
  <si>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</si>
  <si>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</si>
  <si>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</si>
  <si>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</si>
  <si>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</si>
  <si>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</si>
  <si>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</si>
  <si>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</si>
  <si>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</si>
  <si>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</si>
  <si>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</si>
  <si>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</si>
  <si>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</si>
  <si>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</si>
  <si>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</si>
  <si>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</si>
  <si>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</si>
  <si>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</si>
  <si>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</si>
  <si>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</si>
  <si>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</si>
  <si>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</si>
  <si>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</si>
  <si>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</si>
  <si>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</si>
  <si>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</si>
  <si>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</si>
  <si>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</si>
  <si>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</si>
  <si>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</si>
  <si>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</si>
  <si>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</si>
  <si>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</si>
  <si>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</si>
  <si>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</si>
  <si>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</si>
  <si>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</si>
  <si>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</si>
  <si>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</si>
  <si>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</si>
  <si>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</si>
  <si>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</si>
  <si>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</si>
  <si>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</si>
  <si>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</si>
  <si>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</si>
  <si>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</si>
  <si>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</si>
  <si>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</si>
  <si>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</si>
  <si>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</si>
  <si>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</si>
  <si>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</si>
  <si>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</si>
  <si>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</si>
  <si>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</si>
  <si>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</si>
  <si>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</si>
  <si>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</si>
  <si>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</si>
  <si>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</si>
  <si>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</si>
  <si>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</si>
  <si>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</si>
  <si>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</si>
  <si>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</si>
  <si>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</si>
  <si>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</si>
  <si>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</si>
  <si>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</si>
  <si>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</si>
  <si>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</si>
  <si>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</si>
  <si>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</si>
  <si>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</si>
  <si>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</si>
  <si>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</si>
  <si>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</si>
  <si>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</si>
  <si>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</si>
  <si>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</si>
  <si>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</si>
  <si>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</si>
  <si>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</si>
  <si>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</si>
  <si>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</si>
  <si>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</si>
  <si>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</si>
  <si>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</si>
  <si>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</si>
  <si>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</si>
  <si>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</si>
  <si>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</si>
  <si>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</si>
  <si>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</si>
  <si>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</si>
  <si>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</si>
  <si>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</si>
  <si>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</si>
  <si>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</si>
  <si>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</si>
  <si>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</si>
  <si>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</si>
  <si>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</si>
  <si>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</si>
  <si>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</si>
  <si>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</si>
  <si>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</si>
  <si>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</si>
  <si>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</si>
  <si>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</si>
  <si>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</si>
  <si>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</si>
  <si>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</si>
  <si>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</si>
  <si>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</si>
  <si>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</si>
  <si>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</si>
  <si>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</si>
  <si>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</si>
  <si>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</si>
  <si>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</si>
  <si>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</si>
  <si>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</si>
  <si>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</si>
  <si>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</si>
  <si>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</si>
  <si>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</si>
  <si>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</si>
  <si>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</si>
  <si>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</si>
  <si>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</si>
  <si>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</si>
  <si>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</si>
  <si>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</si>
  <si>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</si>
  <si>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</si>
  <si>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</si>
  <si>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</si>
  <si>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</si>
  <si>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</si>
  <si>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</si>
  <si>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</si>
  <si>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</si>
  <si>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</si>
  <si>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</si>
  <si>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</si>
  <si>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</si>
  <si>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</si>
  <si>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</si>
  <si>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</si>
  <si>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</si>
  <si>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</si>
  <si>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</si>
  <si>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</si>
  <si>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</si>
  <si>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</si>
  <si>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</si>
  <si>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</si>
  <si>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</si>
  <si>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</si>
  <si>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</si>
  <si>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</si>
  <si>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</si>
  <si>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</si>
  <si>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</si>
  <si>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</si>
  <si>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</si>
  <si>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</si>
  <si>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</si>
  <si>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</si>
  <si>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</si>
  <si>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</si>
  <si>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</si>
  <si>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</si>
  <si>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</si>
  <si>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</si>
  <si>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</si>
  <si>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</si>
  <si>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</si>
  <si>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</si>
  <si>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</si>
  <si>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</si>
  <si>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</si>
  <si>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</si>
  <si>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</si>
  <si>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</si>
  <si>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</si>
  <si>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</si>
  <si>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</si>
  <si>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</si>
  <si>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</si>
  <si>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</si>
  <si>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</si>
  <si>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</si>
  <si>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</si>
  <si>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</si>
  <si>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</si>
  <si>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</si>
  <si>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</si>
  <si>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</si>
  <si>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</si>
  <si>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</si>
  <si>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</si>
  <si>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</si>
  <si>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</si>
  <si>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</si>
  <si>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</si>
  <si>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</si>
  <si>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</si>
  <si>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</si>
  <si>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</si>
  <si>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</si>
  <si>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</si>
  <si>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</si>
  <si>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</si>
  <si>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</si>
  <si>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</si>
  <si>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</si>
  <si>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</si>
  <si>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</si>
  <si>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</si>
  <si>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</si>
  <si>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</si>
  <si>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</si>
  <si>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</si>
  <si>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</si>
  <si>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盛天</t>
    <phoneticPr fontId="7" type="noConversion"/>
  </si>
  <si>
    <r>
      <rPr>
        <sz val="10"/>
        <color indexed="8"/>
        <rFont val="宋体"/>
        <family val="3"/>
        <charset val="134"/>
      </rPr>
      <t>房地证津字第</t>
    </r>
    <r>
      <rPr>
        <sz val="10"/>
        <color indexed="8"/>
        <rFont val="Arial"/>
        <family val="2"/>
      </rPr>
      <t>122021032171</t>
    </r>
    <r>
      <rPr>
        <sz val="10"/>
        <color indexed="8"/>
        <rFont val="宋体"/>
        <family val="3"/>
        <charset val="134"/>
      </rPr>
      <t>号</t>
    </r>
    <r>
      <rPr>
        <sz val="10"/>
        <color indexed="8"/>
        <rFont val="Arial"/>
        <family val="2"/>
      </rPr>
      <t xml:space="preserve"> </t>
    </r>
    <phoneticPr fontId="7" type="noConversion"/>
  </si>
  <si>
    <t>商业</t>
  </si>
  <si>
    <t>比较法-商业</t>
  </si>
  <si>
    <t>收益年期(n)</t>
  </si>
  <si>
    <t>仅计算典型户型</t>
  </si>
  <si>
    <t>华北城</t>
    <phoneticPr fontId="25" type="noConversion"/>
  </si>
  <si>
    <t>华北城</t>
    <phoneticPr fontId="25" type="noConversion"/>
  </si>
  <si>
    <t>武清区华北城c3一109</t>
    <phoneticPr fontId="4" type="noConversion"/>
  </si>
  <si>
    <t>商业</t>
    <phoneticPr fontId="25" type="noConversion"/>
  </si>
  <si>
    <t>20-30（含）</t>
  </si>
  <si>
    <t>七通</t>
  </si>
  <si>
    <t>多面临街</t>
    <phoneticPr fontId="25" type="noConversion"/>
  </si>
  <si>
    <t>双面临街</t>
    <phoneticPr fontId="25" type="noConversion"/>
  </si>
  <si>
    <t>单面临街</t>
  </si>
  <si>
    <t>单面临街</t>
    <phoneticPr fontId="25" type="noConversion"/>
  </si>
  <si>
    <t>不临街</t>
    <phoneticPr fontId="25" type="noConversion"/>
  </si>
  <si>
    <t>大</t>
  </si>
  <si>
    <t>较大</t>
  </si>
  <si>
    <t>较小</t>
  </si>
  <si>
    <t>小</t>
  </si>
  <si>
    <t>1层</t>
  </si>
  <si>
    <t>2层</t>
  </si>
  <si>
    <t>3层</t>
  </si>
  <si>
    <t>1-2层</t>
  </si>
  <si>
    <r>
      <t>1-3</t>
    </r>
    <r>
      <rPr>
        <sz val="11"/>
        <color indexed="8"/>
        <rFont val="宋体"/>
        <family val="3"/>
        <charset val="134"/>
      </rPr>
      <t>层</t>
    </r>
    <phoneticPr fontId="25" type="noConversion"/>
  </si>
  <si>
    <t>购物中心</t>
    <phoneticPr fontId="146" type="noConversion"/>
  </si>
  <si>
    <t>商业街</t>
  </si>
  <si>
    <t>住宅配套商业</t>
    <phoneticPr fontId="146" type="noConversion"/>
  </si>
  <si>
    <t>钢结构</t>
  </si>
  <si>
    <t>砖混</t>
  </si>
  <si>
    <t>精装修</t>
  </si>
  <si>
    <t>普通装修</t>
  </si>
  <si>
    <t>简装</t>
  </si>
  <si>
    <t>毛坯</t>
  </si>
  <si>
    <t>六通</t>
  </si>
  <si>
    <t>五通</t>
  </si>
  <si>
    <t>四通</t>
  </si>
  <si>
    <t>三通</t>
  </si>
  <si>
    <t>可餐饮</t>
  </si>
  <si>
    <t>不可餐饮</t>
  </si>
  <si>
    <t>超高层高</t>
  </si>
  <si>
    <t>标准层高</t>
  </si>
  <si>
    <t>适宜</t>
  </si>
  <si>
    <t>较适宜</t>
  </si>
  <si>
    <t>较不适宜</t>
  </si>
  <si>
    <t>一般</t>
    <phoneticPr fontId="25" type="noConversion"/>
  </si>
  <si>
    <t>精装修</t>
    <phoneticPr fontId="25" type="noConversion"/>
  </si>
  <si>
    <t>不适宜</t>
    <phoneticPr fontId="25" type="noConversion"/>
  </si>
  <si>
    <t>1-3层</t>
  </si>
  <si>
    <r>
      <t>1-3</t>
    </r>
    <r>
      <rPr>
        <sz val="10"/>
        <color indexed="8"/>
        <rFont val="宋体"/>
        <family val="3"/>
        <charset val="134"/>
      </rPr>
      <t>层</t>
    </r>
    <phoneticPr fontId="20" type="noConversion"/>
  </si>
  <si>
    <t>按租金收入计税</t>
  </si>
  <si>
    <t>武清华北城商铺E1-2</t>
    <phoneticPr fontId="7" type="noConversion"/>
  </si>
  <si>
    <t>估价对象1（结果表）</t>
  </si>
  <si>
    <t>企业</t>
  </si>
  <si>
    <t>武清</t>
  </si>
  <si>
    <t>武清</t>
    <phoneticPr fontId="4" type="noConversion"/>
  </si>
  <si>
    <t>好</t>
    <phoneticPr fontId="25"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</si>
</sst>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58" fontId="42" fillId="10" borderId="4" xfId="0" applyNumberFormat="1" applyFont="1" applyFill="1" applyBorder="1" applyAlignment="1" applyProtection="1">
      <alignment horizontal="center" vertical="center" wrapText="1"/>
      <protection locked="0"/>
    </xf>
    <xf numFmtId="0" fontId="135" fillId="0" borderId="7" xfId="0" applyFont="1" applyBorder="1" applyAlignment="1" applyProtection="1">
      <alignment horizontal="righ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657225</xdr:colOff>
      <xdr:row>0</xdr:row>
      <xdr:rowOff>0</xdr:rowOff>
    </xdr:from>
    <xdr:to>
      <xdr:col>25</xdr:col>
      <xdr:colOff>284683</xdr:colOff>
      <xdr:row>26</xdr:row>
      <xdr:rowOff>28015</xdr:rowOff>
    </xdr:to>
    <xdr:pic>
      <xdr:nvPicPr>
        <xdr:cNvPr id="5" name="图片 4"/>
        <xdr:cNvPicPr>
          <a:picLocks noChangeAspect="1"/>
        </xdr:cNvPicPr>
      </xdr:nvPicPr>
      <xdr:blipFill>
        <a:blip xmlns:r="http://schemas.openxmlformats.org/officeDocument/2006/relationships" r:embed="rId1" cstate="print"/>
        <a:stretch>
          <a:fillRect/>
        </a:stretch>
      </xdr:blipFill>
      <xdr:spPr>
        <a:xfrm>
          <a:off x="8886825" y="0"/>
          <a:ext cx="8542858" cy="4485715"/>
        </a:xfrm>
        <a:prstGeom prst="rect">
          <a:avLst/>
        </a:prstGeom>
      </xdr:spPr>
    </xdr:pic>
    <xdr:clientData/>
  </xdr:twoCellAnchor>
  <xdr:twoCellAnchor editAs="oneCell">
    <xdr:from>
      <xdr:col>0</xdr:col>
      <xdr:colOff>0</xdr:colOff>
      <xdr:row>0</xdr:row>
      <xdr:rowOff>0</xdr:rowOff>
    </xdr:from>
    <xdr:to>
      <xdr:col>14</xdr:col>
      <xdr:colOff>684515</xdr:colOff>
      <xdr:row>24</xdr:row>
      <xdr:rowOff>104248</xdr:rowOff>
    </xdr:to>
    <xdr:pic>
      <xdr:nvPicPr>
        <xdr:cNvPr id="8" name="图片 7"/>
        <xdr:cNvPicPr>
          <a:picLocks noChangeAspect="1"/>
        </xdr:cNvPicPr>
      </xdr:nvPicPr>
      <xdr:blipFill>
        <a:blip xmlns:r="http://schemas.openxmlformats.org/officeDocument/2006/relationships" r:embed="rId2" cstate="print"/>
        <a:stretch>
          <a:fillRect/>
        </a:stretch>
      </xdr:blipFill>
      <xdr:spPr>
        <a:xfrm>
          <a:off x="0" y="0"/>
          <a:ext cx="10285715" cy="4219048"/>
        </a:xfrm>
        <a:prstGeom prst="rect">
          <a:avLst/>
        </a:prstGeom>
      </xdr:spPr>
    </xdr:pic>
    <xdr:clientData/>
  </xdr:twoCellAnchor>
  <xdr:twoCellAnchor editAs="oneCell">
    <xdr:from>
      <xdr:col>0</xdr:col>
      <xdr:colOff>0</xdr:colOff>
      <xdr:row>28</xdr:row>
      <xdr:rowOff>0</xdr:rowOff>
    </xdr:from>
    <xdr:to>
      <xdr:col>16</xdr:col>
      <xdr:colOff>351010</xdr:colOff>
      <xdr:row>56</xdr:row>
      <xdr:rowOff>37496</xdr:rowOff>
    </xdr:to>
    <xdr:pic>
      <xdr:nvPicPr>
        <xdr:cNvPr id="9" name="图片 8"/>
        <xdr:cNvPicPr>
          <a:picLocks noChangeAspect="1"/>
        </xdr:cNvPicPr>
      </xdr:nvPicPr>
      <xdr:blipFill>
        <a:blip xmlns:r="http://schemas.openxmlformats.org/officeDocument/2006/relationships" r:embed="rId3" cstate="print"/>
        <a:stretch>
          <a:fillRect/>
        </a:stretch>
      </xdr:blipFill>
      <xdr:spPr>
        <a:xfrm>
          <a:off x="0" y="4800600"/>
          <a:ext cx="11323810" cy="48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276266</xdr:colOff>
      <xdr:row>21</xdr:row>
      <xdr:rowOff>123825</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7134266" cy="3724275"/>
        </a:xfrm>
        <a:prstGeom prst="rect">
          <a:avLst/>
        </a:prstGeom>
      </xdr:spPr>
    </xdr:pic>
    <xdr:clientData/>
  </xdr:twoCellAnchor>
  <xdr:twoCellAnchor editAs="oneCell">
    <xdr:from>
      <xdr:col>11</xdr:col>
      <xdr:colOff>0</xdr:colOff>
      <xdr:row>0</xdr:row>
      <xdr:rowOff>0</xdr:rowOff>
    </xdr:from>
    <xdr:to>
      <xdr:col>24</xdr:col>
      <xdr:colOff>46505</xdr:colOff>
      <xdr:row>27</xdr:row>
      <xdr:rowOff>113707</xdr:rowOff>
    </xdr:to>
    <xdr:pic>
      <xdr:nvPicPr>
        <xdr:cNvPr id="3" name="图片 2"/>
        <xdr:cNvPicPr>
          <a:picLocks noChangeAspect="1"/>
        </xdr:cNvPicPr>
      </xdr:nvPicPr>
      <xdr:blipFill>
        <a:blip xmlns:r="http://schemas.openxmlformats.org/officeDocument/2006/relationships" r:embed="rId2" cstate="print"/>
        <a:stretch>
          <a:fillRect/>
        </a:stretch>
      </xdr:blipFill>
      <xdr:spPr>
        <a:xfrm>
          <a:off x="7543800" y="0"/>
          <a:ext cx="8961905" cy="4742857"/>
        </a:xfrm>
        <a:prstGeom prst="rect">
          <a:avLst/>
        </a:prstGeom>
      </xdr:spPr>
    </xdr:pic>
    <xdr:clientData/>
  </xdr:twoCellAnchor>
  <xdr:twoCellAnchor editAs="oneCell">
    <xdr:from>
      <xdr:col>0</xdr:col>
      <xdr:colOff>0</xdr:colOff>
      <xdr:row>23</xdr:row>
      <xdr:rowOff>0</xdr:rowOff>
    </xdr:from>
    <xdr:to>
      <xdr:col>12</xdr:col>
      <xdr:colOff>513258</xdr:colOff>
      <xdr:row>49</xdr:row>
      <xdr:rowOff>8967</xdr:rowOff>
    </xdr:to>
    <xdr:pic>
      <xdr:nvPicPr>
        <xdr:cNvPr id="4" name="图片 3"/>
        <xdr:cNvPicPr>
          <a:picLocks noChangeAspect="1"/>
        </xdr:cNvPicPr>
      </xdr:nvPicPr>
      <xdr:blipFill>
        <a:blip xmlns:r="http://schemas.openxmlformats.org/officeDocument/2006/relationships" r:embed="rId3" cstate="print"/>
        <a:stretch>
          <a:fillRect/>
        </a:stretch>
      </xdr:blipFill>
      <xdr:spPr>
        <a:xfrm>
          <a:off x="0" y="3943350"/>
          <a:ext cx="8742858" cy="4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北京市房地产抵押价值预评估</v>
      </c>
    </row>
    <row r="3" spans="1:2" s="1698" customFormat="1">
      <c r="A3" s="1699" t="s">
        <v>1109</v>
      </c>
      <c r="B3" s="1684">
        <f>'预评函-封皮'!B12</f>
        <v>0</v>
      </c>
    </row>
    <row r="4" spans="1:2" s="1698" customFormat="1">
      <c r="A4" s="1699" t="s">
        <v>1110</v>
      </c>
      <c r="B4" s="1684" t="str">
        <f ca="1">'预评函-封皮'!B18</f>
        <v>欧红伟（注册号:1120000080）、崔锴（注册号:1120100036)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估价对象为北京市房地产，为盛天所有。根据《不动产权证书》[]，估价对象建筑面积为450.38平方米，（分摊）出让国有建设用地使用权面积为481.4平方米。估价对象用途为。</v>
      </c>
    </row>
    <row r="8" spans="1:2">
      <c r="A8" s="1699" t="s">
        <v>1114</v>
      </c>
      <c r="B8" s="1686" t="str">
        <f>'预评函-1'!A8</f>
        <v>为估价委托人在向中国农业银行股份有限公司北京顺义支行办理贷款手续过程中，确定房地产抵押贷款额度提供参考依据而评估房地产抵押价值。</v>
      </c>
    </row>
    <row r="9" spans="1:2">
      <c r="A9" s="1699" t="s">
        <v>1115</v>
      </c>
      <c r="B9" s="1686" t="str">
        <f>'预评函-1'!A10</f>
        <v>2018年6月4日（评估专业人员实地查勘之日）</v>
      </c>
    </row>
    <row r="10" spans="1:2">
      <c r="A10" s="1699" t="s">
        <v>1116</v>
      </c>
      <c r="B10" s="1686" t="str">
        <f>'预评函-1'!A13</f>
        <v>本次估价的“房地产价值”是指在正常市场情况下，在价值时点2018年6月4日，估价对象规划用途为，假定未设立法定优先受偿款下的房地产市场价值。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本次评估采用的主估价方法为基准地价系数修正法和基准地价系数修正法。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450.38</v>
      </c>
    </row>
    <row r="19" spans="1:2">
      <c r="A19" s="1699" t="s">
        <v>1125</v>
      </c>
      <c r="B19" s="1686">
        <f>'预评函-2（1）'!D7</f>
        <v>0</v>
      </c>
    </row>
    <row r="20" spans="1:2">
      <c r="A20" s="1699" t="s">
        <v>1163</v>
      </c>
      <c r="B20" s="1686" t="str">
        <f>'预评函-2（1）'!C7</f>
        <v>总价（元）</v>
      </c>
    </row>
    <row r="21" spans="1:2">
      <c r="A21" s="1699" t="s">
        <v>1126</v>
      </c>
      <c r="B21" s="1686">
        <f>'预评函-2（1）'!D9</f>
        <v>0</v>
      </c>
    </row>
    <row r="22" spans="1:2">
      <c r="A22" s="1699" t="s">
        <v>1127</v>
      </c>
      <c r="B22" s="1686" t="str">
        <f>'预评函-2（1）'!D8</f>
        <v>零元整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'预评函-2（1）'!D15</f>
        <v>0</v>
      </c>
    </row>
    <row r="30" spans="1:2">
      <c r="A30" s="1699" t="s">
        <v>1133</v>
      </c>
      <c r="B30" s="1686" t="str">
        <f>'预评函-2（1）'!D16</f>
        <v>零元整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'预评函-2（1）'!D23</f>
        <v>——</v>
      </c>
    </row>
    <row r="35" spans="1:2">
      <c r="A35" s="1699" t="s">
        <v>1138</v>
      </c>
      <c r="B35" s="1686" t="e">
        <f>'预评函-2（1）'!D22</f>
        <v>#VALUE!</v>
      </c>
    </row>
    <row r="36" spans="1:2">
      <c r="A36" s="1699" t="s">
        <v>1139</v>
      </c>
      <c r="B36" s="1686">
        <f>'预评函-2（2）'!C4</f>
        <v>481.4</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根据估价对象《不动产权证书》原件、，截至价值时点，估价对象抵押权未见登记。</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欧红伟</v>
      </c>
    </row>
    <row r="53" spans="1:2">
      <c r="A53" s="1699" t="s">
        <v>1155</v>
      </c>
      <c r="B53" s="1686">
        <f ca="1">'预评函-3'!B4</f>
        <v>1120000080</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'预评函-2（1）'!D38</f>
        <v>0</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6" zoomScaleNormal="100" zoomScaleSheetLayoutView="110" workbookViewId="0">
      <selection activeCell="C11" sqref="C11:D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北京市房地产抵押价值预评估</v>
      </c>
      <c r="C1" s="1061"/>
      <c r="D1" s="1993"/>
      <c r="E1" s="1061"/>
      <c r="F1" s="1994" t="s">
        <v>1544</v>
      </c>
      <c r="G1" s="1679"/>
      <c r="I1" s="1018" t="str">
        <f>IF(B6="北京市","北京市",C6)&amp;IF(E12="房屋所有权证",B28,E28)&amp;"房地产"</f>
        <v>北京市房地产</v>
      </c>
    </row>
    <row r="2" spans="1:10" ht="13.5" thickTop="1">
      <c r="A2" s="1995" t="s">
        <v>1545</v>
      </c>
      <c r="B2" s="1086">
        <v>43255</v>
      </c>
      <c r="C2" s="1996" t="s">
        <v>1546</v>
      </c>
      <c r="D2" s="1086">
        <f>B2</f>
        <v>43255</v>
      </c>
      <c r="E2" s="1062"/>
      <c r="F2" s="1062"/>
      <c r="G2" s="1680"/>
      <c r="H2" s="1018"/>
    </row>
    <row r="3" spans="1:10" ht="13.5" thickBot="1">
      <c r="A3" s="1997" t="s">
        <v>1547</v>
      </c>
      <c r="B3" s="1998" t="s">
        <v>2811</v>
      </c>
      <c r="C3" s="1063">
        <f ca="1">SUMIF(注册房地产估价师,B3,估价师及机构信息!B3:B24)</f>
        <v>1120000080</v>
      </c>
      <c r="D3" s="1998" t="s">
        <v>2812</v>
      </c>
      <c r="E3" s="1064">
        <f ca="1">SUMIF(注册房地产估价师,D3,估价师及机构信息!B3:B24)</f>
        <v>1120100036</v>
      </c>
      <c r="F3" s="1065"/>
      <c r="G3" s="1681"/>
      <c r="H3" s="1018"/>
    </row>
    <row r="4" spans="1:10" ht="13.5" customHeight="1" thickTop="1">
      <c r="A4" s="1999" t="s">
        <v>1548</v>
      </c>
      <c r="B4" s="2000"/>
      <c r="C4" s="2001" t="s">
        <v>1549</v>
      </c>
      <c r="D4" s="2002" t="s">
        <v>2814</v>
      </c>
      <c r="E4" s="1062"/>
      <c r="F4" s="1062"/>
      <c r="G4" s="1680"/>
    </row>
    <row r="5" spans="1:10" ht="36">
      <c r="A5" s="2003" t="s">
        <v>1550</v>
      </c>
      <c r="B5" s="2732" t="s">
        <v>2815</v>
      </c>
      <c r="C5" s="2005" t="s">
        <v>1551</v>
      </c>
      <c r="D5" s="2006" t="s">
        <v>2813</v>
      </c>
      <c r="E5" s="2007" t="s">
        <v>1552</v>
      </c>
      <c r="F5" s="2008" t="s">
        <v>2813</v>
      </c>
      <c r="G5" s="2009"/>
      <c r="I5" s="1018" t="str">
        <f>IF(C16="否","截至估价时点，估价对象抵押权未见登记。","截至价值时点，估价对象已设定抵押。")</f>
        <v>截至估价时点，估价对象抵押权未见登记。</v>
      </c>
    </row>
    <row r="6" spans="1:10">
      <c r="A6" s="2010" t="s">
        <v>1553</v>
      </c>
      <c r="B6" s="2011" t="s">
        <v>2816</v>
      </c>
      <c r="C6" s="2012"/>
      <c r="D6" s="2013" t="s">
        <v>1554</v>
      </c>
      <c r="E6" s="1020"/>
      <c r="F6" s="1019"/>
      <c r="G6" s="1072"/>
      <c r="I6" s="1068" t="str">
        <f>IF(COUNTIF(B5,"*上海银行*"),"上海银行","")</f>
        <v/>
      </c>
    </row>
    <row r="7" spans="1:10" ht="13.5" thickBot="1">
      <c r="A7" s="1997" t="s">
        <v>1555</v>
      </c>
      <c r="B7" s="2014" t="s">
        <v>2885</v>
      </c>
      <c r="C7" s="2015" t="str">
        <f>IF(B7="自然人","姓名","名称")</f>
        <v>名称</v>
      </c>
      <c r="D7" s="2733" t="s">
        <v>2831</v>
      </c>
      <c r="E7" s="1066"/>
      <c r="F7" s="1065"/>
      <c r="G7" s="1681"/>
    </row>
    <row r="8" spans="1:10" ht="26.25" customHeight="1" thickTop="1">
      <c r="A8" s="2806" t="s">
        <v>1556</v>
      </c>
      <c r="B8" s="2016" t="s">
        <v>1557</v>
      </c>
      <c r="C8" s="2818" t="s">
        <v>2883</v>
      </c>
      <c r="D8" s="2819"/>
      <c r="E8" s="2017" t="s">
        <v>1558</v>
      </c>
      <c r="F8" s="2018" t="s">
        <v>1559</v>
      </c>
      <c r="G8" s="690">
        <f>C6</f>
        <v>0</v>
      </c>
    </row>
    <row r="9" spans="1:10" ht="25.5">
      <c r="A9" s="2806"/>
      <c r="B9" s="344" t="s">
        <v>1560</v>
      </c>
      <c r="C9" s="2004"/>
      <c r="D9" s="2019" t="s">
        <v>2817</v>
      </c>
      <c r="E9" s="1008" t="s">
        <v>1561</v>
      </c>
      <c r="F9" s="994"/>
      <c r="G9" s="1010"/>
    </row>
    <row r="10" spans="1:10" ht="13.5" thickBot="1">
      <c r="A10" s="2806"/>
      <c r="B10" s="344" t="s">
        <v>1562</v>
      </c>
      <c r="C10" s="2820"/>
      <c r="D10" s="2821"/>
      <c r="E10" s="2020" t="s">
        <v>1563</v>
      </c>
      <c r="F10" s="1011"/>
      <c r="G10" s="1012"/>
    </row>
    <row r="11" spans="1:10" ht="13.5" thickBot="1">
      <c r="A11" s="2806"/>
      <c r="B11" s="2021" t="s">
        <v>1564</v>
      </c>
      <c r="C11" s="2822"/>
      <c r="D11" s="2823"/>
      <c r="E11" s="1020"/>
      <c r="F11" s="1019"/>
      <c r="G11" s="1072"/>
    </row>
    <row r="12" spans="1:10" ht="24.75" thickBot="1">
      <c r="A12" s="2809" t="s">
        <v>1565</v>
      </c>
      <c r="B12" s="2022" t="s">
        <v>1566</v>
      </c>
      <c r="C12" s="1014">
        <v>450.38</v>
      </c>
      <c r="D12" s="2022" t="s">
        <v>1567</v>
      </c>
      <c r="E12" s="2023" t="s">
        <v>1568</v>
      </c>
      <c r="F12" s="2024" t="s">
        <v>1569</v>
      </c>
      <c r="G12" s="1072"/>
    </row>
    <row r="13" spans="1:10" ht="21" customHeight="1" thickBot="1">
      <c r="A13" s="2810"/>
      <c r="B13" s="2025" t="s">
        <v>1570</v>
      </c>
      <c r="C13" s="1015">
        <v>481.4</v>
      </c>
      <c r="D13" s="2025" t="s">
        <v>1571</v>
      </c>
      <c r="E13" s="2026" t="s">
        <v>1568</v>
      </c>
      <c r="F13" s="1019"/>
      <c r="G13" s="1072"/>
      <c r="I13" s="2796" t="s">
        <v>1572</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1573</v>
      </c>
      <c r="C14" s="2030"/>
      <c r="D14" s="1019"/>
      <c r="E14" s="1019"/>
      <c r="F14" s="1019"/>
      <c r="G14" s="1072"/>
      <c r="I14" s="279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7"/>
      <c r="D15" s="1065"/>
      <c r="E15" s="1065"/>
      <c r="F15" s="1065"/>
      <c r="G15" s="1681"/>
      <c r="I15" s="279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3" t="s">
        <v>1576</v>
      </c>
      <c r="C16" s="2034" t="s">
        <v>2819</v>
      </c>
      <c r="D16" s="2035" t="s">
        <v>1577</v>
      </c>
      <c r="E16" s="2036"/>
      <c r="F16" s="2037" t="str">
        <f>IF(AND(C16="是",E16="否"),"是否提供他项权证或相关说明","")</f>
        <v/>
      </c>
      <c r="G16" s="2036"/>
      <c r="I16" s="1069"/>
      <c r="J16" s="1018"/>
    </row>
    <row r="17" spans="1:15" ht="13.5" customHeight="1">
      <c r="A17" s="2038" t="s">
        <v>1578</v>
      </c>
      <c r="B17" s="2824" t="s">
        <v>1579</v>
      </c>
      <c r="C17" s="2825"/>
      <c r="D17" s="2826" t="s">
        <v>1580</v>
      </c>
      <c r="E17" s="2827"/>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6"/>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t="s">
        <v>2820</v>
      </c>
      <c r="C26" s="993"/>
      <c r="D26" s="1013"/>
      <c r="E26" s="1087"/>
      <c r="F26" s="993"/>
      <c r="G26" s="1682"/>
      <c r="L26" s="1080"/>
      <c r="M26" s="1080"/>
      <c r="O26" s="1081"/>
    </row>
    <row r="27" spans="1:15" ht="24.75">
      <c r="A27" s="1005" t="s">
        <v>1596</v>
      </c>
      <c r="B27" s="1002" t="s">
        <v>2832</v>
      </c>
      <c r="C27" s="2812" t="s">
        <v>1596</v>
      </c>
      <c r="D27" s="2813"/>
      <c r="E27" s="1002"/>
      <c r="F27" s="1009" t="s">
        <v>1596</v>
      </c>
      <c r="G27" s="1002"/>
      <c r="I27" s="1069"/>
      <c r="K27" s="1069"/>
    </row>
    <row r="28" spans="1:15" ht="25.5">
      <c r="A28" s="1006" t="s">
        <v>1597</v>
      </c>
      <c r="B28" s="977" t="str">
        <f>C8</f>
        <v>武清华北城商铺E1-2</v>
      </c>
      <c r="C28" s="2814" t="s">
        <v>1598</v>
      </c>
      <c r="D28" s="2815"/>
      <c r="E28" s="977"/>
      <c r="F28" s="1891" t="s">
        <v>1598</v>
      </c>
      <c r="G28" s="977"/>
      <c r="I28" s="1069"/>
      <c r="K28" s="1069"/>
    </row>
    <row r="29" spans="1:15">
      <c r="A29" s="1006" t="s">
        <v>1599</v>
      </c>
      <c r="B29" s="977"/>
      <c r="C29" s="2814" t="s">
        <v>1599</v>
      </c>
      <c r="D29" s="2815"/>
      <c r="E29" s="977"/>
      <c r="F29" s="1891" t="s">
        <v>1600</v>
      </c>
      <c r="G29" s="977"/>
      <c r="I29" s="1069"/>
      <c r="K29" s="1069"/>
    </row>
    <row r="30" spans="1:15">
      <c r="A30" s="1006" t="s">
        <v>1601</v>
      </c>
      <c r="B30" s="977"/>
      <c r="C30" s="2803" t="s">
        <v>1602</v>
      </c>
      <c r="D30" s="2064"/>
      <c r="E30" s="1021" t="str">
        <f>E31&amp;" "&amp;E32&amp;" "&amp;E33&amp;" "&amp;E34</f>
        <v xml:space="preserve">   </v>
      </c>
      <c r="F30" s="1891" t="s">
        <v>1603</v>
      </c>
      <c r="G30" s="977"/>
    </row>
    <row r="31" spans="1:15">
      <c r="A31" s="1006" t="s">
        <v>1604</v>
      </c>
      <c r="B31" s="977"/>
      <c r="C31" s="2804"/>
      <c r="D31" s="1890" t="s">
        <v>1605</v>
      </c>
      <c r="E31" s="977"/>
      <c r="F31" s="1891" t="s">
        <v>1606</v>
      </c>
      <c r="G31" s="977"/>
    </row>
    <row r="32" spans="1:15" ht="24.75" thickBot="1">
      <c r="A32" s="1007" t="s">
        <v>1607</v>
      </c>
      <c r="B32" s="1003"/>
      <c r="C32" s="2804"/>
      <c r="D32" s="1890" t="s">
        <v>1608</v>
      </c>
      <c r="E32" s="977"/>
      <c r="F32" s="1891" t="s">
        <v>1609</v>
      </c>
      <c r="G32" s="977"/>
    </row>
    <row r="33" spans="1:7">
      <c r="A33" s="1005" t="s">
        <v>1610</v>
      </c>
      <c r="B33" s="1002"/>
      <c r="C33" s="2804"/>
      <c r="D33" s="1890" t="s">
        <v>1611</v>
      </c>
      <c r="E33" s="977"/>
      <c r="F33" s="1891" t="s">
        <v>1612</v>
      </c>
      <c r="G33" s="977"/>
    </row>
    <row r="34" spans="1:7" ht="13.5" thickBot="1">
      <c r="A34" s="1006" t="s">
        <v>1613</v>
      </c>
      <c r="B34" s="977"/>
      <c r="C34" s="2805"/>
      <c r="D34" s="1890" t="s">
        <v>1614</v>
      </c>
      <c r="E34" s="977"/>
      <c r="F34" s="1892" t="s">
        <v>1615</v>
      </c>
      <c r="G34" s="1004"/>
    </row>
    <row r="35" spans="1:7">
      <c r="A35" s="1006" t="s">
        <v>1566</v>
      </c>
      <c r="B35" s="977">
        <f>C12</f>
        <v>450.38</v>
      </c>
      <c r="C35" s="2814" t="s">
        <v>1616</v>
      </c>
      <c r="D35" s="2815"/>
      <c r="E35" s="977"/>
      <c r="F35" s="1017" t="s">
        <v>1617</v>
      </c>
      <c r="G35" s="1002"/>
    </row>
    <row r="36" spans="1:7" ht="13.5" thickBot="1">
      <c r="A36" s="1006" t="s">
        <v>1618</v>
      </c>
      <c r="B36" s="977"/>
      <c r="C36" s="2816" t="s">
        <v>1619</v>
      </c>
      <c r="D36" s="2817"/>
      <c r="E36" s="1003"/>
      <c r="F36" s="1888" t="s">
        <v>1620</v>
      </c>
      <c r="G36" s="977"/>
    </row>
    <row r="37" spans="1:7" ht="13.5" thickBot="1">
      <c r="A37" s="1006" t="s">
        <v>1621</v>
      </c>
      <c r="B37" s="977"/>
      <c r="C37" s="2801" t="s">
        <v>1622</v>
      </c>
      <c r="D37" s="2065" t="s">
        <v>1606</v>
      </c>
      <c r="E37" s="1002"/>
      <c r="F37" s="1892" t="s">
        <v>1623</v>
      </c>
      <c r="G37" s="1003"/>
    </row>
    <row r="38" spans="1:7">
      <c r="A38" s="1006" t="s">
        <v>1624</v>
      </c>
      <c r="B38" s="977"/>
      <c r="C38" s="2807"/>
      <c r="D38" s="1890" t="s">
        <v>1613</v>
      </c>
      <c r="E38" s="977"/>
      <c r="F38" s="1009" t="s">
        <v>1625</v>
      </c>
      <c r="G38" s="1002"/>
    </row>
    <row r="39" spans="1:7">
      <c r="A39" s="1006" t="s">
        <v>1626</v>
      </c>
      <c r="B39" s="977"/>
      <c r="C39" s="2807" t="s">
        <v>1627</v>
      </c>
      <c r="D39" s="1890" t="s">
        <v>1566</v>
      </c>
      <c r="E39" s="977"/>
      <c r="F39" s="1891" t="s">
        <v>1628</v>
      </c>
      <c r="G39" s="977"/>
    </row>
    <row r="40" spans="1:7" ht="24.75" customHeight="1" thickBot="1">
      <c r="A40" s="1007" t="s">
        <v>1629</v>
      </c>
      <c r="B40" s="1003"/>
      <c r="C40" s="2808"/>
      <c r="D40" s="1893" t="s">
        <v>1570</v>
      </c>
      <c r="E40" s="1003"/>
      <c r="F40" s="1892" t="s">
        <v>1630</v>
      </c>
      <c r="G40" s="1003"/>
    </row>
    <row r="41" spans="1:7">
      <c r="A41" s="1008" t="s">
        <v>1631</v>
      </c>
      <c r="B41" s="1058"/>
      <c r="C41" s="2797" t="s">
        <v>1631</v>
      </c>
      <c r="D41" s="2798"/>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799" t="s">
        <v>1634</v>
      </c>
      <c r="D48" s="2800"/>
      <c r="E48" s="1053"/>
      <c r="F48" s="1892" t="s">
        <v>1635</v>
      </c>
      <c r="G48" s="1003"/>
    </row>
    <row r="49" spans="1:15">
      <c r="A49" s="1006" t="s">
        <v>1636</v>
      </c>
      <c r="B49" s="1052"/>
      <c r="C49" s="2801" t="s">
        <v>1637</v>
      </c>
      <c r="D49" s="2802"/>
      <c r="E49" s="1054"/>
      <c r="F49" s="1082"/>
      <c r="G49" s="1083"/>
    </row>
    <row r="50" spans="1:15" ht="13.5" thickBot="1">
      <c r="A50" s="1006" t="s">
        <v>1638</v>
      </c>
      <c r="B50" s="1052"/>
      <c r="C50" s="2808" t="s">
        <v>1639</v>
      </c>
      <c r="D50" s="2811"/>
      <c r="E50" s="1003"/>
      <c r="F50" s="1019"/>
      <c r="G50" s="1072"/>
    </row>
    <row r="51" spans="1:15">
      <c r="A51" s="1006" t="s">
        <v>1617</v>
      </c>
      <c r="B51" s="977"/>
      <c r="C51" s="1019"/>
      <c r="D51" s="1019"/>
      <c r="E51" s="1019"/>
      <c r="F51" s="1019"/>
      <c r="G51" s="1072"/>
    </row>
    <row r="52" spans="1:15" ht="24.75" thickBot="1">
      <c r="A52" s="1007" t="s">
        <v>1640</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5"/>
      <c r="C1" s="1235"/>
      <c r="D1" s="1850"/>
      <c r="E1" s="1850"/>
      <c r="AE1" s="1235"/>
      <c r="AF1" s="1235"/>
      <c r="AG1" s="1235"/>
      <c r="AH1" s="1235"/>
      <c r="AI1" s="1235"/>
      <c r="AJ1" s="1235"/>
      <c r="AK1" s="1235"/>
      <c r="AL1" s="1235"/>
      <c r="AM1" s="1235"/>
      <c r="AN1" s="1235"/>
      <c r="AO1" s="1235"/>
    </row>
    <row r="2" spans="1:41" s="2074" customFormat="1" ht="15.75" thickBot="1">
      <c r="A2" s="2071" t="s">
        <v>1642</v>
      </c>
      <c r="B2" s="1207">
        <f>项目基本情况!D2</f>
        <v>43255</v>
      </c>
      <c r="C2" s="1852"/>
      <c r="D2" s="2830"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2821</v>
      </c>
      <c r="C3" s="1852"/>
      <c r="D3" s="2831"/>
      <c r="E3" s="1186" t="s">
        <v>2818</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1645</v>
      </c>
      <c r="B4" s="2075" t="s">
        <v>2822</v>
      </c>
      <c r="C4" s="1852"/>
      <c r="D4" s="2831"/>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1646</v>
      </c>
      <c r="B5" s="1316">
        <f>项目基本情况!C12</f>
        <v>450.38</v>
      </c>
      <c r="C5" s="1852"/>
      <c r="D5" s="2077" t="s">
        <v>1647</v>
      </c>
      <c r="E5" s="393">
        <f>B5</f>
        <v>450.38</v>
      </c>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1648</v>
      </c>
      <c r="B6" s="1317">
        <f>项目基本情况!C13</f>
        <v>481.4</v>
      </c>
      <c r="C6" s="1852"/>
      <c r="D6" s="2077" t="s">
        <v>1649</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1650</v>
      </c>
      <c r="B10" s="2082" t="s">
        <v>2833</v>
      </c>
      <c r="C10" s="1852"/>
      <c r="D10" s="2071" t="s">
        <v>1651</v>
      </c>
      <c r="E10" s="2083" t="s">
        <v>1652</v>
      </c>
      <c r="F10" s="1143" t="s">
        <v>1653</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1654</v>
      </c>
      <c r="B11" s="988">
        <v>40</v>
      </c>
      <c r="C11" s="1852"/>
      <c r="D11" s="2085" t="s">
        <v>1655</v>
      </c>
      <c r="E11" s="34">
        <v>80</v>
      </c>
      <c r="F11" s="1851" t="s">
        <v>1656</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1657</v>
      </c>
      <c r="B12" s="2089">
        <v>54141</v>
      </c>
      <c r="C12" s="1852"/>
      <c r="D12" s="2090" t="s">
        <v>1658</v>
      </c>
      <c r="E12" s="37">
        <v>120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1659</v>
      </c>
      <c r="B13" s="989">
        <f>IF(B12="",B11-(YEAR($B$2)-B26+B23),ROUNDDOWN(MIN((B12-$B$2)/365,B11),2))</f>
        <v>29.82</v>
      </c>
      <c r="C13" s="2092"/>
      <c r="D13" s="2093" t="s">
        <v>1660</v>
      </c>
      <c r="E13" s="39">
        <f>ROUND(E12*B5/10000,0)</f>
        <v>5</v>
      </c>
      <c r="F13" s="1846" t="s">
        <v>1661</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1662</v>
      </c>
      <c r="B14" s="990">
        <f>IF(ISERROR(ROUND(POWER(1+B15,B11-B13)*(POWER(1+B15,B13)-1)/(POWER(1+B15,B11)-1),3)),0,ROUND(POWER(1+B15,B11-B13)*(POWER(1+B15,B13)-1)/(POWER(1+B15,B11)-1),3))</f>
        <v>0.89300000000000002</v>
      </c>
      <c r="C14" s="1852"/>
      <c r="D14" s="2094" t="s">
        <v>1663</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5" thickBot="1">
      <c r="A15" s="2088" t="s">
        <v>1664</v>
      </c>
      <c r="B15" s="995">
        <v>0.05</v>
      </c>
      <c r="C15" s="1852"/>
      <c r="D15" s="2090" t="s">
        <v>1665</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1666</v>
      </c>
      <c r="B16" s="995">
        <v>5.5E-2</v>
      </c>
      <c r="C16" s="1852"/>
      <c r="D16" s="2095" t="s">
        <v>1667</v>
      </c>
      <c r="E16" s="709">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1668</v>
      </c>
      <c r="B17" s="995">
        <v>8.5000000000000006E-2</v>
      </c>
      <c r="C17" s="1852"/>
      <c r="D17" s="2081" t="s">
        <v>1669</v>
      </c>
      <c r="E17" s="984">
        <v>3500</v>
      </c>
      <c r="F17" s="1235"/>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5">
        <f>ROUND(B5*E17*IF(B25=0,1,E20),0)</f>
        <v>1576330</v>
      </c>
      <c r="F18" s="1318">
        <f>ROUND(E5*E17*IF(B25=0,1,E20),0)</f>
        <v>1576330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1670</v>
      </c>
      <c r="B19" s="1852"/>
      <c r="C19" s="1852"/>
      <c r="D19" s="2097" t="str">
        <f>IF(B25=0,"——","续建建安")</f>
        <v>——</v>
      </c>
      <c r="E19" s="985" t="str">
        <f>IF(B25=0,"——",ROUND(B5*E17*(1-E20),0))</f>
        <v>——</v>
      </c>
      <c r="F19" s="1318"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1671</v>
      </c>
      <c r="B20" s="31">
        <v>0</v>
      </c>
      <c r="C20" s="1852"/>
      <c r="D20" s="2099" t="str">
        <f>IF(B25=0,"成新率","工程进度")</f>
        <v>成新率</v>
      </c>
      <c r="E20" s="986">
        <f>ROUND(1-(2018-B26)/60,2)</f>
        <v>0.87</v>
      </c>
      <c r="F20" s="1235"/>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1672</v>
      </c>
      <c r="B21" s="32">
        <v>1</v>
      </c>
      <c r="C21" s="1852"/>
      <c r="D21" s="2090" t="s">
        <v>1673</v>
      </c>
      <c r="E21" s="710">
        <v>0.03</v>
      </c>
      <c r="F21" s="1849" t="s">
        <v>1674</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1675</v>
      </c>
      <c r="B22" s="1451">
        <v>1</v>
      </c>
      <c r="C22" s="1852"/>
      <c r="D22" s="2090" t="s">
        <v>1676</v>
      </c>
      <c r="E22" s="40">
        <v>0</v>
      </c>
      <c r="F22" s="1849" t="s">
        <v>1677</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1678</v>
      </c>
      <c r="B23" s="33">
        <f>B20+B21</f>
        <v>1</v>
      </c>
      <c r="C23" s="1852"/>
      <c r="D23" s="2090" t="s">
        <v>1679</v>
      </c>
      <c r="E23" s="37">
        <v>200</v>
      </c>
      <c r="F23" s="1849" t="s">
        <v>1680</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1681</v>
      </c>
      <c r="B24" s="1739">
        <f>B20+B22</f>
        <v>1</v>
      </c>
      <c r="C24" s="1852"/>
      <c r="D24" s="2095" t="s">
        <v>1682</v>
      </c>
      <c r="E24" s="1815">
        <v>1.4999999999999999E-2</v>
      </c>
      <c r="F24" s="1849" t="s">
        <v>1683</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1684</v>
      </c>
      <c r="B25" s="1450">
        <f>B21-B22</f>
        <v>0</v>
      </c>
      <c r="C25" s="1235"/>
      <c r="D25" s="2085" t="s">
        <v>1685</v>
      </c>
      <c r="E25" s="710">
        <v>0.01</v>
      </c>
      <c r="F25" s="1849" t="s">
        <v>1686</v>
      </c>
      <c r="I25" s="1850"/>
      <c r="AE25" s="1235"/>
      <c r="AF25" s="1235"/>
      <c r="AG25" s="1235"/>
      <c r="AH25" s="1235"/>
      <c r="AI25" s="1235"/>
      <c r="AJ25" s="1235"/>
      <c r="AK25" s="1235"/>
      <c r="AL25" s="1235"/>
      <c r="AM25" s="1235"/>
      <c r="AN25" s="1235"/>
      <c r="AO25" s="1235"/>
    </row>
    <row r="26" spans="1:41" ht="15.75" thickBot="1">
      <c r="A26" s="2104" t="s">
        <v>1687</v>
      </c>
      <c r="B26" s="1092">
        <v>2010</v>
      </c>
      <c r="C26" s="1852"/>
      <c r="D26" s="2090" t="s">
        <v>1688</v>
      </c>
      <c r="E26" s="40">
        <v>0.01</v>
      </c>
      <c r="F26" s="1849" t="s">
        <v>1686</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1689</v>
      </c>
      <c r="E27" s="352">
        <f ca="1">存贷款利率!G1</f>
        <v>4.3499999999999997E-2</v>
      </c>
      <c r="F27" s="1849" t="s">
        <v>1690</v>
      </c>
      <c r="G27" s="2073"/>
      <c r="H27" s="2073"/>
      <c r="K27" s="1852"/>
      <c r="N27" s="1852"/>
      <c r="AE27" s="1235"/>
      <c r="AF27" s="1235"/>
      <c r="AG27" s="1235"/>
      <c r="AH27" s="1235"/>
      <c r="AI27" s="1235"/>
      <c r="AJ27" s="1235"/>
      <c r="AK27" s="1235"/>
      <c r="AL27" s="1235"/>
      <c r="AM27" s="1235"/>
      <c r="AN27" s="1235"/>
      <c r="AO27" s="1235"/>
    </row>
    <row r="28" spans="1:41" ht="15" thickBot="1">
      <c r="A28" s="2105" t="s">
        <v>1691</v>
      </c>
      <c r="B28" s="2106" t="s">
        <v>2823</v>
      </c>
      <c r="C28" s="1235"/>
      <c r="D28" s="2107" t="s">
        <v>1692</v>
      </c>
      <c r="E28" s="995">
        <v>0.1</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市场租金</v>
      </c>
      <c r="B29" s="29">
        <v>1.1000000000000001</v>
      </c>
      <c r="C29" s="1235"/>
      <c r="D29" s="2094" t="s">
        <v>1693</v>
      </c>
      <c r="E29" s="987">
        <f>E30+E31</f>
        <v>5.5500000000000008E-2</v>
      </c>
      <c r="F29" s="1846"/>
      <c r="G29" s="2073"/>
      <c r="H29" s="2073"/>
      <c r="K29" s="1852"/>
      <c r="N29" s="1852"/>
      <c r="AE29" s="1235"/>
      <c r="AF29" s="1235"/>
      <c r="AG29" s="1235"/>
      <c r="AH29" s="1235"/>
      <c r="AI29" s="1235"/>
      <c r="AJ29" s="1235"/>
      <c r="AK29" s="1235"/>
      <c r="AL29" s="1235"/>
      <c r="AM29" s="1235"/>
      <c r="AN29" s="1235"/>
      <c r="AO29" s="1235"/>
    </row>
    <row r="30" spans="1:41" ht="14.25">
      <c r="A30" s="2088" t="s">
        <v>1694</v>
      </c>
      <c r="B30" s="1416">
        <f ca="1">存贷款利率!I1</f>
        <v>1.4999999999999999E-2</v>
      </c>
      <c r="C30" s="1235"/>
      <c r="D30" s="2108" t="s">
        <v>1695</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1696</v>
      </c>
      <c r="B31" s="30">
        <v>0.03</v>
      </c>
      <c r="C31" s="1235"/>
      <c r="D31" s="2108" t="s">
        <v>1697</v>
      </c>
      <c r="E31" s="42">
        <f>E30*(E32+E33+E34)+E35</f>
        <v>5.5000000000000014E-3</v>
      </c>
      <c r="F31" s="1846"/>
      <c r="G31" s="2073"/>
      <c r="H31" s="2073"/>
      <c r="K31" s="1852"/>
      <c r="N31" s="1852"/>
      <c r="AE31" s="1235"/>
      <c r="AF31" s="1235"/>
      <c r="AG31" s="1235"/>
      <c r="AH31" s="1235"/>
      <c r="AI31" s="1235"/>
      <c r="AJ31" s="1235"/>
      <c r="AK31" s="1235"/>
      <c r="AL31" s="1235"/>
      <c r="AM31" s="1235"/>
      <c r="AN31" s="1235"/>
      <c r="AO31" s="1235"/>
    </row>
    <row r="32" spans="1:41" ht="14.25">
      <c r="A32" s="2088" t="s">
        <v>1698</v>
      </c>
      <c r="B32" s="30">
        <v>0.1</v>
      </c>
      <c r="C32" s="1235"/>
      <c r="D32" s="2109" t="s">
        <v>1699</v>
      </c>
      <c r="E32" s="43">
        <v>0.05</v>
      </c>
      <c r="F32" s="1844" t="s">
        <v>1700</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1701</v>
      </c>
      <c r="B33" s="1377">
        <f>收益法!J54</f>
        <v>29.82</v>
      </c>
      <c r="C33" s="1235"/>
      <c r="D33" s="2109" t="s">
        <v>1702</v>
      </c>
      <c r="E33" s="41">
        <v>0.03</v>
      </c>
      <c r="F33" s="1843" t="s">
        <v>1703</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v>
      </c>
      <c r="B34" s="996"/>
      <c r="C34" s="1235"/>
      <c r="D34" s="2109" t="s">
        <v>1704</v>
      </c>
      <c r="E34" s="41">
        <v>0.02</v>
      </c>
      <c r="F34" s="1843" t="s">
        <v>1705</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1706</v>
      </c>
      <c r="B35" s="992"/>
      <c r="C35" s="1235"/>
      <c r="D35" s="2113" t="s">
        <v>1707</v>
      </c>
      <c r="E35" s="44">
        <v>5.0000000000000001E-4</v>
      </c>
      <c r="F35" s="1851" t="s">
        <v>1708</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v>
      </c>
      <c r="B36" s="997"/>
      <c r="C36" s="1235"/>
      <c r="D36" s="2115" t="s">
        <v>1709</v>
      </c>
      <c r="E36" s="45">
        <v>0.03</v>
      </c>
      <c r="F36" s="1847" t="s">
        <v>1710</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v>
      </c>
      <c r="B37" s="30"/>
      <c r="C37" s="1235"/>
      <c r="D37" s="2095" t="s">
        <v>1711</v>
      </c>
      <c r="E37" s="41">
        <v>5.0000000000000001E-4</v>
      </c>
      <c r="F37" s="1847" t="s">
        <v>1712</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v>
      </c>
      <c r="B38" s="30"/>
      <c r="C38" s="1235"/>
      <c r="D38" s="2116" t="s">
        <v>1713</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v>
      </c>
      <c r="B39" s="30"/>
      <c r="C39" s="1235"/>
      <c r="D39" s="2093" t="s">
        <v>1714</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v>
      </c>
      <c r="B40" s="1191" t="str">
        <f>IF(B28="租赁期内按合同租金",B33-B34,"——")</f>
        <v>——</v>
      </c>
      <c r="C40" s="1235"/>
      <c r="D40" s="2116" t="s">
        <v>1715</v>
      </c>
      <c r="E40" s="48">
        <f>SUMIF(D42:D51,E41,E42:E51)</f>
        <v>1.5</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1716</v>
      </c>
      <c r="B41" s="998"/>
      <c r="C41" s="1235"/>
      <c r="D41" s="2090" t="s">
        <v>1717</v>
      </c>
      <c r="E41" s="2118" t="s">
        <v>2886</v>
      </c>
      <c r="F41" s="1845" t="s">
        <v>1718</v>
      </c>
      <c r="G41" s="2119" t="s">
        <v>1719</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1720</v>
      </c>
      <c r="B42" s="991">
        <v>365</v>
      </c>
      <c r="C42" s="1235"/>
      <c r="D42" s="2745" t="s">
        <v>2887</v>
      </c>
      <c r="E42" s="29">
        <v>1.5</v>
      </c>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1721</v>
      </c>
      <c r="B43" s="29"/>
      <c r="C43" s="1235"/>
      <c r="D43" s="2120"/>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1722</v>
      </c>
      <c r="B44" s="999">
        <v>1.4999999999999999E-2</v>
      </c>
      <c r="C44" s="1235" t="s">
        <v>969</v>
      </c>
      <c r="D44" s="2120"/>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1723</v>
      </c>
      <c r="B45" s="1000">
        <v>1.5E-3</v>
      </c>
      <c r="C45" s="1235" t="s">
        <v>970</v>
      </c>
      <c r="D45" s="2120"/>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1724</v>
      </c>
      <c r="B46" s="1001">
        <v>0.01</v>
      </c>
      <c r="C46" s="1235" t="s">
        <v>971</v>
      </c>
      <c r="D46" s="2120"/>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t="s">
        <v>1725</v>
      </c>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32" t="s">
        <v>1726</v>
      </c>
      <c r="B1" s="2833"/>
      <c r="C1" s="2833"/>
      <c r="D1" s="2833"/>
      <c r="E1" s="2833"/>
      <c r="F1" s="2833"/>
      <c r="G1" s="283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1727</v>
      </c>
      <c r="D2" s="2135"/>
      <c r="E2" s="2136"/>
      <c r="F2" s="2137"/>
      <c r="G2" s="2134" t="s">
        <v>1728</v>
      </c>
      <c r="H2" s="2138"/>
      <c r="I2" s="2138"/>
      <c r="J2" s="2138"/>
      <c r="K2" s="2138"/>
      <c r="L2" s="2138"/>
      <c r="M2" s="2138"/>
      <c r="N2" s="2138"/>
      <c r="O2" s="2138"/>
      <c r="P2" s="2138"/>
      <c r="Q2" s="2138"/>
      <c r="R2" s="2138"/>
    </row>
    <row r="3" spans="1:29" ht="54">
      <c r="A3" s="395" t="s">
        <v>1729</v>
      </c>
      <c r="B3" s="2140" t="s">
        <v>1730</v>
      </c>
      <c r="C3" s="2141" t="s">
        <v>1731</v>
      </c>
      <c r="D3" s="2142"/>
      <c r="E3" s="411" t="s">
        <v>1729</v>
      </c>
      <c r="F3" s="2143" t="s">
        <v>1732</v>
      </c>
      <c r="G3" s="2144" t="s">
        <v>1733</v>
      </c>
      <c r="H3" s="2138"/>
      <c r="I3" s="2138"/>
      <c r="J3" s="2138"/>
      <c r="K3" s="2138"/>
      <c r="L3" s="2138"/>
      <c r="M3" s="2138"/>
      <c r="N3" s="2138"/>
      <c r="O3" s="2138"/>
      <c r="P3" s="2138"/>
      <c r="Q3" s="2138"/>
      <c r="R3" s="2138"/>
    </row>
    <row r="4" spans="1:29" ht="41.25">
      <c r="A4" s="411"/>
      <c r="B4" s="1884" t="s">
        <v>1734</v>
      </c>
      <c r="C4" s="2145" t="s">
        <v>1735</v>
      </c>
      <c r="D4" s="2142"/>
      <c r="E4" s="2146"/>
      <c r="F4" s="2147" t="s">
        <v>1736</v>
      </c>
      <c r="G4" s="2148" t="s">
        <v>1737</v>
      </c>
      <c r="H4" s="2138"/>
      <c r="I4" s="2138"/>
      <c r="J4" s="2138"/>
      <c r="K4" s="2138"/>
      <c r="L4" s="2138"/>
      <c r="M4" s="2138"/>
      <c r="N4" s="2138"/>
      <c r="O4" s="2138"/>
      <c r="P4" s="2138"/>
      <c r="Q4" s="2138"/>
      <c r="R4" s="2138"/>
    </row>
    <row r="5" spans="1:29" ht="41.25">
      <c r="A5" s="411"/>
      <c r="B5" s="1884" t="s">
        <v>1738</v>
      </c>
      <c r="C5" s="2145" t="s">
        <v>1739</v>
      </c>
      <c r="D5" s="2142"/>
      <c r="E5" s="2146"/>
      <c r="F5" s="1884" t="s">
        <v>1740</v>
      </c>
      <c r="G5" s="2148" t="s">
        <v>1741</v>
      </c>
      <c r="H5" s="2138"/>
      <c r="I5" s="2138"/>
      <c r="J5" s="2138"/>
      <c r="K5" s="2138"/>
      <c r="L5" s="2138"/>
      <c r="M5" s="2138"/>
      <c r="N5" s="2138"/>
      <c r="O5" s="2138"/>
      <c r="P5" s="2138"/>
      <c r="Q5" s="2138"/>
      <c r="R5" s="2138"/>
    </row>
    <row r="6" spans="1:29" ht="54">
      <c r="A6" s="411"/>
      <c r="B6" s="1884" t="s">
        <v>1742</v>
      </c>
      <c r="C6" s="2148" t="s">
        <v>1737</v>
      </c>
      <c r="D6" s="2142"/>
      <c r="E6" s="2146"/>
      <c r="F6" s="1884" t="s">
        <v>1743</v>
      </c>
      <c r="G6" s="2148" t="s">
        <v>1744</v>
      </c>
      <c r="H6" s="2138"/>
      <c r="I6" s="2138"/>
      <c r="J6" s="2138"/>
      <c r="K6" s="2138"/>
      <c r="L6" s="2138"/>
      <c r="M6" s="2138"/>
      <c r="N6" s="2138"/>
      <c r="O6" s="2138"/>
      <c r="P6" s="2138"/>
      <c r="Q6" s="2138"/>
      <c r="R6" s="2138"/>
    </row>
    <row r="7" spans="1:29" ht="41.25" thickBot="1">
      <c r="A7" s="411"/>
      <c r="B7" s="1884" t="s">
        <v>1740</v>
      </c>
      <c r="C7" s="2148" t="s">
        <v>1741</v>
      </c>
      <c r="D7" s="2149"/>
      <c r="E7" s="2150"/>
      <c r="F7" s="2151" t="s">
        <v>1745</v>
      </c>
      <c r="G7" s="2152" t="s">
        <v>1746</v>
      </c>
      <c r="H7" s="2138"/>
      <c r="I7" s="2138"/>
      <c r="J7" s="2138"/>
      <c r="K7" s="2138"/>
      <c r="L7" s="2138"/>
      <c r="M7" s="2138"/>
      <c r="N7" s="2138"/>
      <c r="O7" s="2138"/>
      <c r="P7" s="2138"/>
      <c r="Q7" s="2138"/>
      <c r="R7" s="2138"/>
    </row>
    <row r="8" spans="1:29" ht="27">
      <c r="A8" s="411"/>
      <c r="B8" s="1884" t="s">
        <v>1743</v>
      </c>
      <c r="C8" s="2148" t="s">
        <v>1744</v>
      </c>
      <c r="D8" s="2149"/>
      <c r="E8" s="2149"/>
      <c r="F8" s="1244"/>
      <c r="G8" s="1244"/>
      <c r="H8" s="2138"/>
      <c r="I8" s="2138"/>
      <c r="J8" s="2138"/>
      <c r="K8" s="2138"/>
      <c r="L8" s="2138"/>
      <c r="M8" s="2138"/>
      <c r="N8" s="2138"/>
      <c r="O8" s="2138"/>
      <c r="P8" s="2138"/>
      <c r="Q8" s="2138"/>
      <c r="R8" s="2138"/>
    </row>
    <row r="9" spans="1:29" ht="27">
      <c r="A9" s="411"/>
      <c r="B9" s="1884" t="s">
        <v>1747</v>
      </c>
      <c r="C9" s="2145" t="s">
        <v>1748</v>
      </c>
      <c r="D9" s="2142"/>
      <c r="E9" s="2149"/>
      <c r="F9" s="1244"/>
      <c r="G9" s="1244"/>
      <c r="H9" s="2138"/>
      <c r="I9" s="2138"/>
      <c r="J9" s="2138"/>
      <c r="K9" s="2138"/>
      <c r="L9" s="2138"/>
      <c r="M9" s="2138"/>
      <c r="N9" s="2138"/>
      <c r="O9" s="2138"/>
      <c r="P9" s="2138"/>
      <c r="Q9" s="2138"/>
      <c r="R9" s="2138"/>
    </row>
    <row r="10" spans="1:29" s="35" customFormat="1" ht="15.75" thickBot="1">
      <c r="A10" s="2153"/>
      <c r="B10" s="2154" t="s">
        <v>1749</v>
      </c>
      <c r="C10" s="2155"/>
      <c r="D10" s="2142"/>
      <c r="E10" s="2142"/>
      <c r="F10" s="1244"/>
      <c r="G10" s="1244"/>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4"/>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4"/>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1750</v>
      </c>
      <c r="B13" s="2160"/>
      <c r="C13" s="2160"/>
      <c r="D13" s="2135"/>
      <c r="E13" s="2160"/>
      <c r="F13" s="2160"/>
      <c r="G13" s="2160"/>
    </row>
    <row r="14" spans="1:29" ht="15.75" thickBot="1">
      <c r="A14" s="2170"/>
      <c r="B14" s="2171"/>
      <c r="C14" s="2172" t="s">
        <v>1751</v>
      </c>
      <c r="D14" s="2142"/>
      <c r="E14" s="2173"/>
      <c r="F14" s="2173"/>
      <c r="G14" s="2134" t="s">
        <v>1752</v>
      </c>
    </row>
    <row r="15" spans="1:29" ht="57">
      <c r="A15" s="25" t="s">
        <v>1753</v>
      </c>
      <c r="B15" s="2174" t="s">
        <v>1730</v>
      </c>
      <c r="C15" s="2175" t="str">
        <f>C3</f>
        <v>估价对象周边居住用地比例、居住小区规模和社区发展完善程度，综合评价居住社区成熟度一般</v>
      </c>
      <c r="D15" s="2142"/>
      <c r="E15" s="2176" t="s">
        <v>1754</v>
      </c>
      <c r="F15" s="2174" t="s">
        <v>1755</v>
      </c>
      <c r="G15" s="51" t="str">
        <f>G3</f>
        <v>估价对象位于XX开发区，园区建设成熟度XX，产业集聚程度XX</v>
      </c>
    </row>
    <row r="16" spans="1:29" ht="42.75">
      <c r="A16" s="629"/>
      <c r="B16" s="1490" t="s">
        <v>1734</v>
      </c>
      <c r="C16" s="2177" t="str">
        <f>C4</f>
        <v>估价对象位于XX商圈，周边商业氛围成熟，人流量大，商业繁华度好</v>
      </c>
      <c r="D16" s="2142"/>
      <c r="E16" s="2178"/>
      <c r="F16" s="2179" t="s">
        <v>1736</v>
      </c>
      <c r="G16" s="52" t="str">
        <f>G4</f>
        <v>估价对象周边道路状况、公共交通通达情况、停车便捷程度，综合评价交通便捷度较好</v>
      </c>
    </row>
    <row r="17" spans="1:18" ht="42.75">
      <c r="A17" s="629"/>
      <c r="B17" s="1490" t="s">
        <v>1738</v>
      </c>
      <c r="C17" s="2177" t="str">
        <f>C5</f>
        <v>估价对象位于XX商圈，周边办公楼项目较多，入驻率高，办公集聚程度较好</v>
      </c>
      <c r="D17" s="2149"/>
      <c r="E17" s="2178"/>
      <c r="F17" s="2179" t="s">
        <v>1756</v>
      </c>
      <c r="G17" s="2180"/>
    </row>
    <row r="18" spans="1:18" ht="57">
      <c r="A18" s="629"/>
      <c r="B18" s="2179" t="s">
        <v>1742</v>
      </c>
      <c r="C18" s="52" t="str">
        <f>C6</f>
        <v>估价对象周边道路状况、公共交通通达情况、停车便捷程度，综合评价交通便捷度较好</v>
      </c>
      <c r="D18" s="2149"/>
      <c r="E18" s="2178"/>
      <c r="F18" s="2179" t="s">
        <v>1745</v>
      </c>
      <c r="G18" s="52" t="str">
        <f>G7</f>
        <v>该园区内是否有污染型企业，绿化情况，卫生条件，整体环境状况判断</v>
      </c>
    </row>
    <row r="19" spans="1:18" ht="28.5">
      <c r="A19" s="629"/>
      <c r="B19" s="2179" t="s">
        <v>1757</v>
      </c>
      <c r="C19" s="2180"/>
      <c r="D19" s="2142"/>
      <c r="E19" s="2178"/>
      <c r="F19" s="1884" t="s">
        <v>1740</v>
      </c>
      <c r="G19" s="52" t="str">
        <f>G5</f>
        <v>估价对象所在区域公共配套设施齐备情况</v>
      </c>
    </row>
    <row r="20" spans="1:18" ht="28.5">
      <c r="A20" s="629"/>
      <c r="B20" s="2179" t="s">
        <v>1758</v>
      </c>
      <c r="C20" s="2177" t="str">
        <f>C9</f>
        <v>区域自然环境：；人文环境；综合评价环境状况一般</v>
      </c>
      <c r="D20" s="2149"/>
      <c r="E20" s="2178"/>
      <c r="F20" s="1884" t="s">
        <v>1759</v>
      </c>
      <c r="G20" s="52" t="str">
        <f>G6</f>
        <v>估价对象所在区域基础设施水平</v>
      </c>
    </row>
    <row r="21" spans="1:18" ht="28.5">
      <c r="A21" s="629"/>
      <c r="B21" s="1884" t="s">
        <v>1740</v>
      </c>
      <c r="C21" s="52" t="str">
        <f>C7</f>
        <v>估价对象所在区域公共配套设施齐备情况</v>
      </c>
      <c r="D21" s="2142"/>
      <c r="E21" s="2178"/>
      <c r="F21" s="2179" t="s">
        <v>1760</v>
      </c>
      <c r="G21" s="2181"/>
    </row>
    <row r="22" spans="1:18" ht="28.5">
      <c r="A22" s="629"/>
      <c r="B22" s="1884" t="s">
        <v>1743</v>
      </c>
      <c r="C22" s="52" t="str">
        <f>C8</f>
        <v>估价对象所在区域基础设施水平</v>
      </c>
      <c r="D22" s="2142"/>
      <c r="E22" s="2178"/>
      <c r="F22" s="2179" t="s">
        <v>1749</v>
      </c>
      <c r="G22" s="2182"/>
    </row>
    <row r="23" spans="1:18" s="2138" customFormat="1" ht="15.75" thickBot="1">
      <c r="A23" s="629"/>
      <c r="B23" s="2179" t="s">
        <v>1760</v>
      </c>
      <c r="C23" s="2181"/>
      <c r="D23" s="2167"/>
      <c r="E23" s="2183"/>
      <c r="F23" s="2184" t="s">
        <v>1761</v>
      </c>
      <c r="G23" s="2185"/>
      <c r="H23" s="2167"/>
      <c r="I23" s="2168"/>
      <c r="J23" s="2167"/>
      <c r="K23" s="2167"/>
      <c r="L23" s="2168"/>
      <c r="M23" s="2167"/>
      <c r="N23" s="2167"/>
      <c r="O23" s="2168"/>
      <c r="P23" s="2167"/>
      <c r="Q23" s="2167"/>
      <c r="R23" s="2169"/>
    </row>
    <row r="24" spans="1:18" s="2138" customFormat="1" ht="15.75" thickBot="1">
      <c r="A24" s="2186"/>
      <c r="B24" s="2184" t="s">
        <v>1762</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8" sqref="B18"/>
    </sheetView>
  </sheetViews>
  <sheetFormatPr defaultColWidth="14.625" defaultRowHeight="13.5"/>
  <cols>
    <col min="1" max="1" width="24.375" customWidth="1"/>
  </cols>
  <sheetData>
    <row r="1" spans="1:9">
      <c r="A1" s="1827" t="s">
        <v>1225</v>
      </c>
      <c r="B1" s="1827">
        <f>SUM(B14:B23)</f>
        <v>450.38</v>
      </c>
      <c r="C1" s="1828"/>
      <c r="D1" s="1828"/>
      <c r="E1" s="1828"/>
      <c r="F1" s="1828"/>
      <c r="G1" s="1832"/>
    </row>
    <row r="2" spans="1:9">
      <c r="A2" s="1827" t="s">
        <v>1226</v>
      </c>
      <c r="B2" s="1827">
        <f>SUM(C14:C23)</f>
        <v>481.4</v>
      </c>
      <c r="C2" s="1828"/>
      <c r="D2" s="1828"/>
      <c r="E2" s="1828"/>
      <c r="F2" s="1828"/>
      <c r="G2" s="1832"/>
    </row>
    <row r="3" spans="1:9">
      <c r="A3" s="1827" t="s">
        <v>1227</v>
      </c>
      <c r="B3" s="1830">
        <f>项目基本情况!D2</f>
        <v>43255</v>
      </c>
      <c r="C3" s="1828"/>
      <c r="D3" s="1828"/>
      <c r="E3" s="1828"/>
      <c r="F3" s="1828"/>
      <c r="G3" s="1832"/>
    </row>
    <row r="4" spans="1:9" ht="27">
      <c r="A4" s="1827" t="s">
        <v>1228</v>
      </c>
      <c r="B4" s="1827" t="s">
        <v>1229</v>
      </c>
      <c r="C4" s="1827" t="s">
        <v>1230</v>
      </c>
      <c r="D4" s="1827" t="s">
        <v>1231</v>
      </c>
      <c r="E4" s="1828"/>
      <c r="F4" s="1832"/>
      <c r="G4" s="1832"/>
    </row>
    <row r="5" spans="1:9">
      <c r="A5" s="1827" t="s">
        <v>1232</v>
      </c>
      <c r="B5" s="1827">
        <f ca="1">SUM(D14:D23)</f>
        <v>469.49029999999999</v>
      </c>
      <c r="C5" s="1827">
        <f ca="1">ROUND(B5*10000/$B$1,0)</f>
        <v>10424</v>
      </c>
      <c r="D5" s="1827">
        <f ca="1">ROUND(B5*10000/$B$2,0)</f>
        <v>9753</v>
      </c>
      <c r="E5" s="1828"/>
      <c r="F5" s="1832"/>
      <c r="G5" s="1832"/>
    </row>
    <row r="6" spans="1:9">
      <c r="A6" s="1827" t="s">
        <v>1233</v>
      </c>
      <c r="B6" s="1827">
        <f ca="1">SUM(G14:G23)</f>
        <v>469.49029999999999</v>
      </c>
      <c r="C6" s="1827">
        <f t="shared" ref="C6:C8" ca="1" si="0">ROUND(B6*10000/$B$1,0)</f>
        <v>10424</v>
      </c>
      <c r="D6" s="1827">
        <f t="shared" ref="D6:D8" ca="1" si="1">ROUND(B6*10000/$B$2,0)</f>
        <v>9753</v>
      </c>
      <c r="E6" s="1828"/>
      <c r="F6" s="1832"/>
      <c r="G6" s="1832"/>
    </row>
    <row r="7" spans="1:9">
      <c r="A7" s="1827" t="s">
        <v>1234</v>
      </c>
      <c r="B7" s="1827" t="e">
        <f>SUM(H14:H23)</f>
        <v>#VALUE!</v>
      </c>
      <c r="C7" s="1827" t="e">
        <f>ROUND(B7*10000/$B$1,0)</f>
        <v>#VALUE!</v>
      </c>
      <c r="D7" s="1827" t="e">
        <f t="shared" si="1"/>
        <v>#VALUE!</v>
      </c>
      <c r="E7" s="1828"/>
      <c r="F7" s="1832"/>
      <c r="G7" s="1832"/>
    </row>
    <row r="8" spans="1:9">
      <c r="A8" s="1827" t="s">
        <v>1235</v>
      </c>
      <c r="B8" s="1827" t="e">
        <f>SUM(I14:I23)</f>
        <v>#VALUE!</v>
      </c>
      <c r="C8" s="1827" t="e">
        <f t="shared" si="0"/>
        <v>#VALUE!</v>
      </c>
      <c r="D8" s="1827" t="e">
        <f t="shared" si="1"/>
        <v>#VALUE!</v>
      </c>
      <c r="E8" s="1828"/>
      <c r="F8" s="1832"/>
      <c r="G8" s="1832"/>
    </row>
    <row r="9" spans="1:9">
      <c r="A9" s="1827" t="s">
        <v>1236</v>
      </c>
      <c r="B9" s="1833"/>
      <c r="C9" s="1828"/>
      <c r="D9" s="1828"/>
      <c r="E9" s="1828"/>
      <c r="F9" s="1832"/>
      <c r="G9" s="1832"/>
    </row>
    <row r="10" spans="1:9">
      <c r="A10" s="1827" t="s">
        <v>1237</v>
      </c>
      <c r="B10" s="1833"/>
      <c r="C10" s="1828"/>
      <c r="D10" s="1828"/>
      <c r="E10" s="1828"/>
      <c r="F10" s="1832"/>
      <c r="G10" s="1832"/>
    </row>
    <row r="11" spans="1:9">
      <c r="A11" s="1827" t="s">
        <v>1252</v>
      </c>
      <c r="B11" s="1833"/>
      <c r="C11" s="1828"/>
      <c r="D11" s="1828"/>
      <c r="E11" s="1828"/>
      <c r="F11" s="1832"/>
      <c r="G11" s="1832"/>
    </row>
    <row r="12" spans="1:9">
      <c r="A12" s="1828"/>
      <c r="B12" s="1828"/>
      <c r="C12" s="1828"/>
      <c r="D12" s="1828"/>
      <c r="E12" s="1828"/>
      <c r="F12" s="1832"/>
      <c r="G12" s="1832"/>
    </row>
    <row r="13" spans="1:9" ht="27">
      <c r="A13" s="1837" t="s">
        <v>1251</v>
      </c>
      <c r="B13" s="1831" t="s">
        <v>1225</v>
      </c>
      <c r="C13" s="1831" t="s">
        <v>1226</v>
      </c>
      <c r="D13" s="1831" t="s">
        <v>1238</v>
      </c>
      <c r="E13" s="1827" t="s">
        <v>1230</v>
      </c>
      <c r="F13" s="1827" t="s">
        <v>1231</v>
      </c>
      <c r="G13" s="1831" t="s">
        <v>1239</v>
      </c>
      <c r="H13" s="1831" t="s">
        <v>1240</v>
      </c>
      <c r="I13" s="1831" t="s">
        <v>1241</v>
      </c>
    </row>
    <row r="14" spans="1:9">
      <c r="A14" s="1834" t="s">
        <v>2884</v>
      </c>
      <c r="B14" s="1831">
        <f>项目基本情况!C12</f>
        <v>450.38</v>
      </c>
      <c r="C14" s="1831">
        <f>项目基本情况!C13</f>
        <v>481.4</v>
      </c>
      <c r="D14" s="1831">
        <f ca="1">IF('数据-取费表'!B3="万元",IF(A14="估价对象1（结果表）",结果表!H121,'结果表 (1修多)'!H124),IF(A14="估价对象1（结果表）",结果表!H121,'结果表 (1修多)'!H124)/10000)</f>
        <v>469.49029999999999</v>
      </c>
      <c r="E14" s="1831">
        <f ca="1">ROUND(D14*10000/B14,0)</f>
        <v>10424</v>
      </c>
      <c r="F14" s="1831">
        <f ca="1">ROUND(D14*10000/C14,0)</f>
        <v>9753</v>
      </c>
      <c r="G14" s="1831">
        <f ca="1">IF('数据-取费表'!B3="万元",IF(A14="估价对象1（结果表）",结果表!D125,'结果表 (1修多)'!D128),IF(A14="估价对象1（结果表）",结果表!D125,'结果表 (1修多)'!D128)/10000)</f>
        <v>469.49029999999999</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c r="A15" s="1829" t="s">
        <v>1242</v>
      </c>
      <c r="B15" s="1835"/>
      <c r="C15" s="1835"/>
      <c r="D15" s="1835"/>
      <c r="E15" s="1831" t="e">
        <f t="shared" ref="E15:E23" si="2">ROUND(D15*10000/B15,0)</f>
        <v>#DIV/0!</v>
      </c>
      <c r="F15" s="1831" t="e">
        <f t="shared" ref="F15:F23" si="3">ROUND(D15*10000/C15,0)</f>
        <v>#DIV/0!</v>
      </c>
      <c r="G15" s="1836"/>
      <c r="H15" s="1836"/>
      <c r="I15" s="1835"/>
    </row>
    <row r="16" spans="1:9">
      <c r="A16" s="1829" t="s">
        <v>1243</v>
      </c>
      <c r="B16" s="1835"/>
      <c r="C16" s="1835"/>
      <c r="D16" s="1835"/>
      <c r="E16" s="1831" t="e">
        <f t="shared" si="2"/>
        <v>#DIV/0!</v>
      </c>
      <c r="F16" s="1831" t="e">
        <f t="shared" si="3"/>
        <v>#DIV/0!</v>
      </c>
      <c r="G16" s="1836"/>
      <c r="H16" s="1836"/>
      <c r="I16" s="1835"/>
    </row>
    <row r="17" spans="1:9">
      <c r="A17" s="1829" t="s">
        <v>1244</v>
      </c>
      <c r="B17" s="1835"/>
      <c r="C17" s="1835"/>
      <c r="D17" s="1835"/>
      <c r="E17" s="1831" t="e">
        <f t="shared" si="2"/>
        <v>#DIV/0!</v>
      </c>
      <c r="F17" s="1831" t="e">
        <f t="shared" si="3"/>
        <v>#DIV/0!</v>
      </c>
      <c r="G17" s="1836"/>
      <c r="H17" s="1836"/>
      <c r="I17" s="1835"/>
    </row>
    <row r="18" spans="1:9">
      <c r="A18" s="1829" t="s">
        <v>1245</v>
      </c>
      <c r="B18" s="1835"/>
      <c r="C18" s="1835"/>
      <c r="D18" s="1835"/>
      <c r="E18" s="1831" t="e">
        <f t="shared" si="2"/>
        <v>#DIV/0!</v>
      </c>
      <c r="F18" s="1831" t="e">
        <f t="shared" si="3"/>
        <v>#DIV/0!</v>
      </c>
      <c r="G18" s="1835"/>
      <c r="H18" s="1835"/>
      <c r="I18" s="1835"/>
    </row>
    <row r="19" spans="1:9">
      <c r="A19" s="1829" t="s">
        <v>1246</v>
      </c>
      <c r="B19" s="1835"/>
      <c r="C19" s="1835"/>
      <c r="D19" s="1835"/>
      <c r="E19" s="1831" t="e">
        <f t="shared" si="2"/>
        <v>#DIV/0!</v>
      </c>
      <c r="F19" s="1831" t="e">
        <f t="shared" si="3"/>
        <v>#DIV/0!</v>
      </c>
      <c r="G19" s="1835"/>
      <c r="H19" s="1835"/>
      <c r="I19" s="1835"/>
    </row>
    <row r="20" spans="1:9">
      <c r="A20" s="1829" t="s">
        <v>1247</v>
      </c>
      <c r="B20" s="1835"/>
      <c r="C20" s="1835"/>
      <c r="D20" s="1835"/>
      <c r="E20" s="1831" t="e">
        <f t="shared" si="2"/>
        <v>#DIV/0!</v>
      </c>
      <c r="F20" s="1831" t="e">
        <f t="shared" si="3"/>
        <v>#DIV/0!</v>
      </c>
      <c r="G20" s="1835"/>
      <c r="H20" s="1835"/>
      <c r="I20" s="1835"/>
    </row>
    <row r="21" spans="1:9">
      <c r="A21" s="1829" t="s">
        <v>1248</v>
      </c>
      <c r="B21" s="1835"/>
      <c r="C21" s="1835"/>
      <c r="D21" s="1835"/>
      <c r="E21" s="1831" t="e">
        <f t="shared" si="2"/>
        <v>#DIV/0!</v>
      </c>
      <c r="F21" s="1831" t="e">
        <f t="shared" si="3"/>
        <v>#DIV/0!</v>
      </c>
      <c r="G21" s="1835"/>
      <c r="H21" s="1835"/>
      <c r="I21" s="1835"/>
    </row>
    <row r="22" spans="1:9">
      <c r="A22" s="1829" t="s">
        <v>1249</v>
      </c>
      <c r="B22" s="1835"/>
      <c r="C22" s="1835"/>
      <c r="D22" s="1835"/>
      <c r="E22" s="1831" t="e">
        <f t="shared" si="2"/>
        <v>#DIV/0!</v>
      </c>
      <c r="F22" s="1831" t="e">
        <f t="shared" si="3"/>
        <v>#DIV/0!</v>
      </c>
      <c r="G22" s="1835"/>
      <c r="H22" s="1835"/>
      <c r="I22" s="1835"/>
    </row>
    <row r="23" spans="1:9">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94" zoomScaleNormal="100" zoomScaleSheetLayoutView="100" zoomScalePageLayoutView="80" workbookViewId="0">
      <selection activeCell="C103" sqref="C103"/>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1763</v>
      </c>
      <c r="B1" s="2193"/>
      <c r="C1" s="2193"/>
      <c r="D1" s="2193"/>
      <c r="E1" s="2193"/>
      <c r="F1" s="2193"/>
      <c r="G1" s="2193"/>
      <c r="H1" s="2193"/>
      <c r="I1" s="2193"/>
    </row>
    <row r="2" spans="1:12" ht="21.75" customHeight="1">
      <c r="A2" s="2898" t="str">
        <f>项目基本情况!B1</f>
        <v>北京市房地产抵押价值预评估</v>
      </c>
      <c r="B2" s="2898"/>
      <c r="C2" s="2898"/>
      <c r="D2" s="2898"/>
      <c r="E2" s="2898"/>
      <c r="F2" s="2898"/>
      <c r="G2" s="2898"/>
      <c r="H2" s="2898"/>
      <c r="I2" s="2898"/>
    </row>
    <row r="3" spans="1:12" ht="12.75">
      <c r="A3" s="2901" t="s">
        <v>1764</v>
      </c>
      <c r="B3" s="2902"/>
      <c r="C3" s="2902"/>
      <c r="D3" s="2902"/>
      <c r="E3" s="2902"/>
      <c r="F3" s="2902"/>
      <c r="G3" s="2902"/>
      <c r="H3" s="2902"/>
      <c r="I3" s="2902"/>
    </row>
    <row r="4" spans="1:12" ht="14.25">
      <c r="A4" s="2195" t="s">
        <v>1765</v>
      </c>
      <c r="B4" s="2196" t="s">
        <v>1766</v>
      </c>
      <c r="C4" s="2197" t="s">
        <v>2830</v>
      </c>
      <c r="D4" s="2197" t="s">
        <v>2834</v>
      </c>
      <c r="E4" s="2882" t="s">
        <v>1767</v>
      </c>
      <c r="F4" s="2883"/>
      <c r="G4" s="2883"/>
      <c r="H4" s="2883"/>
      <c r="I4" s="2893"/>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 r="A5" s="2875" t="s">
        <v>1768</v>
      </c>
      <c r="B5" s="2837">
        <v>25</v>
      </c>
      <c r="C5" s="2886"/>
      <c r="D5" s="2900"/>
      <c r="E5" s="56" t="s">
        <v>1769</v>
      </c>
      <c r="F5" s="2198"/>
      <c r="G5" s="2198"/>
      <c r="H5" s="2198"/>
      <c r="I5" s="2199"/>
    </row>
    <row r="6" spans="1:12" ht="12.75">
      <c r="A6" s="2875"/>
      <c r="B6" s="2837"/>
      <c r="C6" s="2903"/>
      <c r="D6" s="2900"/>
      <c r="E6" s="56" t="s">
        <v>1770</v>
      </c>
      <c r="F6" s="2198"/>
      <c r="G6" s="2198"/>
      <c r="H6" s="2198"/>
      <c r="I6" s="2199"/>
    </row>
    <row r="7" spans="1:12" ht="12.75">
      <c r="A7" s="2875"/>
      <c r="B7" s="2837"/>
      <c r="C7" s="2887"/>
      <c r="D7" s="2900"/>
      <c r="E7" s="56" t="s">
        <v>1771</v>
      </c>
      <c r="F7" s="2198"/>
      <c r="G7" s="2198"/>
      <c r="H7" s="2198"/>
      <c r="I7" s="2199"/>
    </row>
    <row r="8" spans="1:12" ht="12.75">
      <c r="A8" s="2875" t="s">
        <v>1772</v>
      </c>
      <c r="B8" s="2837">
        <v>15</v>
      </c>
      <c r="C8" s="2886"/>
      <c r="D8" s="2900"/>
      <c r="E8" s="56" t="s">
        <v>1773</v>
      </c>
      <c r="F8" s="2198"/>
      <c r="G8" s="2198"/>
      <c r="H8" s="2198"/>
      <c r="I8" s="2199"/>
    </row>
    <row r="9" spans="1:12" ht="12.75">
      <c r="A9" s="2875"/>
      <c r="B9" s="2837"/>
      <c r="C9" s="2887"/>
      <c r="D9" s="2900"/>
      <c r="E9" s="56" t="s">
        <v>1774</v>
      </c>
      <c r="F9" s="2198"/>
      <c r="G9" s="2198"/>
      <c r="H9" s="2198"/>
      <c r="I9" s="2199"/>
    </row>
    <row r="10" spans="1:12" ht="12.75">
      <c r="A10" s="2875" t="s">
        <v>1775</v>
      </c>
      <c r="B10" s="2837">
        <v>15</v>
      </c>
      <c r="C10" s="2886"/>
      <c r="D10" s="2900"/>
      <c r="E10" s="56" t="s">
        <v>1776</v>
      </c>
      <c r="F10" s="2198"/>
      <c r="G10" s="2198"/>
      <c r="H10" s="2198"/>
      <c r="I10" s="2199"/>
    </row>
    <row r="11" spans="1:12" ht="12.75">
      <c r="A11" s="2875"/>
      <c r="B11" s="2837"/>
      <c r="C11" s="2887"/>
      <c r="D11" s="2900"/>
      <c r="E11" s="56" t="s">
        <v>1777</v>
      </c>
      <c r="F11" s="2198"/>
      <c r="G11" s="2198"/>
      <c r="H11" s="2198"/>
      <c r="I11" s="2199"/>
    </row>
    <row r="12" spans="1:12" ht="12.75">
      <c r="A12" s="2875" t="s">
        <v>1778</v>
      </c>
      <c r="B12" s="2837">
        <v>15</v>
      </c>
      <c r="C12" s="2886"/>
      <c r="D12" s="2900"/>
      <c r="E12" s="56" t="s">
        <v>1779</v>
      </c>
      <c r="F12" s="2198"/>
      <c r="G12" s="2198"/>
      <c r="H12" s="2198"/>
      <c r="I12" s="2199"/>
    </row>
    <row r="13" spans="1:12" ht="12.75">
      <c r="A13" s="2875"/>
      <c r="B13" s="2837"/>
      <c r="C13" s="2887"/>
      <c r="D13" s="2900"/>
      <c r="E13" s="56" t="s">
        <v>1780</v>
      </c>
      <c r="F13" s="2198"/>
      <c r="G13" s="2198"/>
      <c r="H13" s="2198"/>
      <c r="I13" s="2199"/>
    </row>
    <row r="14" spans="1:12" ht="12.75">
      <c r="A14" s="2875" t="s">
        <v>1781</v>
      </c>
      <c r="B14" s="2837">
        <v>30</v>
      </c>
      <c r="C14" s="2886">
        <v>2</v>
      </c>
      <c r="D14" s="2900">
        <v>8</v>
      </c>
      <c r="E14" s="56" t="s">
        <v>1782</v>
      </c>
      <c r="F14" s="2198"/>
      <c r="G14" s="2198"/>
      <c r="H14" s="2198"/>
      <c r="I14" s="2199"/>
    </row>
    <row r="15" spans="1:12" ht="12.75">
      <c r="A15" s="2875"/>
      <c r="B15" s="2837"/>
      <c r="C15" s="2903"/>
      <c r="D15" s="2900"/>
      <c r="E15" s="56" t="s">
        <v>1783</v>
      </c>
      <c r="F15" s="2198"/>
      <c r="G15" s="2198"/>
      <c r="H15" s="2198"/>
      <c r="I15" s="2199"/>
    </row>
    <row r="16" spans="1:12" ht="12.75">
      <c r="A16" s="2875"/>
      <c r="B16" s="2837"/>
      <c r="C16" s="2887"/>
      <c r="D16" s="2900"/>
      <c r="E16" s="56" t="s">
        <v>1784</v>
      </c>
      <c r="F16" s="2198"/>
      <c r="G16" s="2198"/>
      <c r="H16" s="2198"/>
      <c r="I16" s="2199"/>
    </row>
    <row r="17" spans="1:35" ht="15">
      <c r="A17" s="2200" t="s">
        <v>1785</v>
      </c>
      <c r="B17" s="2201"/>
      <c r="C17" s="57">
        <f>SUM(C5:C16)</f>
        <v>2</v>
      </c>
      <c r="D17" s="57">
        <f>SUM(D5:D16)</f>
        <v>8</v>
      </c>
      <c r="E17" s="2193"/>
      <c r="F17" s="2193"/>
      <c r="G17" s="2193"/>
      <c r="H17" s="2193"/>
      <c r="I17" s="2193"/>
    </row>
    <row r="18" spans="1:35" ht="15.75" thickBot="1">
      <c r="A18" s="2202" t="s">
        <v>1786</v>
      </c>
      <c r="B18" s="2203"/>
      <c r="C18" s="58">
        <f>ROUND(C17/SUM(C17:D17),2)</f>
        <v>0.2</v>
      </c>
      <c r="D18" s="58">
        <f>1-C18</f>
        <v>0.8</v>
      </c>
      <c r="E18" s="2193"/>
      <c r="F18" s="2193"/>
      <c r="G18" s="2193"/>
      <c r="H18" s="2193"/>
      <c r="I18" s="2193"/>
    </row>
    <row r="19" spans="1:35" ht="15">
      <c r="A19" s="2204" t="s">
        <v>1787</v>
      </c>
      <c r="B19" s="2205" t="s">
        <v>1788</v>
      </c>
      <c r="C19" s="59">
        <f ca="1">SUMIF(INDIRECT("'"&amp;C4&amp;"'"&amp;"!A:A"),结果表!B19,INDIRECT("'"&amp;C4&amp;"'"&amp;"!B:B"))</f>
        <v>2020214</v>
      </c>
      <c r="D19" s="60">
        <f ca="1">SUMIF(INDIRECT("'"&amp;D4&amp;"'"&amp;"!A:A"),结果表!B19,INDIRECT("'"&amp;D4&amp;"'"&amp;"!B:B"))</f>
        <v>5363575</v>
      </c>
      <c r="E19" s="2204" t="s">
        <v>1789</v>
      </c>
      <c r="F19" s="2205" t="s">
        <v>1788</v>
      </c>
      <c r="G19" s="61">
        <f ca="1">ROUND(C19*$C$18+D19*$D$18,0)</f>
        <v>4694903</v>
      </c>
      <c r="H19" s="2206" t="str">
        <f>'数据-取费表'!B3</f>
        <v>元</v>
      </c>
      <c r="I19" s="2193"/>
    </row>
    <row r="20" spans="1:35" ht="15">
      <c r="A20" s="2207"/>
      <c r="B20" s="2208" t="s">
        <v>1790</v>
      </c>
      <c r="C20" s="62">
        <f ca="1">SUMIF(INDIRECT("'"&amp;C4&amp;"'"&amp;"!A:A"),结果表!B20,INDIRECT("'"&amp;C4&amp;"'"&amp;"!B:B"))</f>
        <v>4486</v>
      </c>
      <c r="D20" s="63">
        <f ca="1">SUMIF(INDIRECT("'"&amp;D4&amp;"'"&amp;"!A:A"),结果表!B20,INDIRECT("'"&amp;D4&amp;"'"&amp;"!B:B"))</f>
        <v>11909</v>
      </c>
      <c r="E20" s="2207"/>
      <c r="F20" s="2208" t="s">
        <v>1790</v>
      </c>
      <c r="G20" s="64">
        <f ca="1">ROUND(C20*$C$18+D20*$D$18,0)</f>
        <v>10424</v>
      </c>
      <c r="H20" s="2209" t="s">
        <v>1791</v>
      </c>
      <c r="I20" s="2193"/>
    </row>
    <row r="21" spans="1:35" ht="15" customHeight="1" thickBot="1">
      <c r="A21" s="2210"/>
      <c r="B21" s="2211"/>
      <c r="C21" s="769"/>
      <c r="D21" s="770"/>
      <c r="E21" s="2210"/>
      <c r="F21" s="2211"/>
      <c r="G21" s="65"/>
      <c r="H21" s="2212"/>
      <c r="I21" s="2193"/>
    </row>
    <row r="22" spans="1:35" ht="15" thickBot="1">
      <c r="A22" s="2213" t="s">
        <v>1792</v>
      </c>
      <c r="B22" s="2214"/>
      <c r="C22" s="2215"/>
      <c r="D22" s="771">
        <f ca="1">IF(C19&lt;D19,D19/C19-1,C19/D19-1)</f>
        <v>1.6549538811234847</v>
      </c>
      <c r="E22" s="2193"/>
      <c r="F22" s="2193"/>
      <c r="G22" s="2193"/>
      <c r="H22" s="2193"/>
      <c r="I22" s="2193"/>
    </row>
    <row r="23" spans="1:35" ht="13.5" thickBot="1">
      <c r="A23" s="2193"/>
      <c r="B23" s="2193"/>
      <c r="C23" s="2193"/>
      <c r="D23" s="2193"/>
      <c r="E23" s="2193"/>
      <c r="F23" s="2193"/>
      <c r="G23" s="2193"/>
      <c r="H23" s="2193"/>
      <c r="I23" s="2193"/>
    </row>
    <row r="24" spans="1:35" ht="21.75" customHeight="1">
      <c r="A24" s="2906" t="s">
        <v>1793</v>
      </c>
      <c r="B24" s="2205" t="s">
        <v>1788</v>
      </c>
      <c r="C24" s="61">
        <f>D30</f>
        <v>0</v>
      </c>
      <c r="D24" s="992"/>
      <c r="E24" s="2193"/>
      <c r="F24" s="2193"/>
      <c r="G24" s="2193"/>
      <c r="H24" s="2193"/>
      <c r="I24" s="2193"/>
    </row>
    <row r="25" spans="1:35" ht="21.75" customHeight="1">
      <c r="A25" s="2907"/>
      <c r="B25" s="2208" t="s">
        <v>1790</v>
      </c>
      <c r="C25" s="66">
        <f>IF(B30=0,0,C30)</f>
        <v>0</v>
      </c>
      <c r="D25" s="2216"/>
      <c r="E25" s="2193"/>
      <c r="F25" s="2193"/>
      <c r="G25" s="2193"/>
      <c r="H25" s="2193"/>
      <c r="I25" s="2193"/>
    </row>
    <row r="26" spans="1:35" ht="13.5" customHeight="1">
      <c r="A26" s="2217" t="s">
        <v>1794</v>
      </c>
      <c r="B26" s="67" t="s">
        <v>1795</v>
      </c>
      <c r="C26" s="67" t="s">
        <v>1796</v>
      </c>
      <c r="D26" s="68" t="s">
        <v>1797</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1798</v>
      </c>
      <c r="B30" s="67"/>
      <c r="C30" s="67"/>
      <c r="D30" s="67"/>
      <c r="E30" s="2714" t="s">
        <v>2801</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21" t="s">
        <v>1799</v>
      </c>
      <c r="B32" s="2222" t="str">
        <f>'数据-取费表'!B4</f>
        <v>总价</v>
      </c>
      <c r="C32" s="1143">
        <f ca="1">IF(B32="总价",G19-C24,G20-C25)</f>
        <v>4694903</v>
      </c>
      <c r="D32" s="2193" t="str">
        <f>IF(B32="楼面单价","元/平方米",H19)</f>
        <v>元</v>
      </c>
      <c r="E32" s="2193"/>
      <c r="F32" s="2193"/>
      <c r="G32" s="2193"/>
      <c r="H32" s="2193"/>
      <c r="I32" s="2193"/>
    </row>
    <row r="33" spans="1:16" ht="15">
      <c r="A33" s="2223" t="s">
        <v>1800</v>
      </c>
      <c r="B33" s="2224"/>
      <c r="C33" s="2225"/>
      <c r="D33" s="2226"/>
      <c r="E33" s="2227" t="s">
        <v>1801</v>
      </c>
      <c r="F33" s="2228" t="str">
        <f>IF(B32="楼面单价","取值（单价）","取值（总价）")</f>
        <v>取值（总价）</v>
      </c>
      <c r="G33" s="2193"/>
      <c r="H33" s="2193"/>
      <c r="I33" s="2193"/>
    </row>
    <row r="34" spans="1:16" ht="15">
      <c r="A34" s="2229"/>
      <c r="B34" s="2230" t="s">
        <v>1802</v>
      </c>
      <c r="C34" s="72">
        <f ca="1">IF(D33="自定义",F34,C32-C35)</f>
        <v>441321</v>
      </c>
      <c r="D34" s="1089">
        <f ca="1">IF(D33="自定义",ROUND(C34/C32,3),1-D35)</f>
        <v>9.3999999999999972E-2</v>
      </c>
      <c r="E34" s="2231" t="s">
        <v>1803</v>
      </c>
      <c r="F34" s="1825">
        <v>2000</v>
      </c>
      <c r="G34" s="2193"/>
      <c r="H34" s="2193"/>
      <c r="I34" s="2193"/>
    </row>
    <row r="35" spans="1:16" ht="15.75" thickBot="1">
      <c r="A35" s="2232"/>
      <c r="B35" s="2233" t="s">
        <v>1804</v>
      </c>
      <c r="C35" s="73">
        <f ca="1">IF(D33="自定义",F35,ROUND(C32*D35,0))</f>
        <v>4253582</v>
      </c>
      <c r="D35" s="1088">
        <f ca="1">IF(D33="自定义",ROUND(C35/C32,3),IF(D33="成本法成本比率",成本法!C56,IF(D33="收益法收益比率",收益法!J38,收益法!J41)))</f>
        <v>0.90600000000000003</v>
      </c>
      <c r="E35" s="2234" t="s">
        <v>1805</v>
      </c>
      <c r="F35" s="79">
        <v>4460</v>
      </c>
      <c r="G35" s="2193"/>
      <c r="H35" s="2193"/>
      <c r="I35" s="2193"/>
    </row>
    <row r="36" spans="1:16" ht="15.75" thickBot="1">
      <c r="A36" s="2888" t="s">
        <v>1806</v>
      </c>
      <c r="B36" s="2235" t="s">
        <v>1807</v>
      </c>
      <c r="C36" s="69">
        <v>0</v>
      </c>
      <c r="D36" s="2236"/>
      <c r="E36" s="2237"/>
      <c r="F36" s="2237"/>
      <c r="G36" s="2193"/>
      <c r="H36" s="2193"/>
      <c r="I36" s="2193"/>
    </row>
    <row r="37" spans="1:16" ht="15.75" thickBot="1">
      <c r="A37" s="2889"/>
      <c r="B37" s="2238" t="s">
        <v>1808</v>
      </c>
      <c r="C37" s="71">
        <v>0</v>
      </c>
      <c r="D37" s="2203"/>
      <c r="E37" s="2203"/>
      <c r="F37" s="2237"/>
      <c r="G37" s="2203"/>
      <c r="H37" s="2203"/>
      <c r="I37" s="2203"/>
    </row>
    <row r="38" spans="1:16" ht="15.75" thickBot="1">
      <c r="A38" s="2890"/>
      <c r="B38" s="2239" t="s">
        <v>1809</v>
      </c>
      <c r="C38" s="711">
        <v>0</v>
      </c>
      <c r="D38" s="2240" t="s">
        <v>1810</v>
      </c>
      <c r="E38" s="2203"/>
      <c r="F38" s="2237"/>
      <c r="G38" s="2203"/>
      <c r="H38" s="2203"/>
      <c r="I38" s="2203"/>
    </row>
    <row r="39" spans="1:16" ht="15">
      <c r="A39" s="2207" t="s">
        <v>1811</v>
      </c>
      <c r="B39" s="2241" t="s">
        <v>1795</v>
      </c>
      <c r="C39" s="2242" t="s">
        <v>1796</v>
      </c>
      <c r="D39" s="2242" t="s">
        <v>1812</v>
      </c>
      <c r="E39" s="2243" t="s">
        <v>1797</v>
      </c>
      <c r="F39" s="2237"/>
      <c r="G39" s="2203"/>
      <c r="H39" s="2203"/>
      <c r="I39" s="2203"/>
    </row>
    <row r="40" spans="1:16" ht="14.25">
      <c r="A40" s="2244" t="s">
        <v>1813</v>
      </c>
      <c r="B40" s="74"/>
      <c r="C40" s="75"/>
      <c r="D40" s="75"/>
      <c r="E40" s="76"/>
      <c r="F40" s="2237"/>
      <c r="G40" s="2203"/>
      <c r="H40" s="2203"/>
      <c r="I40" s="2203"/>
    </row>
    <row r="41" spans="1:16" ht="14.25">
      <c r="A41" s="2244" t="s">
        <v>1814</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1815</v>
      </c>
      <c r="B44" s="2250"/>
      <c r="C44" s="2250"/>
      <c r="D44" s="2251"/>
      <c r="E44" s="2251"/>
      <c r="F44" s="2252"/>
      <c r="G44" s="2252"/>
      <c r="H44" s="2252"/>
      <c r="I44" s="2252"/>
      <c r="J44" s="2253" t="s">
        <v>1816</v>
      </c>
      <c r="K44" s="2254"/>
      <c r="L44" s="2254"/>
      <c r="M44" s="2254"/>
      <c r="N44" s="2254"/>
      <c r="O44" s="2254"/>
      <c r="P44" s="1842"/>
    </row>
    <row r="45" spans="1:16" ht="14.25" customHeight="1" thickBot="1">
      <c r="A45" s="2894" t="s">
        <v>1817</v>
      </c>
      <c r="B45" s="2895"/>
      <c r="C45" s="2896"/>
      <c r="D45" s="80">
        <f ca="1">ROUND(I102*F45,0)</f>
        <v>4694903</v>
      </c>
      <c r="E45" s="81" t="s">
        <v>1818</v>
      </c>
      <c r="F45" s="82">
        <v>1</v>
      </c>
      <c r="G45" s="83" t="s">
        <v>1819</v>
      </c>
      <c r="H45" s="2193"/>
      <c r="I45" s="2193"/>
      <c r="J45" s="2956" t="s">
        <v>1820</v>
      </c>
      <c r="K45" s="2956"/>
      <c r="L45" s="2956"/>
      <c r="M45" s="2956"/>
      <c r="N45" s="2956"/>
      <c r="O45" s="2956"/>
      <c r="P45" s="1842"/>
    </row>
    <row r="46" spans="1:16" ht="14.25" customHeight="1">
      <c r="A46" s="2879" t="s">
        <v>1821</v>
      </c>
      <c r="B46" s="2880"/>
      <c r="C46" s="2880"/>
      <c r="D46" s="2880"/>
      <c r="E46" s="2880"/>
      <c r="F46" s="2880"/>
      <c r="G46" s="2881"/>
      <c r="H46" s="2255"/>
      <c r="I46" s="1142"/>
      <c r="J46" s="1880">
        <v>1</v>
      </c>
      <c r="K46" s="2956" t="s">
        <v>1822</v>
      </c>
      <c r="L46" s="2956"/>
      <c r="M46" s="2957" t="str">
        <f>项目基本情况!B1</f>
        <v>北京市房地产抵押价值预评估</v>
      </c>
      <c r="N46" s="2957"/>
      <c r="O46" s="2957"/>
      <c r="P46" s="1842"/>
    </row>
    <row r="47" spans="1:16" ht="12" customHeight="1">
      <c r="A47" s="85" t="s">
        <v>1823</v>
      </c>
      <c r="B47" s="86"/>
      <c r="C47" s="87"/>
      <c r="D47" s="88" t="s">
        <v>1824</v>
      </c>
      <c r="E47" s="14" t="s">
        <v>1825</v>
      </c>
      <c r="F47" s="89" t="s">
        <v>1826</v>
      </c>
      <c r="G47" s="90" t="s">
        <v>1827</v>
      </c>
      <c r="H47" s="2255"/>
      <c r="I47" s="1142"/>
      <c r="J47" s="1880">
        <v>2</v>
      </c>
      <c r="K47" s="2956" t="s">
        <v>1828</v>
      </c>
      <c r="L47" s="2956"/>
      <c r="M47" s="2958">
        <f>'数据-取费表'!B2</f>
        <v>43255</v>
      </c>
      <c r="N47" s="2958"/>
      <c r="O47" s="2958"/>
      <c r="P47" s="1842"/>
    </row>
    <row r="48" spans="1:16" ht="25.5">
      <c r="A48" s="2891" t="s">
        <v>1829</v>
      </c>
      <c r="B48" s="2892"/>
      <c r="C48" s="2892"/>
      <c r="D48" s="56">
        <f ca="1">IF(H48="情况1",0,IF(H48="情况2",D52,IF(H48="情况3",D53,IF(H48="情况4",D54))))</f>
        <v>248159</v>
      </c>
      <c r="E48" s="1890" t="str">
        <f>IF(H48="情况4","(销售额-原购置价)×税（费）率","销售额×税（费）率")</f>
        <v>销售额×税（费）率</v>
      </c>
      <c r="F48" s="91">
        <f>IF(H48="情况1","免征",'数据-取费表'!E29)</f>
        <v>5.5500000000000008E-2</v>
      </c>
      <c r="G48" s="2256" t="s">
        <v>1830</v>
      </c>
      <c r="H48" s="2257" t="s">
        <v>1831</v>
      </c>
      <c r="I48" s="2255"/>
      <c r="J48" s="1880">
        <v>3</v>
      </c>
      <c r="K48" s="2956" t="s">
        <v>1832</v>
      </c>
      <c r="L48" s="2956"/>
      <c r="M48" s="2957">
        <f ca="1">I102</f>
        <v>4694903</v>
      </c>
      <c r="N48" s="2957"/>
      <c r="O48" s="2957"/>
      <c r="P48" s="1842"/>
    </row>
    <row r="49" spans="1:16" ht="25.5" customHeight="1">
      <c r="A49" s="92" t="s">
        <v>1833</v>
      </c>
      <c r="B49" s="2884" t="s">
        <v>1834</v>
      </c>
      <c r="C49" s="2884"/>
      <c r="D49" s="93">
        <v>0</v>
      </c>
      <c r="E49" s="13" t="s">
        <v>1835</v>
      </c>
      <c r="F49" s="18" t="s">
        <v>48</v>
      </c>
      <c r="G49" s="2949"/>
      <c r="H49" s="2193"/>
      <c r="I49" s="2258"/>
      <c r="J49" s="1880">
        <v>4</v>
      </c>
      <c r="K49" s="2956" t="str">
        <f>IF(项目基本情况!F5="房地产抵押价值","房地产抵押价值","抵押担保权已注销时的房地产抵押价值")</f>
        <v>房地产抵押价值</v>
      </c>
      <c r="L49" s="2956"/>
      <c r="M49" s="2957">
        <f ca="1">IF(项目基本情况!F5="房地产抵押价值",I110,I112)</f>
        <v>4694903</v>
      </c>
      <c r="N49" s="2957"/>
      <c r="O49" s="2957"/>
      <c r="P49" s="1842"/>
    </row>
    <row r="50" spans="1:16" ht="25.5" customHeight="1">
      <c r="A50" s="94"/>
      <c r="B50" s="2884" t="s">
        <v>1836</v>
      </c>
      <c r="C50" s="2884"/>
      <c r="D50" s="95"/>
      <c r="E50" s="21"/>
      <c r="F50" s="96"/>
      <c r="G50" s="2950"/>
      <c r="H50" s="2193"/>
      <c r="I50" s="2258"/>
      <c r="J50" s="2956" t="s">
        <v>1837</v>
      </c>
      <c r="K50" s="2956"/>
      <c r="L50" s="2956"/>
      <c r="M50" s="2956"/>
      <c r="N50" s="2956"/>
      <c r="O50" s="2956"/>
      <c r="P50" s="1842"/>
    </row>
    <row r="51" spans="1:16" ht="12" customHeight="1">
      <c r="A51" s="97"/>
      <c r="B51" s="2884" t="s">
        <v>1838</v>
      </c>
      <c r="C51" s="2884"/>
      <c r="D51" s="98"/>
      <c r="E51" s="20"/>
      <c r="F51" s="96"/>
      <c r="G51" s="2951"/>
      <c r="H51" s="2193"/>
      <c r="I51" s="2258"/>
      <c r="J51" s="2259" t="s">
        <v>1839</v>
      </c>
      <c r="K51" s="2956" t="s">
        <v>1840</v>
      </c>
      <c r="L51" s="2956"/>
      <c r="M51" s="2259" t="s">
        <v>1841</v>
      </c>
      <c r="N51" s="2259" t="s">
        <v>1842</v>
      </c>
      <c r="O51" s="2259" t="s">
        <v>1843</v>
      </c>
      <c r="P51" s="1842"/>
    </row>
    <row r="52" spans="1:16" ht="24" customHeight="1">
      <c r="A52" s="99" t="s">
        <v>1844</v>
      </c>
      <c r="B52" s="2884" t="s">
        <v>1845</v>
      </c>
      <c r="C52" s="2884"/>
      <c r="D52" s="98">
        <f ca="1">ROUND(D45*'数据-取费表'!E29/(1+'数据-取费表'!F30),0)</f>
        <v>248159</v>
      </c>
      <c r="E52" s="10" t="s">
        <v>1846</v>
      </c>
      <c r="F52" s="100">
        <f>'数据-取费表'!E29</f>
        <v>5.5500000000000008E-2</v>
      </c>
      <c r="G52" s="2260"/>
      <c r="H52" s="2193"/>
      <c r="I52" s="2258"/>
      <c r="J52" s="1880">
        <v>1</v>
      </c>
      <c r="K52" s="2916" t="s">
        <v>1847</v>
      </c>
      <c r="L52" s="2916"/>
      <c r="M52" s="777">
        <f ca="1">D48</f>
        <v>248159</v>
      </c>
      <c r="N52" s="1880" t="str">
        <f>E48</f>
        <v>销售额×税（费）率</v>
      </c>
      <c r="O52" s="778">
        <f>F48</f>
        <v>5.5500000000000008E-2</v>
      </c>
      <c r="P52" s="1842"/>
    </row>
    <row r="53" spans="1:16" ht="12" customHeight="1">
      <c r="A53" s="99" t="s">
        <v>1848</v>
      </c>
      <c r="B53" s="2885" t="s">
        <v>1849</v>
      </c>
      <c r="C53" s="2815"/>
      <c r="D53" s="98">
        <f ca="1">ROUND(D45*'数据-取费表'!E29/(1+'数据-取费表'!F30),0)</f>
        <v>248159</v>
      </c>
      <c r="E53" s="10" t="s">
        <v>1846</v>
      </c>
      <c r="F53" s="100">
        <f>'数据-取费表'!E29</f>
        <v>5.5500000000000008E-2</v>
      </c>
      <c r="G53" s="2260"/>
      <c r="H53" s="2193"/>
      <c r="I53" s="2258"/>
      <c r="J53" s="1880">
        <v>2</v>
      </c>
      <c r="K53" s="2916" t="s">
        <v>1850</v>
      </c>
      <c r="L53" s="2916"/>
      <c r="M53" s="777">
        <f t="shared" ref="M53:O54" ca="1" si="1">D55</f>
        <v>2347</v>
      </c>
      <c r="N53" s="1880" t="str">
        <f t="shared" si="1"/>
        <v>销售额×税（费）率</v>
      </c>
      <c r="O53" s="778">
        <f t="shared" si="1"/>
        <v>5.0000000000000001E-4</v>
      </c>
      <c r="P53" s="1842"/>
    </row>
    <row r="54" spans="1:16" ht="12" customHeight="1">
      <c r="A54" s="99" t="s">
        <v>1851</v>
      </c>
      <c r="B54" s="2885" t="s">
        <v>1852</v>
      </c>
      <c r="C54" s="2815"/>
      <c r="D54" s="98">
        <f ca="1">C68</f>
        <v>248159</v>
      </c>
      <c r="E54" s="20" t="s">
        <v>1853</v>
      </c>
      <c r="F54" s="100">
        <f>'数据-取费表'!E29</f>
        <v>5.5500000000000008E-2</v>
      </c>
      <c r="G54" s="2260"/>
      <c r="H54" s="2261"/>
      <c r="I54" s="2258"/>
      <c r="J54" s="1880">
        <v>3</v>
      </c>
      <c r="K54" s="2916" t="s">
        <v>1854</v>
      </c>
      <c r="L54" s="2916"/>
      <c r="M54" s="777">
        <f t="shared" ca="1" si="1"/>
        <v>2659439</v>
      </c>
      <c r="N54" s="1880" t="str">
        <f t="shared" si="1"/>
        <v>增值额×税（费）率</v>
      </c>
      <c r="O54" s="779" t="str">
        <f t="shared" si="1"/>
        <v>——</v>
      </c>
      <c r="P54" s="1842"/>
    </row>
    <row r="55" spans="1:16" ht="24" customHeight="1">
      <c r="A55" s="2807" t="s">
        <v>1855</v>
      </c>
      <c r="B55" s="2892"/>
      <c r="C55" s="2892"/>
      <c r="D55" s="101">
        <f ca="1">IF(H55="个人住宅",0,ROUND(D45*I55,0))</f>
        <v>2347</v>
      </c>
      <c r="E55" s="10" t="s">
        <v>1856</v>
      </c>
      <c r="F55" s="100">
        <f>IF(H55="正常",I55,"免征")</f>
        <v>5.0000000000000001E-4</v>
      </c>
      <c r="G55" s="2260"/>
      <c r="H55" s="2257" t="s">
        <v>1857</v>
      </c>
      <c r="I55" s="102">
        <f>'数据-取费表'!E37</f>
        <v>5.0000000000000001E-4</v>
      </c>
      <c r="J55" s="1880">
        <f>IF(H59="非个人房产","",4)</f>
        <v>4</v>
      </c>
      <c r="K55" s="2916" t="str">
        <f>IF(H59="非个人房产","——","个人所得税")</f>
        <v>个人所得税</v>
      </c>
      <c r="L55" s="2916"/>
      <c r="M55" s="780">
        <f ca="1">D59</f>
        <v>46949</v>
      </c>
      <c r="N55" s="1883" t="str">
        <f>E59</f>
        <v>销售额×税（费）率</v>
      </c>
      <c r="O55" s="781">
        <f>F59</f>
        <v>0.01</v>
      </c>
      <c r="P55" s="1842"/>
    </row>
    <row r="56" spans="1:16" ht="24.75">
      <c r="A56" s="2807" t="s">
        <v>1858</v>
      </c>
      <c r="B56" s="2892"/>
      <c r="C56" s="2892"/>
      <c r="D56" s="101">
        <f ca="1">IF(H56="个人住宅",D57,D58)</f>
        <v>2659439</v>
      </c>
      <c r="E56" s="10" t="s">
        <v>1859</v>
      </c>
      <c r="F56" s="100" t="str">
        <f>IF(H56="正常",F58,"免征")</f>
        <v>——</v>
      </c>
      <c r="G56" s="2262" t="s">
        <v>1860</v>
      </c>
      <c r="H56" s="2263" t="s">
        <v>1857</v>
      </c>
      <c r="I56" s="1020"/>
      <c r="J56" s="1880" t="str">
        <f>IF(项目基本情况!I6="上海银行",IF(J55="",4,J55+1),"")</f>
        <v/>
      </c>
      <c r="K56" s="2934" t="str">
        <f>IF(项目基本情况!I6="上海银行","其他处置费用","")</f>
        <v/>
      </c>
      <c r="L56" s="2935"/>
      <c r="M56" s="777" t="str">
        <f>IF(项目基本情况!I6="上海银行",M69,"")</f>
        <v/>
      </c>
      <c r="N56" s="2947" t="str">
        <f>IF(项目基本情况!I6="上海银行","包含处置中涉及的律师、诉讼、拍卖、评估等费用","")</f>
        <v/>
      </c>
      <c r="O56" s="2948"/>
      <c r="P56" s="1842"/>
    </row>
    <row r="57" spans="1:16" ht="12.75">
      <c r="A57" s="99" t="s">
        <v>1833</v>
      </c>
      <c r="B57" s="2882" t="s">
        <v>1861</v>
      </c>
      <c r="C57" s="2893"/>
      <c r="D57" s="103">
        <v>0</v>
      </c>
      <c r="E57" s="13" t="s">
        <v>1835</v>
      </c>
      <c r="F57" s="70"/>
      <c r="G57" s="2260"/>
      <c r="H57" s="1020"/>
      <c r="I57" s="1020"/>
      <c r="J57" s="2916">
        <f>IF(AND(J55="",J56=""),4,IF(项目基本情况!I6="上海银行",J56+1,J55+1))</f>
        <v>5</v>
      </c>
      <c r="K57" s="2916" t="s">
        <v>1862</v>
      </c>
      <c r="L57" s="2264" t="s">
        <v>1863</v>
      </c>
      <c r="M57" s="782"/>
      <c r="N57" s="783">
        <f ca="1">SUMIF(M52:M56,"&lt;9e307")</f>
        <v>2956894</v>
      </c>
      <c r="O57" s="2265"/>
      <c r="P57" s="1838">
        <f ca="1">N57/M49</f>
        <v>0.62980939116314016</v>
      </c>
    </row>
    <row r="58" spans="1:16" ht="24.75">
      <c r="A58" s="99" t="s">
        <v>1844</v>
      </c>
      <c r="B58" s="2882" t="s">
        <v>1864</v>
      </c>
      <c r="C58" s="2883"/>
      <c r="D58" s="101">
        <f ca="1">IF(H58="转让取得",C81,C97)</f>
        <v>2659439</v>
      </c>
      <c r="E58" s="10" t="s">
        <v>1859</v>
      </c>
      <c r="F58" s="14" t="s">
        <v>48</v>
      </c>
      <c r="G58" s="2260"/>
      <c r="H58" s="2263" t="s">
        <v>1865</v>
      </c>
      <c r="I58" s="1020"/>
      <c r="J58" s="2916"/>
      <c r="K58" s="2916"/>
      <c r="L58" s="2264" t="s">
        <v>1866</v>
      </c>
      <c r="M58" s="784"/>
      <c r="N58" s="2266" t="str">
        <f ca="1">IF(H19="元",NUMBERSTRING(INT(N57),2)&amp;"元整",NUMBERSTRING(INT(N57*10000),2)&amp;"元整")</f>
        <v>贰佰玖拾伍万陆仟捌佰玖拾肆元整</v>
      </c>
      <c r="O58" s="2267"/>
      <c r="P58" s="1842"/>
    </row>
    <row r="59" spans="1:16" ht="26.25" thickBot="1">
      <c r="A59" s="2808" t="s">
        <v>1867</v>
      </c>
      <c r="B59" s="2811"/>
      <c r="C59" s="2811"/>
      <c r="D59" s="104">
        <f ca="1">IF(H59="非个人房产","——",IF(H59="个人住宅",0,ROUND(D45*I59,0)))</f>
        <v>46949</v>
      </c>
      <c r="E59" s="105" t="str">
        <f>IF(H59="非个人房产","——","销售额×税（费）率")</f>
        <v>销售额×税（费）率</v>
      </c>
      <c r="F59" s="106">
        <f>IF(H59="非个人房产","——",IF(H59="个人住宅","免征",I59))</f>
        <v>0.01</v>
      </c>
      <c r="G59" s="2268" t="s">
        <v>1860</v>
      </c>
      <c r="H59" s="2263" t="s">
        <v>1868</v>
      </c>
      <c r="I59" s="107">
        <v>0.01</v>
      </c>
      <c r="J59" s="2914">
        <f>J57+1</f>
        <v>6</v>
      </c>
      <c r="K59" s="2916" t="s">
        <v>1869</v>
      </c>
      <c r="L59" s="1880" t="s">
        <v>1863</v>
      </c>
      <c r="M59" s="785"/>
      <c r="N59" s="786">
        <f ca="1">M49-N57</f>
        <v>1738009</v>
      </c>
      <c r="O59" s="2269"/>
      <c r="P59" s="1842"/>
    </row>
    <row r="60" spans="1:16" ht="12" customHeight="1">
      <c r="A60" s="2064"/>
      <c r="B60" s="2193"/>
      <c r="C60" s="2193"/>
      <c r="D60" s="2193"/>
      <c r="E60" s="1020"/>
      <c r="F60" s="1020"/>
      <c r="G60" s="1020"/>
      <c r="H60" s="2246"/>
      <c r="I60" s="2193"/>
      <c r="J60" s="2915"/>
      <c r="K60" s="2916"/>
      <c r="L60" s="2264" t="s">
        <v>1866</v>
      </c>
      <c r="M60" s="784"/>
      <c r="N60" s="2266" t="str">
        <f ca="1">IF(H19="元",NUMBERSTRING(INT(N59),2)&amp;"元整",NUMBERSTRING(INT(N59*10000),2)&amp;"元整")</f>
        <v>壹佰柒拾叁万捌仟零玖元整</v>
      </c>
      <c r="O60" s="2267"/>
      <c r="P60" s="1842"/>
    </row>
    <row r="61" spans="1:16" ht="13.5" thickBot="1">
      <c r="A61" s="2897" t="s">
        <v>1870</v>
      </c>
      <c r="B61" s="2897"/>
      <c r="C61" s="2897"/>
      <c r="D61" s="2897"/>
      <c r="E61" s="2897"/>
      <c r="F61" s="1020"/>
      <c r="G61" s="1020"/>
      <c r="H61" s="2246"/>
      <c r="I61" s="2193"/>
      <c r="J61" s="1880">
        <f>J59+1</f>
        <v>7</v>
      </c>
      <c r="K61" s="2916" t="s">
        <v>1871</v>
      </c>
      <c r="L61" s="2916"/>
      <c r="M61" s="787"/>
      <c r="N61" s="788">
        <f ca="1">IF(H19="元",ROUND(N59/项目基本情况!C12,0),ROUND(N59*10000/项目基本情况!C12,0))</f>
        <v>3859</v>
      </c>
      <c r="O61" s="2270"/>
      <c r="P61" s="1842"/>
    </row>
    <row r="62" spans="1:16" ht="12.75">
      <c r="A62" s="2904" t="s">
        <v>1872</v>
      </c>
      <c r="B62" s="2905"/>
      <c r="C62" s="1882"/>
      <c r="D62" s="1882" t="s">
        <v>1873</v>
      </c>
      <c r="E62" s="108" t="s">
        <v>1874</v>
      </c>
      <c r="F62" s="1020"/>
      <c r="G62" s="1020"/>
      <c r="H62" s="2246"/>
      <c r="I62" s="2193"/>
      <c r="J62" s="1842"/>
      <c r="K62" s="1842"/>
      <c r="L62" s="1842"/>
      <c r="M62" s="1842"/>
      <c r="N62" s="1842"/>
      <c r="O62" s="1842"/>
      <c r="P62" s="1842"/>
    </row>
    <row r="63" spans="1:16" ht="12.75">
      <c r="A63" s="109">
        <v>1</v>
      </c>
      <c r="B63" s="110" t="s">
        <v>1875</v>
      </c>
      <c r="C63" s="111">
        <f ca="1">ROUND((C64+C65)/(1+'数据-取费表'!F30),0)</f>
        <v>4471336</v>
      </c>
      <c r="D63" s="112"/>
      <c r="E63" s="113"/>
      <c r="F63" s="1020"/>
      <c r="G63" s="1020"/>
      <c r="H63" s="2246"/>
      <c r="I63" s="2193"/>
      <c r="J63" s="2936" t="s">
        <v>1876</v>
      </c>
      <c r="K63" s="2271" t="s">
        <v>1877</v>
      </c>
      <c r="L63" s="1841">
        <f ca="1">IF(M49&gt;10000,M49*0.5%,IF(AND(M49&gt;1000,M49&lt;=10000),M49*1%,IF(AND(M49&gt;100,M49&lt;=1000),M49*3%,IF(AND(M49&gt;10,M49&lt;=100),M49*5%,M49*8%))))</f>
        <v>23474.514999999999</v>
      </c>
      <c r="M63" s="14">
        <f ca="1">ROUND(L63,1)</f>
        <v>23474.5</v>
      </c>
      <c r="N63" s="1842"/>
      <c r="O63" s="1842"/>
      <c r="P63" s="1842"/>
    </row>
    <row r="64" spans="1:16" ht="12.75">
      <c r="A64" s="114" t="s">
        <v>71</v>
      </c>
      <c r="B64" s="115" t="s">
        <v>1878</v>
      </c>
      <c r="C64" s="116">
        <f ca="1">D45</f>
        <v>4694903</v>
      </c>
      <c r="D64" s="117" t="s">
        <v>41</v>
      </c>
      <c r="E64" s="118"/>
      <c r="F64" s="1020"/>
      <c r="G64" s="1020"/>
      <c r="H64" s="2246"/>
      <c r="I64" s="2193"/>
      <c r="J64" s="2936"/>
      <c r="K64" s="2271" t="s">
        <v>1879</v>
      </c>
      <c r="L64" s="1841">
        <f ca="1">IF(M49&gt;2000,M49*0.5%,IF(AND(M49&gt;1000,M49&lt;=2000),M49*0.6%,IF(AND(M49&gt;500,M49&lt;=1000),M49*0.7%,IF(AND(M49&gt;200,M49&lt;=500),M49*0.8%,IF(AND(M49&gt;100,M49&lt;=200),M49*0.9%,IF(AND(M49&gt;50,M49&lt;=100),M49*1%,IF(AND(M49&gt;20,M49&lt;=50),M49*1.5%,IF(AND(M49&gt;10,M49&lt;=20),M49*2%,IF(AND(M49&gt;1,M49&lt;=10),M49*2.5%)))))))))</f>
        <v>23474.514999999999</v>
      </c>
      <c r="M64" s="14">
        <f t="shared" ref="M64:M65" ca="1" si="2">ROUND(L64,1)</f>
        <v>23474.5</v>
      </c>
      <c r="N64" s="1842" t="s">
        <v>1880</v>
      </c>
      <c r="O64" s="1842"/>
      <c r="P64" s="1842"/>
    </row>
    <row r="65" spans="1:35" ht="12.75">
      <c r="A65" s="114" t="s">
        <v>72</v>
      </c>
      <c r="B65" s="115" t="s">
        <v>1881</v>
      </c>
      <c r="C65" s="119"/>
      <c r="D65" s="117"/>
      <c r="E65" s="118"/>
      <c r="F65" s="1020"/>
      <c r="G65" s="1020"/>
      <c r="H65" s="2246"/>
      <c r="I65" s="2193"/>
      <c r="J65" s="2936"/>
      <c r="K65" s="2271" t="s">
        <v>1882</v>
      </c>
      <c r="L65" s="1841">
        <f ca="1">IF(M49&gt;1000,M49*0.1%,IF(AND(M49&gt;500,M49&lt;=1000),M49*0.5%,IF(AND(M49&gt;50,M49&lt;=500),M49*1%,IF(AND(M49&gt;1,M49&lt;=50),M49*1.5%))))</f>
        <v>4694.9030000000002</v>
      </c>
      <c r="M65" s="14">
        <f t="shared" ca="1" si="2"/>
        <v>4694.8999999999996</v>
      </c>
      <c r="N65" s="1842" t="s">
        <v>1880</v>
      </c>
      <c r="O65" s="1842"/>
      <c r="P65" s="1842"/>
    </row>
    <row r="66" spans="1:35" ht="12.75">
      <c r="A66" s="120" t="s">
        <v>47</v>
      </c>
      <c r="B66" s="121" t="s">
        <v>1883</v>
      </c>
      <c r="C66" s="122"/>
      <c r="D66" s="123" t="s">
        <v>41</v>
      </c>
      <c r="E66" s="1858" t="s">
        <v>1884</v>
      </c>
      <c r="F66" s="1020"/>
      <c r="G66" s="1020"/>
      <c r="H66" s="2246"/>
      <c r="I66" s="2193"/>
      <c r="J66" s="2936"/>
      <c r="K66" s="2271" t="s">
        <v>1885</v>
      </c>
      <c r="L66" s="1841">
        <f ca="1">M49*0.5%</f>
        <v>23474.514999999999</v>
      </c>
      <c r="M66" s="14">
        <f ca="1">IF(L66&gt;0.5,0.5,ROUND(L66,0))</f>
        <v>0.5</v>
      </c>
      <c r="N66" s="1842" t="s">
        <v>1886</v>
      </c>
      <c r="O66" s="1842"/>
      <c r="P66" s="1842"/>
    </row>
    <row r="67" spans="1:35" ht="12.75">
      <c r="A67" s="120" t="s">
        <v>42</v>
      </c>
      <c r="B67" s="121" t="s">
        <v>1887</v>
      </c>
      <c r="C67" s="124">
        <f ca="1">C63-C66</f>
        <v>4471336</v>
      </c>
      <c r="D67" s="117" t="s">
        <v>41</v>
      </c>
      <c r="E67" s="118"/>
      <c r="F67" s="1020"/>
      <c r="G67" s="1020"/>
      <c r="H67" s="2246"/>
      <c r="I67" s="2193"/>
      <c r="J67" s="2936"/>
      <c r="K67" s="2271" t="s">
        <v>1888</v>
      </c>
      <c r="L67" s="1841">
        <f ca="1">IF(M49&gt;=10000,(8.25+(M49-10000)*0.01%),IF(AND(M49&gt;=8000,M49&lt;10000),(7.85+(M49-8000)*0.02%),IF(AND(M49&gt;=5000,M49&lt;8000),(6.65+(M49-5000)*0.04%),IF(AND(M49&gt;=2000,M49&lt;5000),(4.25+(PM49-2000)*0.08%),IF(AND(M49&gt;=1000,M49&lt;2000),(2.75+(M49-1000)*0.15%),IF(AND(M49&gt;=100,M49&lt;1000),(0.5+(M49-100)*0.25%),IF(AND(M49&gt;0,M49&lt;100),M49*0.5%)))))))</f>
        <v>476.74030000000005</v>
      </c>
      <c r="M67" s="14">
        <f ca="1">ROUND(L67*0.9,1)</f>
        <v>429.1</v>
      </c>
      <c r="N67" s="1842"/>
      <c r="O67" s="1842"/>
      <c r="P67" s="1842"/>
    </row>
    <row r="68" spans="1:35" ht="13.5" thickBot="1">
      <c r="A68" s="125" t="s">
        <v>46</v>
      </c>
      <c r="B68" s="126" t="s">
        <v>1889</v>
      </c>
      <c r="C68" s="127">
        <f ca="1">IF(C67&lt;=0,0,ROUND(C67*D68,0))</f>
        <v>248159</v>
      </c>
      <c r="D68" s="128">
        <f>'数据-取费表'!E29</f>
        <v>5.5500000000000008E-2</v>
      </c>
      <c r="E68" s="129"/>
      <c r="F68" s="1020"/>
      <c r="G68" s="1020"/>
      <c r="H68" s="2246"/>
      <c r="I68" s="2193"/>
      <c r="J68" s="2936"/>
      <c r="K68" s="2271" t="s">
        <v>1890</v>
      </c>
      <c r="L68" s="1841">
        <f ca="1">IF(M49&gt;10000,M49*0.5%,IF(AND(M49&gt;5000,M49&lt;=10000),M49*1%,IF(AND(M49&gt;1000,M49&lt;=5000),M49*2%,IF(AND(M49&gt;200,M49&lt;=1000),M49*3%,M49*5%))))</f>
        <v>23474.514999999999</v>
      </c>
      <c r="M68" s="14">
        <f ca="1">ROUND(L68,1)</f>
        <v>23474.5</v>
      </c>
      <c r="N68" s="1842"/>
      <c r="O68" s="1842"/>
      <c r="P68" s="1842"/>
    </row>
    <row r="69" spans="1:35" s="2220" customFormat="1" ht="7.5" customHeight="1">
      <c r="A69" s="2272"/>
      <c r="B69" s="2273"/>
      <c r="C69" s="2274"/>
      <c r="D69" s="2275"/>
      <c r="E69" s="2276"/>
      <c r="F69" s="1020"/>
      <c r="G69" s="1020"/>
      <c r="H69" s="2246"/>
      <c r="I69" s="2193"/>
      <c r="J69" s="2936"/>
      <c r="K69" s="2271" t="s">
        <v>1891</v>
      </c>
      <c r="L69" s="2277"/>
      <c r="M69" s="14">
        <f ca="1">ROUND(SUM(M63:M68),0)</f>
        <v>75548</v>
      </c>
      <c r="N69" s="1838">
        <f ca="1">M69/M49</f>
        <v>1.6091493264078088E-2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9" customFormat="1" ht="15" thickBot="1">
      <c r="A70" s="2908" t="s">
        <v>1892</v>
      </c>
      <c r="B70" s="2909"/>
      <c r="C70" s="2909"/>
      <c r="D70" s="2909"/>
      <c r="E70" s="2909"/>
      <c r="F70" s="2909"/>
      <c r="G70" s="2909"/>
      <c r="H70" s="2909"/>
      <c r="I70" s="2278"/>
      <c r="O70" s="1284"/>
      <c r="P70" s="1284"/>
      <c r="Q70" s="1284"/>
      <c r="R70" s="1284"/>
      <c r="S70" s="1284"/>
      <c r="T70" s="1284"/>
      <c r="U70" s="1284"/>
      <c r="V70" s="1284"/>
      <c r="W70" s="1284"/>
      <c r="X70" s="1284"/>
      <c r="Y70" s="1284"/>
      <c r="Z70" s="1284"/>
      <c r="AA70" s="2280"/>
      <c r="AB70" s="2280"/>
      <c r="AC70" s="2280"/>
      <c r="AD70" s="2280"/>
      <c r="AE70" s="2280"/>
      <c r="AF70" s="2280"/>
      <c r="AG70" s="2280"/>
      <c r="AH70" s="2280"/>
      <c r="AI70" s="2280"/>
    </row>
    <row r="71" spans="1:35" s="2279" customFormat="1" ht="14.25">
      <c r="A71" s="2904" t="s">
        <v>1872</v>
      </c>
      <c r="B71" s="2905"/>
      <c r="C71" s="1882"/>
      <c r="D71" s="1882" t="s">
        <v>1873</v>
      </c>
      <c r="E71" s="130" t="s">
        <v>1874</v>
      </c>
      <c r="F71" s="131"/>
      <c r="G71" s="131"/>
      <c r="H71" s="132"/>
      <c r="I71" s="2281"/>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133">
        <v>1</v>
      </c>
      <c r="B72" s="121" t="s">
        <v>1893</v>
      </c>
      <c r="C72" s="124">
        <f ca="1">ROUND(D45/(1+'数据-取费表'!F30),0)</f>
        <v>4471336</v>
      </c>
      <c r="D72" s="117" t="s">
        <v>41</v>
      </c>
      <c r="E72" s="12" t="s">
        <v>1894</v>
      </c>
      <c r="F72" s="1886"/>
      <c r="G72" s="1886"/>
      <c r="H72" s="134"/>
      <c r="I72" s="2281"/>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5">
        <v>2</v>
      </c>
      <c r="B73" s="89" t="s">
        <v>1895</v>
      </c>
      <c r="C73" s="124">
        <f ca="1">C74+C78</f>
        <v>24592</v>
      </c>
      <c r="D73" s="117" t="s">
        <v>41</v>
      </c>
      <c r="E73" s="1885"/>
      <c r="F73" s="1886"/>
      <c r="G73" s="1886"/>
      <c r="H73" s="134"/>
      <c r="I73" s="2281"/>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24">
      <c r="A74" s="136" t="s">
        <v>73</v>
      </c>
      <c r="B74" s="115" t="s">
        <v>1896</v>
      </c>
      <c r="C74" s="117">
        <f>ROUND(IF(G77="2016年5月1日后购买",C75/(1+'数据-取费表'!F30)+C76+C77,C75+C76+C77),0)</f>
        <v>0</v>
      </c>
      <c r="D74" s="117" t="s">
        <v>41</v>
      </c>
      <c r="E74" s="1885"/>
      <c r="F74" s="1886"/>
      <c r="G74" s="1886"/>
      <c r="H74" s="134"/>
      <c r="I74" s="2281"/>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74</v>
      </c>
      <c r="B75" s="115" t="s">
        <v>1897</v>
      </c>
      <c r="C75" s="137"/>
      <c r="D75" s="117" t="s">
        <v>41</v>
      </c>
      <c r="E75" s="138" t="s">
        <v>1898</v>
      </c>
      <c r="F75" s="2282" t="s">
        <v>1899</v>
      </c>
      <c r="G75" s="138" t="s">
        <v>1900</v>
      </c>
      <c r="H75" s="139"/>
      <c r="I75" s="9"/>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24.75" customHeight="1">
      <c r="A76" s="136" t="s">
        <v>75</v>
      </c>
      <c r="B76" s="140" t="s">
        <v>1901</v>
      </c>
      <c r="C76" s="117">
        <f>IF(F75="购房发票",ROUND(C75*H75*D76,0),0)</f>
        <v>0</v>
      </c>
      <c r="D76" s="141">
        <v>0.05</v>
      </c>
      <c r="E76" s="2885" t="s">
        <v>1902</v>
      </c>
      <c r="F76" s="2884"/>
      <c r="G76" s="2884"/>
      <c r="H76" s="2899"/>
      <c r="I76" s="2281"/>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3" t="s">
        <v>1905</v>
      </c>
      <c r="H77" s="1887" t="str">
        <f>IF(G77="个人买卖住房","免征印花税"," ")</f>
        <v xml:space="preserve"> </v>
      </c>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77</v>
      </c>
      <c r="B78" s="115" t="s">
        <v>1906</v>
      </c>
      <c r="C78" s="144">
        <f ca="1">ROUND(D45*D78/(1+'数据-取费表'!F30),0)</f>
        <v>24592</v>
      </c>
      <c r="D78" s="145">
        <f>'数据-取费表'!E31</f>
        <v>5.5000000000000014E-3</v>
      </c>
      <c r="E78" s="2876" t="s">
        <v>1907</v>
      </c>
      <c r="F78" s="2877"/>
      <c r="G78" s="2877"/>
      <c r="H78" s="2878"/>
      <c r="I78" s="2284"/>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14.25">
      <c r="A79" s="146" t="s">
        <v>42</v>
      </c>
      <c r="B79" s="121" t="s">
        <v>1908</v>
      </c>
      <c r="C79" s="124">
        <f ca="1">C72-C73</f>
        <v>4446744</v>
      </c>
      <c r="D79" s="117" t="s">
        <v>41</v>
      </c>
      <c r="E79" s="1885"/>
      <c r="F79" s="1886"/>
      <c r="G79" s="1886"/>
      <c r="H79" s="134"/>
      <c r="I79" s="2281"/>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24">
      <c r="A80" s="146" t="s">
        <v>43</v>
      </c>
      <c r="B80" s="121" t="s">
        <v>1909</v>
      </c>
      <c r="C80" s="147">
        <f ca="1">IF(C79&lt;=0,0,C79/C73)</f>
        <v>180.82075471698113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24.75" thickBot="1">
      <c r="A81" s="148" t="s">
        <v>44</v>
      </c>
      <c r="B81" s="126" t="s">
        <v>1910</v>
      </c>
      <c r="C81" s="149">
        <f ca="1">ROUND(IF(C79&lt;=0,0,IF(C80&gt;=200%,C79*60%-C73*35%,IF(C80&gt;=100%,C79*50%-C73*15%,IF(C80&gt;=50%,C79*40%-C73*5%,IF(C80&lt;50%,C79*30%,0))))),0)</f>
        <v>2659439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15" thickBot="1">
      <c r="A83" s="2908" t="s">
        <v>1911</v>
      </c>
      <c r="B83" s="2909"/>
      <c r="C83" s="2909"/>
      <c r="D83" s="2909"/>
      <c r="E83" s="2909"/>
      <c r="F83" s="2909"/>
      <c r="G83" s="2909"/>
      <c r="H83" s="2909"/>
      <c r="I83" s="9"/>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4.25">
      <c r="A84" s="2904" t="s">
        <v>1872</v>
      </c>
      <c r="B84" s="2905"/>
      <c r="C84" s="1882"/>
      <c r="D84" s="1882" t="s">
        <v>1873</v>
      </c>
      <c r="E84" s="130" t="s">
        <v>1874</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24">
      <c r="A85" s="133">
        <v>1</v>
      </c>
      <c r="B85" s="121" t="s">
        <v>1893</v>
      </c>
      <c r="C85" s="124">
        <f ca="1">ROUND(D45/(1+'数据-取费表'!F30),0)</f>
        <v>4471336</v>
      </c>
      <c r="D85" s="117" t="s">
        <v>41</v>
      </c>
      <c r="E85" s="1885" t="s">
        <v>1894</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5">
        <v>2</v>
      </c>
      <c r="B86" s="89" t="s">
        <v>1895</v>
      </c>
      <c r="C86" s="124">
        <f ca="1">IF(H88="仅含出让金",C87+C90+C91+C92+C93+C94,C87+C91+C92+C93+C94)</f>
        <v>24592</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6" t="s">
        <v>73</v>
      </c>
      <c r="B87" s="115" t="s">
        <v>1912</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74</v>
      </c>
      <c r="B88" s="115" t="s">
        <v>1913</v>
      </c>
      <c r="C88" s="157"/>
      <c r="D88" s="145"/>
      <c r="E88" s="158" t="s">
        <v>1914</v>
      </c>
      <c r="F88" s="1879"/>
      <c r="G88" s="159" t="s">
        <v>1915</v>
      </c>
      <c r="H88" s="2285"/>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75</v>
      </c>
      <c r="B89" s="115" t="s">
        <v>1903</v>
      </c>
      <c r="C89" s="144">
        <f>ROUND(C88*D89,0)</f>
        <v>0</v>
      </c>
      <c r="D89" s="145">
        <f>'数据-取费表'!E36+'数据-取费表'!E37</f>
        <v>3.0499999999999999E-2</v>
      </c>
      <c r="E89" s="158" t="s">
        <v>1916</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77</v>
      </c>
      <c r="B90" s="115" t="s">
        <v>1917</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30.75" customHeight="1">
      <c r="A91" s="136" t="s">
        <v>78</v>
      </c>
      <c r="B91" s="115" t="s">
        <v>1918</v>
      </c>
      <c r="C91" s="144">
        <f>IF(H91="——",成本法!C33,I91)</f>
        <v>0</v>
      </c>
      <c r="D91" s="145"/>
      <c r="E91" s="2876" t="s">
        <v>1919</v>
      </c>
      <c r="F91" s="2877"/>
      <c r="G91" s="2877"/>
      <c r="H91" s="2286" t="s">
        <v>1920</v>
      </c>
      <c r="I91" s="2287"/>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25.5" customHeight="1">
      <c r="A92" s="136" t="s">
        <v>79</v>
      </c>
      <c r="B92" s="115" t="s">
        <v>1921</v>
      </c>
      <c r="C92" s="144">
        <f>ROUND((C87+C90+C91)*D92,0)</f>
        <v>0</v>
      </c>
      <c r="D92" s="145">
        <v>0.1</v>
      </c>
      <c r="E92" s="2876" t="s">
        <v>1922</v>
      </c>
      <c r="F92" s="2877"/>
      <c r="G92" s="2877"/>
      <c r="H92" s="2878"/>
      <c r="I92" s="9"/>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80</v>
      </c>
      <c r="B93" s="115" t="s">
        <v>1906</v>
      </c>
      <c r="C93" s="144">
        <f ca="1">ROUND(D45*D93/(1+'数据-取费表'!F30),0)</f>
        <v>24592</v>
      </c>
      <c r="D93" s="145">
        <f>'数据-取费表'!E31</f>
        <v>5.5000000000000014E-3</v>
      </c>
      <c r="E93" s="2876" t="s">
        <v>1907</v>
      </c>
      <c r="F93" s="2877"/>
      <c r="G93" s="2877"/>
      <c r="H93" s="2878"/>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81</v>
      </c>
      <c r="B94" s="115" t="s">
        <v>1923</v>
      </c>
      <c r="C94" s="144">
        <f>ROUND((C87+C90+C91)*D94,0)</f>
        <v>0</v>
      </c>
      <c r="D94" s="145">
        <v>0.2</v>
      </c>
      <c r="E94" s="2876" t="s">
        <v>1924</v>
      </c>
      <c r="F94" s="2877"/>
      <c r="G94" s="2877"/>
      <c r="H94" s="2878"/>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14.25">
      <c r="A95" s="146" t="s">
        <v>42</v>
      </c>
      <c r="B95" s="121" t="s">
        <v>1908</v>
      </c>
      <c r="C95" s="124">
        <f ca="1">ROUND(C85-C86,0)</f>
        <v>4446744</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24">
      <c r="A96" s="146" t="s">
        <v>43</v>
      </c>
      <c r="B96" s="121" t="s">
        <v>1909</v>
      </c>
      <c r="C96" s="147">
        <f ca="1">IF(C95&lt;=0,0,C95/C86)</f>
        <v>180.82075471698113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24.75" thickBot="1">
      <c r="A97" s="148" t="s">
        <v>44</v>
      </c>
      <c r="B97" s="126" t="s">
        <v>1910</v>
      </c>
      <c r="C97" s="149">
        <f ca="1">ROUND(IF(C95&lt;=0,0,IF(C96&gt;=200%,C95*60%-C86*35%,IF(C96&gt;=100%,C95*50%-C86*15%,IF(C96&gt;=50%,C95*40%-C86*5%,IF(C96&lt;50%,C95*30%,0))))),0)</f>
        <v>2659439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ht="21.75" customHeight="1" thickBot="1">
      <c r="A98" s="2249" t="s">
        <v>1925</v>
      </c>
      <c r="B98" s="2193"/>
      <c r="C98" s="2193"/>
      <c r="D98" s="2193"/>
      <c r="E98" s="1020"/>
      <c r="F98" s="1020"/>
      <c r="G98" s="1020"/>
      <c r="H98" s="2246"/>
      <c r="I98" s="2193"/>
    </row>
    <row r="99" spans="1:35" ht="15.75">
      <c r="A99" s="2931" t="s">
        <v>1926</v>
      </c>
      <c r="B99" s="2932"/>
      <c r="C99" s="2932"/>
      <c r="D99" s="2933"/>
      <c r="E99" s="2193"/>
      <c r="F99" s="2942" t="s">
        <v>1927</v>
      </c>
      <c r="G99" s="2943"/>
      <c r="H99" s="2943"/>
      <c r="I99" s="2944"/>
    </row>
    <row r="100" spans="1:35" ht="15.75">
      <c r="A100" s="2945" t="s">
        <v>1928</v>
      </c>
      <c r="B100" s="2946"/>
      <c r="C100" s="719" t="str">
        <f>C4</f>
        <v>收益法</v>
      </c>
      <c r="D100" s="720" t="str">
        <f>D4</f>
        <v>比较法-商业</v>
      </c>
      <c r="E100" s="2193"/>
      <c r="F100" s="2841" t="s">
        <v>1929</v>
      </c>
      <c r="G100" s="2842"/>
      <c r="H100" s="2841" t="s">
        <v>1930</v>
      </c>
      <c r="I100" s="2840"/>
    </row>
    <row r="101" spans="1:35" ht="15.75">
      <c r="A101" s="2923" t="s">
        <v>1931</v>
      </c>
      <c r="B101" s="2288" t="str">
        <f>IF(H19="元","总价（元）","总价（万元）")</f>
        <v>总价（元）</v>
      </c>
      <c r="C101" s="719">
        <f ca="1">C19</f>
        <v>2020214</v>
      </c>
      <c r="D101" s="720">
        <f ca="1">D19</f>
        <v>5363575</v>
      </c>
      <c r="E101" s="2193"/>
      <c r="F101" s="2841" t="str">
        <f>项目基本情况!I1</f>
        <v>北京市房地产</v>
      </c>
      <c r="G101" s="2842"/>
      <c r="H101" s="2839">
        <f>项目基本情况!C12</f>
        <v>450.38</v>
      </c>
      <c r="I101" s="2840"/>
    </row>
    <row r="102" spans="1:35" ht="15.75">
      <c r="A102" s="2923"/>
      <c r="B102" s="2288" t="s">
        <v>1932</v>
      </c>
      <c r="C102" s="721">
        <f ca="1">C20</f>
        <v>4486</v>
      </c>
      <c r="D102" s="722">
        <f ca="1">D20</f>
        <v>11909</v>
      </c>
      <c r="E102" s="2193"/>
      <c r="F102" s="2868" t="s">
        <v>1933</v>
      </c>
      <c r="G102" s="2869"/>
      <c r="H102" s="2289" t="str">
        <f>C106</f>
        <v>总价（元）</v>
      </c>
      <c r="I102" s="1859">
        <f ca="1">H121</f>
        <v>4694903</v>
      </c>
    </row>
    <row r="103" spans="1:35" ht="15">
      <c r="A103" s="2923" t="s">
        <v>1934</v>
      </c>
      <c r="B103" s="2290" t="str">
        <f>B101</f>
        <v>总价（元）</v>
      </c>
      <c r="C103" s="723">
        <f ca="1">H121</f>
        <v>4694903</v>
      </c>
      <c r="D103" s="724"/>
      <c r="E103" s="2193"/>
      <c r="F103" s="2868"/>
      <c r="G103" s="2869"/>
      <c r="H103" s="2289" t="s">
        <v>1932</v>
      </c>
      <c r="I103" s="1048">
        <f ca="1">I121</f>
        <v>10424</v>
      </c>
    </row>
    <row r="104" spans="1:35" ht="16.5" thickBot="1">
      <c r="A104" s="2924"/>
      <c r="B104" s="2291" t="s">
        <v>1932</v>
      </c>
      <c r="C104" s="725">
        <f ca="1">I121</f>
        <v>10424</v>
      </c>
      <c r="D104" s="726"/>
      <c r="E104" s="2193"/>
      <c r="F104" s="2940"/>
      <c r="G104" s="2941"/>
      <c r="H104" s="2925"/>
      <c r="I104" s="2926"/>
    </row>
    <row r="105" spans="1:35" ht="15.75">
      <c r="A105" s="2931" t="s">
        <v>1935</v>
      </c>
      <c r="B105" s="2932"/>
      <c r="C105" s="2932"/>
      <c r="D105" s="2933"/>
      <c r="E105" s="2193"/>
      <c r="F105" s="2929" t="s">
        <v>1936</v>
      </c>
      <c r="G105" s="2930"/>
      <c r="H105" s="2292" t="str">
        <f>C108</f>
        <v>总额（元）</v>
      </c>
      <c r="I105" s="1859">
        <f>SUMIF(I106:I108,"&lt;9E307")</f>
        <v>0</v>
      </c>
    </row>
    <row r="106" spans="1:35" ht="15">
      <c r="A106" s="2855" t="s">
        <v>1937</v>
      </c>
      <c r="B106" s="2856"/>
      <c r="C106" s="2289" t="str">
        <f>B101</f>
        <v>总价（元）</v>
      </c>
      <c r="D106" s="1049">
        <f ca="1">H121</f>
        <v>4694903</v>
      </c>
      <c r="E106" s="2193"/>
      <c r="F106" s="2857" t="s">
        <v>1938</v>
      </c>
      <c r="G106" s="2858"/>
      <c r="H106" s="2292" t="str">
        <f>C109</f>
        <v>总额（元）</v>
      </c>
      <c r="I106" s="1048">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55"/>
      <c r="B107" s="2856"/>
      <c r="C107" s="2289" t="s">
        <v>1932</v>
      </c>
      <c r="D107" s="1050">
        <f ca="1">I121</f>
        <v>10424</v>
      </c>
      <c r="E107" s="2193"/>
      <c r="F107" s="2857" t="s">
        <v>1939</v>
      </c>
      <c r="G107" s="2858"/>
      <c r="H107" s="2292" t="str">
        <f>C110</f>
        <v>总额（元）</v>
      </c>
      <c r="I107" s="1048">
        <f>C37</f>
        <v>0</v>
      </c>
      <c r="K107" s="2293"/>
    </row>
    <row r="108" spans="1:35" ht="15">
      <c r="A108" s="2862" t="s">
        <v>1940</v>
      </c>
      <c r="B108" s="2863"/>
      <c r="C108" s="2292" t="str">
        <f>IF(H19="元","总额（元）","总额（万元）")</f>
        <v>总额（元）</v>
      </c>
      <c r="D108" s="1049">
        <f>IF(D36="正常操作",I106+I107+I108,I107+I108)</f>
        <v>0</v>
      </c>
      <c r="E108" s="2193"/>
      <c r="F108" s="2857" t="s">
        <v>1941</v>
      </c>
      <c r="G108" s="2858"/>
      <c r="H108" s="2292" t="str">
        <f>C111</f>
        <v>总额（元）</v>
      </c>
      <c r="I108" s="1048">
        <f>C38</f>
        <v>0</v>
      </c>
    </row>
    <row r="109" spans="1:35" ht="15.75">
      <c r="A109" s="2857" t="s">
        <v>1938</v>
      </c>
      <c r="B109" s="2858"/>
      <c r="C109" s="2292" t="str">
        <f>C108</f>
        <v>总额（元）</v>
      </c>
      <c r="D109" s="637">
        <f>IF(D36="同一抵押权人同一抵押物续贷",C36&amp;"（未扣减，详见特别提示）",C36)</f>
        <v>0</v>
      </c>
      <c r="E109" s="2193"/>
      <c r="F109" s="2940"/>
      <c r="G109" s="2941"/>
      <c r="H109" s="2927"/>
      <c r="I109" s="2928"/>
    </row>
    <row r="110" spans="1:35" ht="28.5" customHeight="1">
      <c r="A110" s="2857" t="s">
        <v>1939</v>
      </c>
      <c r="B110" s="2858"/>
      <c r="C110" s="2292" t="str">
        <f>C108</f>
        <v>总额（元）</v>
      </c>
      <c r="D110" s="637">
        <f>C37</f>
        <v>0</v>
      </c>
      <c r="E110" s="2193"/>
      <c r="F110" s="2843" t="str">
        <f>IF(项目基本情况!F5="已注销","——","3.房地产抵押价值")</f>
        <v>3.房地产抵押价值</v>
      </c>
      <c r="G110" s="2844"/>
      <c r="H110" s="2294" t="str">
        <f>C112</f>
        <v>总价（元）</v>
      </c>
      <c r="I110" s="1860">
        <f ca="1">IF(F110="——","——",I102-I105)</f>
        <v>4694903</v>
      </c>
    </row>
    <row r="111" spans="1:35" ht="15">
      <c r="A111" s="2857" t="s">
        <v>1941</v>
      </c>
      <c r="B111" s="2858"/>
      <c r="C111" s="2292" t="str">
        <f>C108</f>
        <v>总额（元）</v>
      </c>
      <c r="D111" s="637">
        <f>C38</f>
        <v>0</v>
      </c>
      <c r="E111" s="2193"/>
      <c r="F111" s="2959"/>
      <c r="G111" s="2960"/>
      <c r="H111" s="2289" t="s">
        <v>1932</v>
      </c>
      <c r="I111" s="2295">
        <f ca="1">D113</f>
        <v>10424</v>
      </c>
    </row>
    <row r="112" spans="1:35" ht="26.25" customHeight="1">
      <c r="A112" s="2855" t="str">
        <f>IF(项目基本情况!F5="已注销","——","3.房地产抵押价值")</f>
        <v>3.房地产抵押价值</v>
      </c>
      <c r="B112" s="2856"/>
      <c r="C112" s="2289" t="str">
        <f>B101</f>
        <v>总价（元）</v>
      </c>
      <c r="D112" s="1049">
        <f ca="1">IF(A112="——","——",D106-D108)</f>
        <v>4694903</v>
      </c>
      <c r="E112" s="2193"/>
      <c r="F112" s="2843" t="str">
        <f>IF(项目基本情况!F5="已注销及未注销","4.抵押担保权已注销时的房地产抵押价值",IF(项目基本情况!F5="已注销","3.抵押担保权已注销时的房地产抵押价值","——"))</f>
        <v>——</v>
      </c>
      <c r="G112" s="2844"/>
      <c r="H112" s="2294" t="str">
        <f>C114</f>
        <v>总价（元）</v>
      </c>
      <c r="I112" s="1860" t="str">
        <f>IF(F112="——","——",I102-I107-I108)</f>
        <v>——</v>
      </c>
    </row>
    <row r="113" spans="1:15" ht="15">
      <c r="A113" s="2855"/>
      <c r="B113" s="2856"/>
      <c r="C113" s="2289" t="s">
        <v>1932</v>
      </c>
      <c r="D113" s="1050">
        <f ca="1">ROUND(IF(D112=D106,D107,IF(H19="元",D112/项目基本情况!C12,D112*10000/项目基本情况!C12)),0)</f>
        <v>10424</v>
      </c>
      <c r="E113" s="2193"/>
      <c r="F113" s="2959"/>
      <c r="G113" s="2960"/>
      <c r="H113" s="2289" t="s">
        <v>1932</v>
      </c>
      <c r="I113" s="2296" t="str">
        <f>D115</f>
        <v>——</v>
      </c>
    </row>
    <row r="114" spans="1:15" ht="15.75">
      <c r="A114" s="2855" t="str">
        <f>IF(项目基本情况!F5="已注销及未注销","4.抵押担保权已注销时的房地产抵押价值",IF(项目基本情况!F5="已注销","3.抵押担保权已注销时的房地产抵押价值","——"))</f>
        <v>——</v>
      </c>
      <c r="B114" s="2856"/>
      <c r="C114" s="2289" t="str">
        <f>B101</f>
        <v>总价（元）</v>
      </c>
      <c r="D114" s="1049" t="str">
        <f>IF(A114="——","——",D106-D110-D111)</f>
        <v>——</v>
      </c>
      <c r="E114" s="2193"/>
      <c r="F114" s="2843" t="str">
        <f>IF(项目基本情况!G5="抵押净值",IF(OR(项目基本情况!F5="已注销",项目基本情况!F5="房地产抵押价值"),"4.抵押净值","5.抵押净值"),"——")</f>
        <v>——</v>
      </c>
      <c r="G114" s="2844"/>
      <c r="H114" s="2289" t="str">
        <f>C116</f>
        <v>总价（元）</v>
      </c>
      <c r="I114" s="1859" t="str">
        <f>IF(F114="——","——",N59)</f>
        <v>——</v>
      </c>
    </row>
    <row r="115" spans="1:15" ht="15.75" thickBot="1">
      <c r="A115" s="2855"/>
      <c r="B115" s="2856"/>
      <c r="C115" s="2289" t="s">
        <v>1932</v>
      </c>
      <c r="D115" s="1050" t="str">
        <f>IF(A114="——","——",ROUND(IF(D114=D106,D107,IF(H19="元",D114/项目基本情况!C12,D114*10000/项目基本情况!C12)),0))</f>
        <v>——</v>
      </c>
      <c r="E115" s="2193"/>
      <c r="F115" s="2845"/>
      <c r="G115" s="2846"/>
      <c r="H115" s="2297" t="s">
        <v>1932</v>
      </c>
      <c r="I115" s="1861" t="str">
        <f ca="1">D117</f>
        <v>——</v>
      </c>
    </row>
    <row r="116" spans="1:15" ht="15.75">
      <c r="A116" s="2855" t="str">
        <f>IF(项目基本情况!G5="抵押净值",IF(OR(项目基本情况!F5="已注销",项目基本情况!F5="房地产抵押价值"),"4.抵押净值","5.抵押净值"),"——")</f>
        <v>——</v>
      </c>
      <c r="B116" s="2856"/>
      <c r="C116" s="2289" t="str">
        <f>B101</f>
        <v>总价（元）</v>
      </c>
      <c r="D116" s="1049" t="str">
        <f>IF(A116="——","——",N59)</f>
        <v>——</v>
      </c>
      <c r="E116" s="2193"/>
      <c r="F116" s="2955"/>
      <c r="G116" s="2955"/>
      <c r="H116" s="2911"/>
      <c r="I116" s="2911"/>
      <c r="N116" s="55"/>
      <c r="O116" s="55"/>
    </row>
    <row r="117" spans="1:15" ht="15.75" thickBot="1">
      <c r="A117" s="2860"/>
      <c r="B117" s="2861"/>
      <c r="C117" s="2297" t="s">
        <v>1932</v>
      </c>
      <c r="D117" s="1051" t="str">
        <f ca="1">IF(D116=D112,D113,IF(A116="——","——",N61))</f>
        <v>——</v>
      </c>
      <c r="E117" s="2193"/>
      <c r="F117" s="2835" t="str">
        <f>IF(B32="总价","（以上估价结果中单价为总价除以建筑面积得出）","（以上估价结果中总价为楼面单价乘以建筑面积得出）")</f>
        <v>（以上估价结果中单价为总价除以建筑面积得出）</v>
      </c>
      <c r="G117" s="2835"/>
      <c r="H117" s="2835"/>
      <c r="I117" s="2835"/>
      <c r="N117" s="55"/>
      <c r="O117" s="55"/>
    </row>
    <row r="118" spans="1:15" ht="15">
      <c r="A118" s="2912" t="s">
        <v>1942</v>
      </c>
      <c r="B118" s="2913"/>
      <c r="C118" s="2913"/>
      <c r="D118" s="2913"/>
      <c r="E118" s="2913"/>
      <c r="F118" s="2913"/>
      <c r="G118" s="2913"/>
      <c r="H118" s="2913"/>
      <c r="I118" s="2913"/>
    </row>
    <row r="119" spans="1:15" ht="14.25">
      <c r="A119" s="2836" t="s">
        <v>1943</v>
      </c>
      <c r="B119" s="2866" t="s">
        <v>1944</v>
      </c>
      <c r="C119" s="2866" t="s">
        <v>1945</v>
      </c>
      <c r="D119" s="2938" t="s">
        <v>1946</v>
      </c>
      <c r="E119" s="2939"/>
      <c r="F119" s="2837" t="s">
        <v>1804</v>
      </c>
      <c r="G119" s="2837"/>
      <c r="H119" s="2837" t="s">
        <v>1947</v>
      </c>
      <c r="I119" s="2937"/>
    </row>
    <row r="120" spans="1:15" ht="14.25">
      <c r="A120" s="2836"/>
      <c r="B120" s="2867"/>
      <c r="C120" s="2867"/>
      <c r="D120" s="1884" t="s">
        <v>1948</v>
      </c>
      <c r="E120" s="1884" t="s">
        <v>1949</v>
      </c>
      <c r="F120" s="1884" t="s">
        <v>1948</v>
      </c>
      <c r="G120" s="1884" t="s">
        <v>1950</v>
      </c>
      <c r="H120" s="1884" t="s">
        <v>1948</v>
      </c>
      <c r="I120" s="637" t="s">
        <v>1950</v>
      </c>
    </row>
    <row r="121" spans="1:15" ht="14.25">
      <c r="A121" s="2179" t="str">
        <f>项目基本情况!I1</f>
        <v>北京市房地产</v>
      </c>
      <c r="B121" s="1884">
        <f>项目基本情况!C12</f>
        <v>450.38</v>
      </c>
      <c r="C121" s="1884">
        <f>项目基本情况!C13</f>
        <v>481.4</v>
      </c>
      <c r="D121" s="1884">
        <f ca="1">ROUND(IF(B32="总价",C34,IF('数据-取费表'!B3="万元",E121*B121/10000,E121*B121)),0)</f>
        <v>441321</v>
      </c>
      <c r="E121" s="1884">
        <f ca="1">ROUND(IF(B32="楼面单价",C34,IF(H19="元",D121/B121,D121*10000/B121)),0)</f>
        <v>980</v>
      </c>
      <c r="F121" s="1884">
        <f ca="1">ROUND(IF(B32="总价",C35,IF('数据-取费表'!B3="万元",G121*B121/10000,G121*B121)),0)</f>
        <v>4253582</v>
      </c>
      <c r="G121" s="1884">
        <f ca="1">ROUND(IF(B32="楼面单价",C35,IF(H19="元",F121/B121,F121*10000/B121)),0)</f>
        <v>9444</v>
      </c>
      <c r="H121" s="1884">
        <f ca="1">ROUND(IF(B32="总价",C32,IF('数据-取费表'!B3="万元",I121*B121/10000,I121*B121)),0)</f>
        <v>4694903</v>
      </c>
      <c r="I121" s="637">
        <f ca="1">ROUND(IF(B32="楼面单价",C32,IF(H19="元",H121/B121,H121*10000/B121)),0)</f>
        <v>10424</v>
      </c>
    </row>
    <row r="122" spans="1:15" ht="14.25">
      <c r="A122" s="2836" t="s">
        <v>1951</v>
      </c>
      <c r="B122" s="2837"/>
      <c r="C122" s="2837"/>
      <c r="D122" s="2870" t="str">
        <f ca="1">IF(H19="元",NUMBERSTRING(INT(D121),2)&amp;"元整",NUMBERSTRING(INT(D121*10000),2)&amp;"元整")</f>
        <v>肆拾肆万壹仟叁佰贰拾壹元整</v>
      </c>
      <c r="E122" s="2917"/>
      <c r="F122" s="2870" t="str">
        <f ca="1">IF(H19="元",NUMBERSTRING(INT(F121),2)&amp;"元整",NUMBERSTRING(INT(F121*10000),2)&amp;"元整")</f>
        <v>肆佰贰拾伍万叁仟伍佰捌拾贰元整</v>
      </c>
      <c r="G122" s="2917"/>
      <c r="H122" s="2870" t="str">
        <f ca="1">IF(H19="元",NUMBERSTRING(INT(H121),2)&amp;"元整",NUMBERSTRING(INT(H121*10000),2)&amp;"元整")</f>
        <v>肆佰陆拾玖万肆仟玖佰零叁元整</v>
      </c>
      <c r="I122" s="2871"/>
    </row>
    <row r="123" spans="1:15" ht="15">
      <c r="A123" s="2918" t="str">
        <f>IF(项目基本情况!D5="房地产市场价值","——",MID(A108,3,LEN(A108)-2))</f>
        <v>估价师所知悉的法定优先受偿款</v>
      </c>
      <c r="B123" s="2848"/>
      <c r="C123" s="2919"/>
      <c r="D123" s="2847">
        <f>I105</f>
        <v>0</v>
      </c>
      <c r="E123" s="2848"/>
      <c r="F123" s="2848"/>
      <c r="G123" s="2848"/>
      <c r="H123" s="2848"/>
      <c r="I123" s="2849"/>
    </row>
    <row r="124" spans="1:15" ht="14.25">
      <c r="A124" s="2920" t="s">
        <v>1951</v>
      </c>
      <c r="B124" s="2921"/>
      <c r="C124" s="2922"/>
      <c r="D124" s="2850">
        <f>H109</f>
        <v>0</v>
      </c>
      <c r="E124" s="2851"/>
      <c r="F124" s="2851"/>
      <c r="G124" s="2851"/>
      <c r="H124" s="2851"/>
      <c r="I124" s="2852"/>
    </row>
    <row r="125" spans="1:15" ht="15">
      <c r="A125" s="2853" t="str">
        <f>IF(项目基本情况!D5="房地产市场价值","——",MID(A112,3,LEN(A112)-2))</f>
        <v>房地产抵押价值</v>
      </c>
      <c r="B125" s="2854"/>
      <c r="C125" s="2854"/>
      <c r="D125" s="2847">
        <f ca="1">I110</f>
        <v>4694903</v>
      </c>
      <c r="E125" s="2848"/>
      <c r="F125" s="2848"/>
      <c r="G125" s="2848"/>
      <c r="H125" s="2848"/>
      <c r="I125" s="2849"/>
    </row>
    <row r="126" spans="1:15" ht="14.25">
      <c r="A126" s="2836" t="s">
        <v>1951</v>
      </c>
      <c r="B126" s="2837"/>
      <c r="C126" s="2837"/>
      <c r="D126" s="2850">
        <f ca="1">I111</f>
        <v>10424</v>
      </c>
      <c r="E126" s="2851"/>
      <c r="F126" s="2851"/>
      <c r="G126" s="2851"/>
      <c r="H126" s="2851"/>
      <c r="I126" s="2852"/>
    </row>
    <row r="127" spans="1:15" ht="15.75" thickBot="1">
      <c r="A127" s="2853" t="str">
        <f>IF(项目基本情况!D5="房地产市场价值","——",MID(A114,3,LEN(A114)-2))</f>
        <v/>
      </c>
      <c r="B127" s="2854"/>
      <c r="C127" s="2854"/>
      <c r="D127" s="2952" t="str">
        <f>I112</f>
        <v>——</v>
      </c>
      <c r="E127" s="2953"/>
      <c r="F127" s="2953"/>
      <c r="G127" s="2953"/>
      <c r="H127" s="2953"/>
      <c r="I127" s="2954"/>
    </row>
    <row r="128" spans="1:15" ht="15.75" thickTop="1" thickBot="1">
      <c r="A128" s="2836" t="s">
        <v>1951</v>
      </c>
      <c r="B128" s="2837"/>
      <c r="C128" s="2838"/>
      <c r="D128" s="2910" t="str">
        <f>I113</f>
        <v>——</v>
      </c>
      <c r="E128" s="2910"/>
      <c r="F128" s="2910"/>
      <c r="G128" s="2910"/>
      <c r="H128" s="2910"/>
      <c r="I128" s="2910"/>
    </row>
    <row r="129" spans="1:9" ht="16.5" thickTop="1" thickBot="1">
      <c r="A129" s="2853" t="str">
        <f>IF(项目基本情况!D5="房地产市场价值","——",MID(F114,3,LEN(F114)-2))</f>
        <v/>
      </c>
      <c r="B129" s="2854"/>
      <c r="C129" s="2847"/>
      <c r="D129" s="2859" t="str">
        <f>I114</f>
        <v>——</v>
      </c>
      <c r="E129" s="2859"/>
      <c r="F129" s="2859"/>
      <c r="G129" s="2859"/>
      <c r="H129" s="2859"/>
      <c r="I129" s="2859"/>
    </row>
    <row r="130" spans="1:9" ht="15.75" thickTop="1" thickBot="1">
      <c r="A130" s="2864" t="s">
        <v>1951</v>
      </c>
      <c r="B130" s="2865"/>
      <c r="C130" s="2865"/>
      <c r="D130" s="2872">
        <f>H116</f>
        <v>0</v>
      </c>
      <c r="E130" s="2873"/>
      <c r="F130" s="2873"/>
      <c r="G130" s="2873"/>
      <c r="H130" s="2873"/>
      <c r="I130" s="2874"/>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34" t="str">
        <f>IF(B32="总价","（以上估价结果中楼面单价为总价除以建筑面积得出）","（以上估价结果中总价为楼面单价乘以建筑面积得出）")</f>
        <v>（以上估价结果中楼面单价为总价除以建筑面积得出）</v>
      </c>
      <c r="B132" s="2834"/>
      <c r="C132" s="2834"/>
      <c r="D132" s="2834"/>
      <c r="E132" s="2834"/>
      <c r="F132" s="2834"/>
      <c r="G132" s="2834"/>
      <c r="H132" s="2834"/>
      <c r="I132" s="2834"/>
    </row>
    <row r="133" spans="1:9" ht="21.75" customHeight="1">
      <c r="A133" s="2298" t="s">
        <v>1952</v>
      </c>
      <c r="B133" s="2299"/>
      <c r="C133" s="2300" t="s">
        <v>1953</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1954</v>
      </c>
      <c r="G139" s="2312"/>
      <c r="H139" s="2312"/>
      <c r="I139" s="2313" t="s">
        <v>1955</v>
      </c>
    </row>
    <row r="140" spans="1:9" ht="21.75" customHeight="1">
      <c r="A140" s="797"/>
      <c r="B140" s="2314" t="s">
        <v>1956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1957</v>
      </c>
    </row>
    <row r="143" spans="1:9" ht="21.75" customHeight="1">
      <c r="A143" s="797"/>
      <c r="B143" s="2314" t="s">
        <v>1958</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1957</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2"/>
    <col min="36" max="16384" width="12.625" style="2194"/>
  </cols>
  <sheetData>
    <row r="1" spans="1:12" ht="21.75" customHeight="1">
      <c r="A1" s="2192" t="s">
        <v>1959</v>
      </c>
      <c r="B1" s="2193"/>
      <c r="C1" s="2193"/>
      <c r="D1" s="2193"/>
      <c r="E1" s="2193"/>
      <c r="F1" s="2193"/>
      <c r="G1" s="2193"/>
      <c r="H1" s="2193"/>
      <c r="I1" s="2193"/>
    </row>
    <row r="2" spans="1:12" ht="21.75" customHeight="1">
      <c r="A2" s="2971" t="s">
        <v>1960</v>
      </c>
      <c r="B2" s="2971"/>
      <c r="C2" s="2971"/>
      <c r="D2" s="2971"/>
      <c r="E2" s="2971"/>
      <c r="F2" s="2971"/>
      <c r="G2" s="2971"/>
      <c r="H2" s="2971"/>
      <c r="I2" s="2971"/>
    </row>
    <row r="3" spans="1:12" ht="12.75">
      <c r="A3" s="2901" t="s">
        <v>1764</v>
      </c>
      <c r="B3" s="2902"/>
      <c r="C3" s="2902"/>
      <c r="D3" s="2902"/>
      <c r="E3" s="2902"/>
      <c r="F3" s="2902"/>
      <c r="G3" s="2902"/>
      <c r="H3" s="2902"/>
      <c r="I3" s="2902"/>
    </row>
    <row r="4" spans="1:12" ht="14.25">
      <c r="A4" s="2195" t="s">
        <v>1765</v>
      </c>
      <c r="B4" s="2196" t="s">
        <v>1766</v>
      </c>
      <c r="C4" s="2197"/>
      <c r="D4" s="2197"/>
      <c r="E4" s="2882" t="s">
        <v>1961</v>
      </c>
      <c r="F4" s="2883"/>
      <c r="G4" s="2883"/>
      <c r="H4" s="2883"/>
      <c r="I4" s="289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5" t="s">
        <v>1768</v>
      </c>
      <c r="B5" s="2837">
        <v>25</v>
      </c>
      <c r="C5" s="2886"/>
      <c r="D5" s="2900"/>
      <c r="E5" s="56" t="s">
        <v>1769</v>
      </c>
      <c r="F5" s="2198"/>
      <c r="G5" s="2198"/>
      <c r="H5" s="2198"/>
      <c r="I5" s="2199"/>
    </row>
    <row r="6" spans="1:12" ht="12.75">
      <c r="A6" s="2875"/>
      <c r="B6" s="2837"/>
      <c r="C6" s="2903"/>
      <c r="D6" s="2900"/>
      <c r="E6" s="56" t="s">
        <v>1770</v>
      </c>
      <c r="F6" s="2198"/>
      <c r="G6" s="2198"/>
      <c r="H6" s="2198"/>
      <c r="I6" s="2199"/>
    </row>
    <row r="7" spans="1:12" ht="12.75">
      <c r="A7" s="2875"/>
      <c r="B7" s="2837"/>
      <c r="C7" s="2887"/>
      <c r="D7" s="2900"/>
      <c r="E7" s="56" t="s">
        <v>1771</v>
      </c>
      <c r="F7" s="2198"/>
      <c r="G7" s="2198"/>
      <c r="H7" s="2198"/>
      <c r="I7" s="2199"/>
    </row>
    <row r="8" spans="1:12" ht="12.75">
      <c r="A8" s="2875" t="s">
        <v>1772</v>
      </c>
      <c r="B8" s="2837">
        <v>15</v>
      </c>
      <c r="C8" s="2886"/>
      <c r="D8" s="2900"/>
      <c r="E8" s="56" t="s">
        <v>1773</v>
      </c>
      <c r="F8" s="2198"/>
      <c r="G8" s="2198"/>
      <c r="H8" s="2198"/>
      <c r="I8" s="2199"/>
    </row>
    <row r="9" spans="1:12" ht="12.75">
      <c r="A9" s="2875"/>
      <c r="B9" s="2837"/>
      <c r="C9" s="2887"/>
      <c r="D9" s="2900"/>
      <c r="E9" s="56" t="s">
        <v>1774</v>
      </c>
      <c r="F9" s="2198"/>
      <c r="G9" s="2198"/>
      <c r="H9" s="2198"/>
      <c r="I9" s="2199"/>
    </row>
    <row r="10" spans="1:12" ht="12.75">
      <c r="A10" s="2875" t="s">
        <v>1775</v>
      </c>
      <c r="B10" s="2837">
        <v>15</v>
      </c>
      <c r="C10" s="2886"/>
      <c r="D10" s="2900"/>
      <c r="E10" s="56" t="s">
        <v>1776</v>
      </c>
      <c r="F10" s="2198"/>
      <c r="G10" s="2198"/>
      <c r="H10" s="2198"/>
      <c r="I10" s="2199"/>
    </row>
    <row r="11" spans="1:12" ht="12.75">
      <c r="A11" s="2875"/>
      <c r="B11" s="2837"/>
      <c r="C11" s="2887"/>
      <c r="D11" s="2900"/>
      <c r="E11" s="56" t="s">
        <v>1777</v>
      </c>
      <c r="F11" s="2198"/>
      <c r="G11" s="2198"/>
      <c r="H11" s="2198"/>
      <c r="I11" s="2199"/>
    </row>
    <row r="12" spans="1:12" ht="12.75">
      <c r="A12" s="2875" t="s">
        <v>1778</v>
      </c>
      <c r="B12" s="2837">
        <v>15</v>
      </c>
      <c r="C12" s="2886"/>
      <c r="D12" s="2900"/>
      <c r="E12" s="56" t="s">
        <v>1779</v>
      </c>
      <c r="F12" s="2198"/>
      <c r="G12" s="2198"/>
      <c r="H12" s="2198"/>
      <c r="I12" s="2199"/>
    </row>
    <row r="13" spans="1:12" ht="12.75">
      <c r="A13" s="2875"/>
      <c r="B13" s="2837"/>
      <c r="C13" s="2887"/>
      <c r="D13" s="2900"/>
      <c r="E13" s="56" t="s">
        <v>1780</v>
      </c>
      <c r="F13" s="2198"/>
      <c r="G13" s="2198"/>
      <c r="H13" s="2198"/>
      <c r="I13" s="2199"/>
    </row>
    <row r="14" spans="1:12" ht="12.75">
      <c r="A14" s="2875" t="s">
        <v>1781</v>
      </c>
      <c r="B14" s="2837">
        <v>30</v>
      </c>
      <c r="C14" s="2886"/>
      <c r="D14" s="2900"/>
      <c r="E14" s="56" t="s">
        <v>1782</v>
      </c>
      <c r="F14" s="2198"/>
      <c r="G14" s="2198"/>
      <c r="H14" s="2198"/>
      <c r="I14" s="2199"/>
    </row>
    <row r="15" spans="1:12" ht="12.75">
      <c r="A15" s="2875"/>
      <c r="B15" s="2837"/>
      <c r="C15" s="2903"/>
      <c r="D15" s="2900"/>
      <c r="E15" s="56" t="s">
        <v>1783</v>
      </c>
      <c r="F15" s="2198"/>
      <c r="G15" s="2198"/>
      <c r="H15" s="2198"/>
      <c r="I15" s="2199"/>
    </row>
    <row r="16" spans="1:12" ht="12.75">
      <c r="A16" s="2875"/>
      <c r="B16" s="2837"/>
      <c r="C16" s="2887"/>
      <c r="D16" s="2900"/>
      <c r="E16" s="56" t="s">
        <v>1784</v>
      </c>
      <c r="F16" s="2198"/>
      <c r="G16" s="2198"/>
      <c r="H16" s="2198"/>
      <c r="I16" s="2199"/>
    </row>
    <row r="17" spans="1:35" ht="15">
      <c r="A17" s="2200" t="s">
        <v>1785</v>
      </c>
      <c r="B17" s="2201"/>
      <c r="C17" s="57">
        <f>SUM(C5:C16)</f>
        <v>0</v>
      </c>
      <c r="D17" s="57">
        <f>SUM(D5:D16)</f>
        <v>0</v>
      </c>
      <c r="E17" s="2193"/>
      <c r="F17" s="2193"/>
      <c r="G17" s="2193"/>
      <c r="H17" s="2193"/>
      <c r="I17" s="2193"/>
    </row>
    <row r="18" spans="1:35" ht="15.75" thickBot="1">
      <c r="A18" s="2202" t="s">
        <v>1786</v>
      </c>
      <c r="B18" s="2203"/>
      <c r="C18" s="58" t="e">
        <f>ROUND(C17/SUM(C17:D17),2)</f>
        <v>#DIV/0!</v>
      </c>
      <c r="D18" s="58" t="e">
        <f>1-C18</f>
        <v>#DIV/0!</v>
      </c>
      <c r="E18" s="2193"/>
      <c r="F18" s="2193"/>
      <c r="G18" s="2193"/>
      <c r="H18" s="2193"/>
      <c r="I18" s="2193"/>
    </row>
    <row r="19" spans="1:35" ht="15">
      <c r="A19" s="2204" t="s">
        <v>1787</v>
      </c>
      <c r="B19" s="2205" t="s">
        <v>1788</v>
      </c>
      <c r="C19" s="59" t="e">
        <f ca="1">SUMIF(INDIRECT("'"&amp;C4&amp;"'"&amp;"!A:A"),'结果表 (1修多)'!B19,INDIRECT("'"&amp;C4&amp;"'"&amp;"!B:B"))</f>
        <v>#REF!</v>
      </c>
      <c r="D19" s="60" t="e">
        <f ca="1">SUMIF(INDIRECT("'"&amp;D4&amp;"'"&amp;"!A:A"),'结果表 (1修多)'!B19,INDIRECT("'"&amp;D4&amp;"'"&amp;"!B:B"))</f>
        <v>#REF!</v>
      </c>
      <c r="E19" s="2204" t="s">
        <v>1789</v>
      </c>
      <c r="F19" s="2205" t="s">
        <v>1788</v>
      </c>
      <c r="G19" s="61" t="e">
        <f ca="1">ROUND(C19*$C$18+D19*$D$18,0)</f>
        <v>#REF!</v>
      </c>
      <c r="H19" s="2206" t="str">
        <f>'数据-取费表'!B3</f>
        <v>元</v>
      </c>
      <c r="I19" s="2193"/>
    </row>
    <row r="20" spans="1:35" ht="15">
      <c r="A20" s="2207"/>
      <c r="B20" s="2208" t="s">
        <v>1790</v>
      </c>
      <c r="C20" s="62" t="e">
        <f ca="1">SUMIF(INDIRECT("'"&amp;C4&amp;"'"&amp;"!A:A"),'结果表 (1修多)'!B20,INDIRECT("'"&amp;C4&amp;"'"&amp;"!B:B"))</f>
        <v>#REF!</v>
      </c>
      <c r="D20" s="63" t="e">
        <f ca="1">SUMIF(INDIRECT("'"&amp;D4&amp;"'"&amp;"!A:A"),'结果表 (1修多)'!B20,INDIRECT("'"&amp;D4&amp;"'"&amp;"!B:B"))</f>
        <v>#REF!</v>
      </c>
      <c r="E20" s="2207"/>
      <c r="F20" s="2208" t="s">
        <v>1790</v>
      </c>
      <c r="G20" s="64" t="e">
        <f ca="1">ROUND(C20*$C$18+D20*$D$18,0)</f>
        <v>#REF!</v>
      </c>
      <c r="H20" s="2209" t="s">
        <v>1791</v>
      </c>
      <c r="I20" s="2193"/>
    </row>
    <row r="21" spans="1:35" ht="15" customHeight="1" thickBot="1">
      <c r="A21" s="2210"/>
      <c r="B21" s="2211"/>
      <c r="C21" s="769"/>
      <c r="D21" s="770"/>
      <c r="E21" s="2210"/>
      <c r="F21" s="2211"/>
      <c r="G21" s="65"/>
      <c r="H21" s="2212"/>
      <c r="I21" s="2193"/>
    </row>
    <row r="22" spans="1:35" ht="15" thickBot="1">
      <c r="A22" s="2213" t="s">
        <v>1792</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06" t="s">
        <v>1793</v>
      </c>
      <c r="B24" s="2205" t="s">
        <v>1788</v>
      </c>
      <c r="C24" s="61">
        <f>D30</f>
        <v>0</v>
      </c>
      <c r="D24" s="992"/>
      <c r="E24" s="2193"/>
      <c r="F24" s="2193"/>
      <c r="G24" s="2193"/>
      <c r="H24" s="2193"/>
      <c r="I24" s="2193"/>
    </row>
    <row r="25" spans="1:35" ht="21.75" customHeight="1">
      <c r="A25" s="2907"/>
      <c r="B25" s="2208" t="s">
        <v>1790</v>
      </c>
      <c r="C25" s="66">
        <f>IF(B30=0,0,C30)</f>
        <v>0</v>
      </c>
      <c r="D25" s="2216"/>
      <c r="E25" s="2193"/>
      <c r="F25" s="2193"/>
      <c r="G25" s="2193"/>
      <c r="H25" s="2193"/>
      <c r="I25" s="2193"/>
    </row>
    <row r="26" spans="1:35" ht="13.5" customHeight="1">
      <c r="A26" s="2217" t="s">
        <v>1794</v>
      </c>
      <c r="B26" s="67" t="s">
        <v>1795</v>
      </c>
      <c r="C26" s="67" t="s">
        <v>1796</v>
      </c>
      <c r="D26" s="68" t="s">
        <v>1797</v>
      </c>
      <c r="E26" s="2193"/>
      <c r="F26" s="2193"/>
      <c r="G26" s="2193"/>
      <c r="H26" s="2193"/>
      <c r="I26" s="2193"/>
    </row>
    <row r="27" spans="1:35" ht="14.25">
      <c r="A27" s="2218" t="s">
        <v>1962</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1963</v>
      </c>
      <c r="B30" s="2716"/>
      <c r="C30" s="2716"/>
      <c r="D30" s="2716"/>
      <c r="E30" s="2714" t="s">
        <v>2802</v>
      </c>
      <c r="F30" s="2193"/>
      <c r="G30" s="2193"/>
      <c r="H30" s="2193"/>
      <c r="I30" s="2193"/>
    </row>
    <row r="31" spans="1:35" s="2220" customFormat="1" ht="15.75" thickBot="1">
      <c r="A31" s="2962" t="s">
        <v>1964</v>
      </c>
      <c r="B31" s="2962"/>
      <c r="C31" s="2962"/>
      <c r="D31" s="2962"/>
      <c r="E31" s="2962"/>
      <c r="F31" s="2962"/>
      <c r="G31" s="2962"/>
      <c r="H31" s="2962"/>
      <c r="I31" s="2962"/>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8"/>
      <c r="B32" s="2319" t="s">
        <v>1965</v>
      </c>
      <c r="C32" s="1306">
        <f>典型户型修正!R27</f>
        <v>0</v>
      </c>
      <c r="D32" s="2193" t="s">
        <v>1966</v>
      </c>
      <c r="E32" s="2193"/>
      <c r="F32" s="2193"/>
      <c r="G32" s="2193"/>
      <c r="H32" s="2193"/>
      <c r="I32" s="2193"/>
    </row>
    <row r="33" spans="1:16" ht="15">
      <c r="A33" s="2320" t="s">
        <v>1967</v>
      </c>
      <c r="B33" s="2321" t="s">
        <v>1968</v>
      </c>
      <c r="C33" s="1307">
        <f>典型户型修正!B2</f>
        <v>0</v>
      </c>
      <c r="D33" s="2322" t="str">
        <f>IF('数据-取费表'!B3="万元","万元","元")</f>
        <v>元</v>
      </c>
      <c r="E33" s="2193"/>
      <c r="F33" s="2193"/>
      <c r="G33" s="2193"/>
      <c r="H33" s="2193"/>
      <c r="I33" s="2193"/>
    </row>
    <row r="34" spans="1:16" ht="15.75" thickBot="1">
      <c r="A34" s="2323"/>
      <c r="B34" s="2324" t="s">
        <v>1969</v>
      </c>
      <c r="C34" s="770">
        <f>典型户型修正!B3</f>
        <v>0</v>
      </c>
      <c r="D34" s="2193" t="s">
        <v>1970</v>
      </c>
      <c r="E34" s="2193"/>
      <c r="F34" s="2193"/>
      <c r="G34" s="2193"/>
      <c r="H34" s="2193"/>
      <c r="I34" s="2193"/>
    </row>
    <row r="35" spans="1:16" ht="15">
      <c r="A35" s="2325"/>
      <c r="B35" s="2326" t="s">
        <v>1971</v>
      </c>
      <c r="C35" s="1314">
        <f>IF('数据-取费表'!B3="万元",典型户型修正!V25,典型户型修正!U25)</f>
        <v>0</v>
      </c>
      <c r="D35" s="2193" t="str">
        <f>D33</f>
        <v>元</v>
      </c>
      <c r="E35" s="2193"/>
      <c r="F35" s="2193"/>
      <c r="G35" s="2193"/>
      <c r="H35" s="2193"/>
      <c r="I35" s="2193"/>
    </row>
    <row r="36" spans="1:16" ht="15.75" thickBot="1">
      <c r="A36" s="2232"/>
      <c r="B36" s="2327" t="s">
        <v>1972</v>
      </c>
      <c r="C36" s="1315">
        <f>IF('数据-取费表'!B3="万元",典型户型修正!Y25,典型户型修正!X25)</f>
        <v>0</v>
      </c>
      <c r="D36" s="2193" t="str">
        <f>D33</f>
        <v>元</v>
      </c>
      <c r="E36" s="2193"/>
      <c r="F36" s="2193"/>
      <c r="G36" s="2193"/>
      <c r="H36" s="2193"/>
      <c r="I36" s="2193"/>
    </row>
    <row r="37" spans="1:16" ht="15.75" thickBot="1">
      <c r="A37" s="2888" t="s">
        <v>1973</v>
      </c>
      <c r="B37" s="2235" t="s">
        <v>1974</v>
      </c>
      <c r="C37" s="69"/>
      <c r="D37" s="2236"/>
      <c r="E37" s="2237"/>
      <c r="F37" s="2237"/>
      <c r="G37" s="2193"/>
      <c r="H37" s="2193"/>
      <c r="I37" s="2193"/>
    </row>
    <row r="38" spans="1:16" ht="15.75" thickBot="1">
      <c r="A38" s="2889"/>
      <c r="B38" s="2238" t="s">
        <v>1975</v>
      </c>
      <c r="C38" s="71"/>
      <c r="D38" s="2203"/>
      <c r="E38" s="2203"/>
      <c r="F38" s="2237"/>
      <c r="G38" s="2203"/>
      <c r="H38" s="2203"/>
      <c r="I38" s="2203"/>
    </row>
    <row r="39" spans="1:16" ht="15.75" thickBot="1">
      <c r="A39" s="2890"/>
      <c r="B39" s="2239" t="s">
        <v>1976</v>
      </c>
      <c r="C39" s="711"/>
      <c r="D39" s="2240" t="s">
        <v>1977</v>
      </c>
      <c r="E39" s="2203"/>
      <c r="F39" s="2237"/>
      <c r="G39" s="2203"/>
      <c r="H39" s="2203"/>
      <c r="I39" s="2203"/>
    </row>
    <row r="40" spans="1:16" ht="15">
      <c r="A40" s="2207" t="s">
        <v>1978</v>
      </c>
      <c r="B40" s="2241" t="s">
        <v>1979</v>
      </c>
      <c r="C40" s="2242" t="s">
        <v>1980</v>
      </c>
      <c r="D40" s="2242" t="s">
        <v>1981</v>
      </c>
      <c r="E40" s="2243" t="s">
        <v>1982</v>
      </c>
      <c r="F40" s="2237"/>
      <c r="G40" s="2203"/>
      <c r="H40" s="2203"/>
      <c r="I40" s="2203"/>
    </row>
    <row r="41" spans="1:16" ht="14.25">
      <c r="A41" s="2244" t="s">
        <v>1983</v>
      </c>
      <c r="B41" s="74"/>
      <c r="C41" s="75"/>
      <c r="D41" s="75"/>
      <c r="E41" s="76"/>
      <c r="F41" s="2237"/>
      <c r="G41" s="2203"/>
      <c r="H41" s="2203"/>
      <c r="I41" s="2203"/>
    </row>
    <row r="42" spans="1:16" ht="14.25">
      <c r="A42" s="2244" t="s">
        <v>1984</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1985</v>
      </c>
      <c r="B45" s="2250"/>
      <c r="C45" s="2250"/>
      <c r="D45" s="2251"/>
      <c r="E45" s="2251"/>
      <c r="F45" s="2252"/>
      <c r="G45" s="2252"/>
      <c r="H45" s="2252"/>
      <c r="I45" s="2252"/>
      <c r="J45" s="2253" t="s">
        <v>1816</v>
      </c>
      <c r="K45" s="2254"/>
      <c r="L45" s="2254"/>
      <c r="M45" s="2254"/>
      <c r="N45" s="2254"/>
      <c r="O45" s="2254"/>
      <c r="P45" s="1842"/>
    </row>
    <row r="46" spans="1:16" ht="14.25" customHeight="1" thickBot="1">
      <c r="A46" s="2894" t="s">
        <v>1986</v>
      </c>
      <c r="B46" s="2895"/>
      <c r="C46" s="2896"/>
      <c r="D46" s="80">
        <f>ROUND(I103*F46,0)</f>
        <v>0</v>
      </c>
      <c r="E46" s="81" t="s">
        <v>1987</v>
      </c>
      <c r="F46" s="82">
        <v>1</v>
      </c>
      <c r="G46" s="83" t="s">
        <v>1988</v>
      </c>
      <c r="H46" s="2193"/>
      <c r="I46" s="2193"/>
      <c r="J46" s="2956" t="s">
        <v>1820</v>
      </c>
      <c r="K46" s="2956"/>
      <c r="L46" s="2956"/>
      <c r="M46" s="2956"/>
      <c r="N46" s="2956"/>
      <c r="O46" s="2956"/>
      <c r="P46" s="1842"/>
    </row>
    <row r="47" spans="1:16" ht="14.25" customHeight="1">
      <c r="A47" s="2879" t="s">
        <v>1821</v>
      </c>
      <c r="B47" s="2880"/>
      <c r="C47" s="2880"/>
      <c r="D47" s="2880"/>
      <c r="E47" s="2880"/>
      <c r="F47" s="2880"/>
      <c r="G47" s="2881"/>
      <c r="H47" s="2255"/>
      <c r="I47" s="1142"/>
      <c r="J47" s="1880">
        <v>1</v>
      </c>
      <c r="K47" s="2956" t="s">
        <v>1822</v>
      </c>
      <c r="L47" s="2956"/>
      <c r="M47" s="2972"/>
      <c r="N47" s="2972"/>
      <c r="O47" s="2972"/>
      <c r="P47" s="1842"/>
    </row>
    <row r="48" spans="1:16" ht="12" customHeight="1">
      <c r="A48" s="85" t="s">
        <v>1823</v>
      </c>
      <c r="B48" s="86"/>
      <c r="C48" s="87"/>
      <c r="D48" s="88" t="s">
        <v>1824</v>
      </c>
      <c r="E48" s="14" t="s">
        <v>1825</v>
      </c>
      <c r="F48" s="89" t="s">
        <v>1826</v>
      </c>
      <c r="G48" s="90" t="s">
        <v>1827</v>
      </c>
      <c r="H48" s="2255"/>
      <c r="I48" s="1142"/>
      <c r="J48" s="1880">
        <v>2</v>
      </c>
      <c r="K48" s="2956" t="s">
        <v>1828</v>
      </c>
      <c r="L48" s="2956"/>
      <c r="M48" s="2958">
        <f>'数据-取费表'!B2</f>
        <v>43255</v>
      </c>
      <c r="N48" s="2958"/>
      <c r="O48" s="2958"/>
      <c r="P48" s="1842"/>
    </row>
    <row r="49" spans="1:16" ht="25.5">
      <c r="A49" s="2891" t="s">
        <v>1829</v>
      </c>
      <c r="B49" s="2892"/>
      <c r="C49" s="2892"/>
      <c r="D49" s="56">
        <f>IF(H49="情况1",0,IF(H49="情况2",D53,IF(H49="情况3",D54,IF(H49="情况4",D55))))</f>
        <v>0</v>
      </c>
      <c r="E49" s="1890" t="str">
        <f>IF(H49="情况4","(销售额-原购置价)×税（费）率","销售额×税（费）率")</f>
        <v>销售额×税（费）率</v>
      </c>
      <c r="F49" s="91">
        <f>IF(H49="情况1","免征",'数据-取费表'!E29)</f>
        <v>5.5500000000000008E-2</v>
      </c>
      <c r="G49" s="2256" t="s">
        <v>1830</v>
      </c>
      <c r="H49" s="2257" t="s">
        <v>1831</v>
      </c>
      <c r="I49" s="2255"/>
      <c r="J49" s="1880">
        <v>3</v>
      </c>
      <c r="K49" s="2956" t="s">
        <v>1832</v>
      </c>
      <c r="L49" s="2956"/>
      <c r="M49" s="2957">
        <f>I103</f>
        <v>0</v>
      </c>
      <c r="N49" s="2957"/>
      <c r="O49" s="2957"/>
      <c r="P49" s="1842"/>
    </row>
    <row r="50" spans="1:16" ht="25.5" customHeight="1">
      <c r="A50" s="92" t="s">
        <v>1833</v>
      </c>
      <c r="B50" s="2884" t="s">
        <v>1834</v>
      </c>
      <c r="C50" s="2884"/>
      <c r="D50" s="93">
        <v>0</v>
      </c>
      <c r="E50" s="13" t="s">
        <v>1835</v>
      </c>
      <c r="F50" s="18" t="s">
        <v>48</v>
      </c>
      <c r="G50" s="2949"/>
      <c r="H50" s="2193"/>
      <c r="I50" s="2258"/>
      <c r="J50" s="1880">
        <v>4</v>
      </c>
      <c r="K50" s="2956" t="str">
        <f>IF(项目基本情况!F5="房地产抵押价值","房地产抵押价值","抵押担保权已注销时的房地产抵押价值")</f>
        <v>房地产抵押价值</v>
      </c>
      <c r="L50" s="2956"/>
      <c r="M50" s="2957">
        <f>IF(项目基本情况!F5="房地产抵押价值",I111,I113)</f>
        <v>0</v>
      </c>
      <c r="N50" s="2957"/>
      <c r="O50" s="2957"/>
      <c r="P50" s="1842"/>
    </row>
    <row r="51" spans="1:16" ht="25.5" customHeight="1">
      <c r="A51" s="94"/>
      <c r="B51" s="2884" t="s">
        <v>1836</v>
      </c>
      <c r="C51" s="2884"/>
      <c r="D51" s="95"/>
      <c r="E51" s="21"/>
      <c r="F51" s="96"/>
      <c r="G51" s="2950"/>
      <c r="H51" s="2193"/>
      <c r="I51" s="2258"/>
      <c r="J51" s="2956" t="s">
        <v>1837</v>
      </c>
      <c r="K51" s="2956"/>
      <c r="L51" s="2956"/>
      <c r="M51" s="2956"/>
      <c r="N51" s="2956"/>
      <c r="O51" s="2956"/>
      <c r="P51" s="1842"/>
    </row>
    <row r="52" spans="1:16" ht="12" customHeight="1">
      <c r="A52" s="97"/>
      <c r="B52" s="2884" t="s">
        <v>1838</v>
      </c>
      <c r="C52" s="2884"/>
      <c r="D52" s="98"/>
      <c r="E52" s="20"/>
      <c r="F52" s="96"/>
      <c r="G52" s="2951"/>
      <c r="H52" s="2193"/>
      <c r="I52" s="2258"/>
      <c r="J52" s="2259" t="s">
        <v>1839</v>
      </c>
      <c r="K52" s="2956" t="s">
        <v>1840</v>
      </c>
      <c r="L52" s="2956"/>
      <c r="M52" s="2259" t="s">
        <v>1841</v>
      </c>
      <c r="N52" s="2259" t="s">
        <v>1842</v>
      </c>
      <c r="O52" s="2259" t="s">
        <v>1843</v>
      </c>
      <c r="P52" s="1842"/>
    </row>
    <row r="53" spans="1:16" ht="24" customHeight="1">
      <c r="A53" s="99" t="s">
        <v>1844</v>
      </c>
      <c r="B53" s="2884" t="s">
        <v>1845</v>
      </c>
      <c r="C53" s="2884"/>
      <c r="D53" s="98">
        <f>ROUND(D46*'数据-取费表'!E29/(1+'数据-取费表'!F30),0)</f>
        <v>0</v>
      </c>
      <c r="E53" s="10" t="s">
        <v>1846</v>
      </c>
      <c r="F53" s="100">
        <f>'数据-取费表'!E29</f>
        <v>5.5500000000000008E-2</v>
      </c>
      <c r="G53" s="2260"/>
      <c r="H53" s="2193"/>
      <c r="I53" s="2258"/>
      <c r="J53" s="1880">
        <v>1</v>
      </c>
      <c r="K53" s="2916" t="s">
        <v>1847</v>
      </c>
      <c r="L53" s="2916"/>
      <c r="M53" s="777">
        <f>D49</f>
        <v>0</v>
      </c>
      <c r="N53" s="1880" t="str">
        <f>E49</f>
        <v>销售额×税（费）率</v>
      </c>
      <c r="O53" s="778">
        <f>F49</f>
        <v>5.5500000000000008E-2</v>
      </c>
      <c r="P53" s="1842"/>
    </row>
    <row r="54" spans="1:16" ht="12" customHeight="1">
      <c r="A54" s="99" t="s">
        <v>1848</v>
      </c>
      <c r="B54" s="2885" t="s">
        <v>1849</v>
      </c>
      <c r="C54" s="2815"/>
      <c r="D54" s="98">
        <f>ROUND(D46*'数据-取费表'!E29/(1+'数据-取费表'!F30),0)</f>
        <v>0</v>
      </c>
      <c r="E54" s="10" t="s">
        <v>1846</v>
      </c>
      <c r="F54" s="100">
        <f>'数据-取费表'!E29</f>
        <v>5.5500000000000008E-2</v>
      </c>
      <c r="G54" s="2260"/>
      <c r="H54" s="2193"/>
      <c r="I54" s="2258"/>
      <c r="J54" s="1880">
        <v>2</v>
      </c>
      <c r="K54" s="2916" t="s">
        <v>1850</v>
      </c>
      <c r="L54" s="2916"/>
      <c r="M54" s="777">
        <f t="shared" ref="M54:O55" si="1">D56</f>
        <v>0</v>
      </c>
      <c r="N54" s="1880" t="str">
        <f t="shared" si="1"/>
        <v>销售额×税（费）率</v>
      </c>
      <c r="O54" s="778">
        <f t="shared" si="1"/>
        <v>5.0000000000000001E-4</v>
      </c>
      <c r="P54" s="1842"/>
    </row>
    <row r="55" spans="1:16" ht="12" customHeight="1">
      <c r="A55" s="99" t="s">
        <v>1851</v>
      </c>
      <c r="B55" s="2885" t="s">
        <v>1852</v>
      </c>
      <c r="C55" s="2815"/>
      <c r="D55" s="98">
        <f>C69</f>
        <v>0</v>
      </c>
      <c r="E55" s="20" t="s">
        <v>1853</v>
      </c>
      <c r="F55" s="100">
        <f>'数据-取费表'!E29</f>
        <v>5.5500000000000008E-2</v>
      </c>
      <c r="G55" s="2260"/>
      <c r="H55" s="2261"/>
      <c r="I55" s="2258"/>
      <c r="J55" s="1880">
        <v>3</v>
      </c>
      <c r="K55" s="2916" t="s">
        <v>1854</v>
      </c>
      <c r="L55" s="2916"/>
      <c r="M55" s="777">
        <f t="shared" si="1"/>
        <v>0</v>
      </c>
      <c r="N55" s="1880" t="str">
        <f t="shared" si="1"/>
        <v>增值额×税（费）率</v>
      </c>
      <c r="O55" s="779" t="str">
        <f t="shared" si="1"/>
        <v>——</v>
      </c>
      <c r="P55" s="1842"/>
    </row>
    <row r="56" spans="1:16" ht="24" customHeight="1">
      <c r="A56" s="2807" t="s">
        <v>1855</v>
      </c>
      <c r="B56" s="2892"/>
      <c r="C56" s="2892"/>
      <c r="D56" s="101">
        <f>IF(H56="个人住宅",0,ROUND(D46*I56,0))</f>
        <v>0</v>
      </c>
      <c r="E56" s="10" t="s">
        <v>1856</v>
      </c>
      <c r="F56" s="100">
        <f>IF(H56="正常",I56,"免征")</f>
        <v>5.0000000000000001E-4</v>
      </c>
      <c r="G56" s="2260"/>
      <c r="H56" s="2257" t="s">
        <v>1857</v>
      </c>
      <c r="I56" s="102">
        <f>'数据-取费表'!E37</f>
        <v>5.0000000000000001E-4</v>
      </c>
      <c r="J56" s="1880" t="str">
        <f>IF(H60="非个人房产","",4)</f>
        <v/>
      </c>
      <c r="K56" s="2916" t="str">
        <f>IF(H60="非个人房产","——","个人所得税")</f>
        <v>——</v>
      </c>
      <c r="L56" s="2916"/>
      <c r="M56" s="780" t="str">
        <f>D60</f>
        <v>——</v>
      </c>
      <c r="N56" s="1883" t="str">
        <f>E60</f>
        <v>——</v>
      </c>
      <c r="O56" s="781" t="str">
        <f>F60</f>
        <v>——</v>
      </c>
      <c r="P56" s="1842"/>
    </row>
    <row r="57" spans="1:16" ht="24.75">
      <c r="A57" s="2807" t="s">
        <v>1858</v>
      </c>
      <c r="B57" s="2892"/>
      <c r="C57" s="2892"/>
      <c r="D57" s="101">
        <f>IF(H57="个人住宅",D58,D59)</f>
        <v>0</v>
      </c>
      <c r="E57" s="10" t="s">
        <v>1859</v>
      </c>
      <c r="F57" s="100" t="str">
        <f>IF(H57="正常",F59,"免征")</f>
        <v>——</v>
      </c>
      <c r="G57" s="2262" t="s">
        <v>1860</v>
      </c>
      <c r="H57" s="2263" t="s">
        <v>1857</v>
      </c>
      <c r="I57" s="1020"/>
      <c r="J57" s="1880" t="str">
        <f>IF(项目基本情况!I6="上海银行",IF(J56="",4,J56+1),"")</f>
        <v/>
      </c>
      <c r="K57" s="2934" t="str">
        <f>IF(项目基本情况!I6="上海银行","其他处置费用","")</f>
        <v/>
      </c>
      <c r="L57" s="2935"/>
      <c r="M57" s="777" t="str">
        <f>IF(项目基本情况!I6="上海银行",M70,"")</f>
        <v/>
      </c>
      <c r="N57" s="2947" t="str">
        <f>IF(项目基本情况!I6="上海银行","包含处置中涉及的律师、诉讼、拍卖、评估等费用","")</f>
        <v/>
      </c>
      <c r="O57" s="2948"/>
      <c r="P57" s="1842"/>
    </row>
    <row r="58" spans="1:16" ht="12.75">
      <c r="A58" s="99" t="s">
        <v>1833</v>
      </c>
      <c r="B58" s="2882" t="s">
        <v>1861</v>
      </c>
      <c r="C58" s="2893"/>
      <c r="D58" s="103">
        <v>0</v>
      </c>
      <c r="E58" s="13" t="s">
        <v>1835</v>
      </c>
      <c r="F58" s="70"/>
      <c r="G58" s="2260"/>
      <c r="H58" s="1020"/>
      <c r="I58" s="1020"/>
      <c r="J58" s="2916">
        <f>IF(AND(J56="",J57=""),4,IF(项目基本情况!I6="上海银行",J57+1,J56+1))</f>
        <v>4</v>
      </c>
      <c r="K58" s="2916" t="s">
        <v>1862</v>
      </c>
      <c r="L58" s="2264" t="s">
        <v>1863</v>
      </c>
      <c r="M58" s="782"/>
      <c r="N58" s="783">
        <f>SUMIF(M53:M57,"&lt;9e307")</f>
        <v>0</v>
      </c>
      <c r="O58" s="2265"/>
      <c r="P58" s="1838" t="e">
        <f>N58/M50</f>
        <v>#DIV/0!</v>
      </c>
    </row>
    <row r="59" spans="1:16" ht="24.75">
      <c r="A59" s="99" t="s">
        <v>1844</v>
      </c>
      <c r="B59" s="2882" t="s">
        <v>1864</v>
      </c>
      <c r="C59" s="2883"/>
      <c r="D59" s="101">
        <f>IF(H59="转让取得",C82,C98)</f>
        <v>0</v>
      </c>
      <c r="E59" s="10" t="s">
        <v>1859</v>
      </c>
      <c r="F59" s="14" t="s">
        <v>48</v>
      </c>
      <c r="G59" s="2260"/>
      <c r="H59" s="2263" t="s">
        <v>1865</v>
      </c>
      <c r="I59" s="1020"/>
      <c r="J59" s="2916"/>
      <c r="K59" s="2916"/>
      <c r="L59" s="2264" t="s">
        <v>1866</v>
      </c>
      <c r="M59" s="784"/>
      <c r="N59" s="2266" t="str">
        <f>IF(H19="元",NUMBERSTRING(INT(N58),2)&amp;"元整",NUMBERSTRING(INT(N58*10000),2)&amp;"元整")</f>
        <v>零元整</v>
      </c>
      <c r="O59" s="2267"/>
      <c r="P59" s="1842"/>
    </row>
    <row r="60" spans="1:16" ht="24.75" thickBot="1">
      <c r="A60" s="2808" t="s">
        <v>1867</v>
      </c>
      <c r="B60" s="2811"/>
      <c r="C60" s="2811"/>
      <c r="D60" s="104" t="str">
        <f>IF(H60="非个人房产","——",IF(H60="个人住宅",0,ROUND(D46*I60,0)))</f>
        <v>——</v>
      </c>
      <c r="E60" s="105" t="str">
        <f>IF(H60="非个人房产","——","销售额×税（费）率")</f>
        <v>——</v>
      </c>
      <c r="F60" s="106" t="str">
        <f>IF(H60="非个人房产","——",IF(H60="个人住宅","免征",I60))</f>
        <v>——</v>
      </c>
      <c r="G60" s="2268" t="s">
        <v>1860</v>
      </c>
      <c r="H60" s="2263" t="s">
        <v>1989</v>
      </c>
      <c r="I60" s="107">
        <v>0.01</v>
      </c>
      <c r="J60" s="2914">
        <f>J58+1</f>
        <v>5</v>
      </c>
      <c r="K60" s="2916" t="s">
        <v>1869</v>
      </c>
      <c r="L60" s="1880" t="s">
        <v>1863</v>
      </c>
      <c r="M60" s="785"/>
      <c r="N60" s="786">
        <f>M50-N58</f>
        <v>0</v>
      </c>
      <c r="O60" s="2269"/>
      <c r="P60" s="1842"/>
    </row>
    <row r="61" spans="1:16" ht="12" customHeight="1">
      <c r="A61" s="2064"/>
      <c r="B61" s="2193"/>
      <c r="C61" s="2193"/>
      <c r="D61" s="2193"/>
      <c r="E61" s="1020"/>
      <c r="F61" s="1020"/>
      <c r="G61" s="1020"/>
      <c r="H61" s="2246"/>
      <c r="I61" s="2193"/>
      <c r="J61" s="2915"/>
      <c r="K61" s="2916"/>
      <c r="L61" s="2264" t="s">
        <v>1866</v>
      </c>
      <c r="M61" s="784"/>
      <c r="N61" s="2266" t="str">
        <f>IF(H19="元",NUMBERSTRING(INT(N60),2)&amp;"元整",NUMBERSTRING(INT(N60*10000),2)&amp;"元整")</f>
        <v>零元整</v>
      </c>
      <c r="O61" s="2267"/>
      <c r="P61" s="1842"/>
    </row>
    <row r="62" spans="1:16" ht="13.5" thickBot="1">
      <c r="A62" s="2897" t="s">
        <v>1870</v>
      </c>
      <c r="B62" s="2897"/>
      <c r="C62" s="2897"/>
      <c r="D62" s="2897"/>
      <c r="E62" s="2897"/>
      <c r="F62" s="1020"/>
      <c r="G62" s="1020"/>
      <c r="H62" s="2246"/>
      <c r="I62" s="2193"/>
      <c r="J62" s="1880">
        <f>J60+1</f>
        <v>6</v>
      </c>
      <c r="K62" s="2916" t="s">
        <v>1871</v>
      </c>
      <c r="L62" s="2916"/>
      <c r="M62" s="787"/>
      <c r="N62" s="788">
        <f>IF(H19="元",ROUND(N60/项目基本情况!C12,0),ROUND(N60*10000/项目基本情况!C12,0))</f>
        <v>0</v>
      </c>
      <c r="O62" s="2270"/>
      <c r="P62" s="1842"/>
    </row>
    <row r="63" spans="1:16" ht="12.75">
      <c r="A63" s="2904" t="s">
        <v>1872</v>
      </c>
      <c r="B63" s="2905"/>
      <c r="C63" s="1882"/>
      <c r="D63" s="1882" t="s">
        <v>1873</v>
      </c>
      <c r="E63" s="108" t="s">
        <v>1874</v>
      </c>
      <c r="F63" s="1020"/>
      <c r="G63" s="1020"/>
      <c r="H63" s="2246"/>
      <c r="I63" s="2193"/>
      <c r="J63" s="1842"/>
      <c r="K63" s="1842"/>
      <c r="L63" s="1842"/>
      <c r="M63" s="1842"/>
      <c r="N63" s="1842"/>
      <c r="O63" s="1842"/>
      <c r="P63" s="1842"/>
    </row>
    <row r="64" spans="1:16" ht="12.75">
      <c r="A64" s="109">
        <v>1</v>
      </c>
      <c r="B64" s="110" t="s">
        <v>1875</v>
      </c>
      <c r="C64" s="111">
        <f>ROUND((C65+C66)/(1+'数据-取费表'!F30),0)</f>
        <v>0</v>
      </c>
      <c r="D64" s="112"/>
      <c r="E64" s="113"/>
      <c r="F64" s="1020"/>
      <c r="G64" s="1020"/>
      <c r="H64" s="2246"/>
      <c r="I64" s="2193"/>
      <c r="J64" s="2936" t="s">
        <v>1876</v>
      </c>
      <c r="K64" s="2271" t="s">
        <v>1877</v>
      </c>
      <c r="L64" s="1841">
        <f>IF(M50&gt;10000,M50*0.5%,IF(AND(M50&gt;1000,M50&lt;=10000),M50*1%,IF(AND(M50&gt;100,M50&lt;=1000),M50*3%,IF(AND(M50&gt;10,M50&lt;=100),M50*5%,M50*8%))))</f>
        <v>0</v>
      </c>
      <c r="M64" s="14">
        <f>ROUND(L64,1)</f>
        <v>0</v>
      </c>
      <c r="N64" s="1842"/>
      <c r="O64" s="1842"/>
      <c r="P64" s="1842"/>
    </row>
    <row r="65" spans="1:35" ht="12.75">
      <c r="A65" s="114" t="s">
        <v>71</v>
      </c>
      <c r="B65" s="115" t="s">
        <v>1878</v>
      </c>
      <c r="C65" s="116">
        <f>D46</f>
        <v>0</v>
      </c>
      <c r="D65" s="117" t="s">
        <v>41</v>
      </c>
      <c r="E65" s="118"/>
      <c r="F65" s="1020"/>
      <c r="G65" s="1020"/>
      <c r="H65" s="2246"/>
      <c r="I65" s="2193"/>
      <c r="J65" s="2936"/>
      <c r="K65" s="2271" t="s">
        <v>1879</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1880</v>
      </c>
      <c r="O65" s="1842"/>
      <c r="P65" s="1842"/>
    </row>
    <row r="66" spans="1:35" ht="12.75">
      <c r="A66" s="114" t="s">
        <v>72</v>
      </c>
      <c r="B66" s="115" t="s">
        <v>1881</v>
      </c>
      <c r="C66" s="119"/>
      <c r="D66" s="117"/>
      <c r="E66" s="118"/>
      <c r="F66" s="1020"/>
      <c r="G66" s="1020"/>
      <c r="H66" s="2246"/>
      <c r="I66" s="2193"/>
      <c r="J66" s="2936"/>
      <c r="K66" s="2271" t="s">
        <v>1882</v>
      </c>
      <c r="L66" s="1841" t="b">
        <f>IF(M50&gt;1000,M50*0.1%,IF(AND(M50&gt;500,M50&lt;=1000),M50*0.5%,IF(AND(M50&gt;50,M50&lt;=500),M50*1%,IF(AND(M50&gt;1,M50&lt;=50),M50*1.5%))))</f>
        <v>0</v>
      </c>
      <c r="M66" s="14">
        <f t="shared" si="2"/>
        <v>0</v>
      </c>
      <c r="N66" s="1842" t="s">
        <v>1880</v>
      </c>
      <c r="O66" s="1842"/>
      <c r="P66" s="1842"/>
    </row>
    <row r="67" spans="1:35" ht="12.75">
      <c r="A67" s="120" t="s">
        <v>47</v>
      </c>
      <c r="B67" s="121" t="s">
        <v>1883</v>
      </c>
      <c r="C67" s="122"/>
      <c r="D67" s="123" t="s">
        <v>41</v>
      </c>
      <c r="E67" s="1858" t="s">
        <v>1884</v>
      </c>
      <c r="F67" s="1020"/>
      <c r="G67" s="1020"/>
      <c r="H67" s="2246"/>
      <c r="I67" s="2193"/>
      <c r="J67" s="2936"/>
      <c r="K67" s="2271" t="s">
        <v>1885</v>
      </c>
      <c r="L67" s="1841">
        <f>M50*0.5%</f>
        <v>0</v>
      </c>
      <c r="M67" s="14">
        <f>IF(L67&gt;0.5,0.5,ROUND(L67,0))</f>
        <v>0</v>
      </c>
      <c r="N67" s="1842" t="s">
        <v>1886</v>
      </c>
      <c r="O67" s="1842"/>
      <c r="P67" s="1842"/>
    </row>
    <row r="68" spans="1:35" ht="12.75">
      <c r="A68" s="120" t="s">
        <v>42</v>
      </c>
      <c r="B68" s="121" t="s">
        <v>1887</v>
      </c>
      <c r="C68" s="124">
        <f>C64-C67</f>
        <v>0</v>
      </c>
      <c r="D68" s="117" t="s">
        <v>41</v>
      </c>
      <c r="E68" s="118"/>
      <c r="F68" s="1020"/>
      <c r="G68" s="1020"/>
      <c r="H68" s="2246"/>
      <c r="I68" s="2193"/>
      <c r="J68" s="2936"/>
      <c r="K68" s="2271" t="s">
        <v>1888</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5" t="s">
        <v>46</v>
      </c>
      <c r="B69" s="126" t="s">
        <v>1889</v>
      </c>
      <c r="C69" s="127">
        <f>IF(C68&lt;=0,0,ROUND(C68*D69,0))</f>
        <v>0</v>
      </c>
      <c r="D69" s="128">
        <f>'数据-取费表'!E29</f>
        <v>5.5500000000000008E-2</v>
      </c>
      <c r="E69" s="129"/>
      <c r="F69" s="1020"/>
      <c r="G69" s="1020"/>
      <c r="H69" s="2246"/>
      <c r="I69" s="2193"/>
      <c r="J69" s="2936"/>
      <c r="K69" s="2271" t="s">
        <v>1890</v>
      </c>
      <c r="L69" s="1841">
        <f>IF(M50&gt;10000,M50*0.5%,IF(AND(M50&gt;5000,M50&lt;=10000),M50*1%,IF(AND(M50&gt;1000,M50&lt;=5000),M50*2%,IF(AND(M50&gt;200,M50&lt;=1000),M50*3%,M50*5%))))</f>
        <v>0</v>
      </c>
      <c r="M69" s="14">
        <f>ROUND(L69,1)</f>
        <v>0</v>
      </c>
      <c r="N69" s="1842"/>
      <c r="O69" s="1842"/>
      <c r="P69" s="1842"/>
    </row>
    <row r="70" spans="1:35" s="2220" customFormat="1" ht="7.5" customHeight="1">
      <c r="A70" s="2272"/>
      <c r="B70" s="2273"/>
      <c r="C70" s="2274"/>
      <c r="D70" s="2275"/>
      <c r="E70" s="2276"/>
      <c r="F70" s="1020"/>
      <c r="G70" s="1020"/>
      <c r="H70" s="2246"/>
      <c r="I70" s="2193"/>
      <c r="J70" s="2936"/>
      <c r="K70" s="2271" t="s">
        <v>1891</v>
      </c>
      <c r="L70" s="2277"/>
      <c r="M70" s="14">
        <f>ROUND(SUM(M64:M69),0)</f>
        <v>0</v>
      </c>
      <c r="N70" s="1838" t="e">
        <f>M70/M50</f>
        <v>#DIV/0!</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9" customFormat="1" ht="15" thickBot="1">
      <c r="A71" s="2908" t="s">
        <v>1892</v>
      </c>
      <c r="B71" s="2909"/>
      <c r="C71" s="2909"/>
      <c r="D71" s="2909"/>
      <c r="E71" s="2909"/>
      <c r="F71" s="2909"/>
      <c r="G71" s="2909"/>
      <c r="H71" s="2909"/>
      <c r="I71" s="2278"/>
      <c r="J71" s="1284"/>
      <c r="K71" s="1284"/>
      <c r="L71" s="1284"/>
      <c r="M71" s="1284"/>
      <c r="N71" s="1284"/>
      <c r="O71" s="1284"/>
      <c r="P71" s="1284"/>
      <c r="Q71" s="1284"/>
      <c r="R71" s="1284"/>
      <c r="S71" s="1284"/>
      <c r="T71" s="1284"/>
      <c r="U71" s="1284"/>
      <c r="V71" s="1284"/>
      <c r="W71" s="1284"/>
      <c r="X71" s="1284"/>
      <c r="Y71" s="1284"/>
      <c r="Z71" s="1284"/>
      <c r="AA71" s="2280"/>
      <c r="AB71" s="2280"/>
      <c r="AC71" s="2280"/>
      <c r="AD71" s="2280"/>
      <c r="AE71" s="2280"/>
      <c r="AF71" s="2280"/>
      <c r="AG71" s="2280"/>
      <c r="AH71" s="2280"/>
      <c r="AI71" s="2280"/>
    </row>
    <row r="72" spans="1:35" s="2279" customFormat="1" ht="14.25">
      <c r="A72" s="2904" t="s">
        <v>1872</v>
      </c>
      <c r="B72" s="2905"/>
      <c r="C72" s="1882"/>
      <c r="D72" s="1882" t="s">
        <v>1873</v>
      </c>
      <c r="E72" s="130" t="s">
        <v>1874</v>
      </c>
      <c r="F72" s="131"/>
      <c r="G72" s="131"/>
      <c r="H72" s="132"/>
      <c r="I72" s="2281"/>
      <c r="J72" s="1284"/>
      <c r="K72" s="1284"/>
      <c r="L72" s="1284"/>
      <c r="M72" s="1284"/>
      <c r="N72" s="1284"/>
      <c r="O72" s="1284"/>
      <c r="P72" s="1284"/>
      <c r="Q72" s="1284"/>
      <c r="R72" s="1284"/>
      <c r="S72" s="1284"/>
      <c r="T72" s="1284"/>
      <c r="U72" s="1284"/>
      <c r="V72" s="1284"/>
      <c r="W72" s="1284"/>
      <c r="X72" s="1284"/>
      <c r="Y72" s="1284"/>
      <c r="Z72" s="1284"/>
      <c r="AA72" s="2280"/>
      <c r="AB72" s="2280"/>
      <c r="AC72" s="2280"/>
      <c r="AD72" s="2280"/>
      <c r="AE72" s="2280"/>
      <c r="AF72" s="2280"/>
      <c r="AG72" s="2280"/>
      <c r="AH72" s="2280"/>
      <c r="AI72" s="2280"/>
    </row>
    <row r="73" spans="1:35" s="2279" customFormat="1" ht="14.25">
      <c r="A73" s="133">
        <v>1</v>
      </c>
      <c r="B73" s="121" t="s">
        <v>1893</v>
      </c>
      <c r="C73" s="124">
        <f>ROUND(D46/(1+'数据-取费表'!F30),0)</f>
        <v>0</v>
      </c>
      <c r="D73" s="117" t="s">
        <v>41</v>
      </c>
      <c r="E73" s="1885"/>
      <c r="F73" s="1886"/>
      <c r="G73" s="1886"/>
      <c r="H73" s="134"/>
      <c r="I73" s="2281"/>
      <c r="J73" s="1284"/>
      <c r="K73" s="1284"/>
      <c r="L73" s="1284"/>
      <c r="M73" s="1284"/>
      <c r="N73" s="1284"/>
      <c r="O73" s="1284"/>
      <c r="P73" s="1284"/>
      <c r="Q73" s="1284"/>
      <c r="R73" s="1284"/>
      <c r="S73" s="1284"/>
      <c r="T73" s="1284"/>
      <c r="U73" s="1284"/>
      <c r="V73" s="1284"/>
      <c r="W73" s="1284"/>
      <c r="X73" s="1284"/>
      <c r="Y73" s="1284"/>
      <c r="Z73" s="1284"/>
      <c r="AA73" s="2280"/>
      <c r="AB73" s="2280"/>
      <c r="AC73" s="2280"/>
      <c r="AD73" s="2280"/>
      <c r="AE73" s="2280"/>
      <c r="AF73" s="2280"/>
      <c r="AG73" s="2280"/>
      <c r="AH73" s="2280"/>
      <c r="AI73" s="2280"/>
    </row>
    <row r="74" spans="1:35" s="2279" customFormat="1" ht="14.25">
      <c r="A74" s="135">
        <v>2</v>
      </c>
      <c r="B74" s="89" t="s">
        <v>1895</v>
      </c>
      <c r="C74" s="124">
        <f>C75+C79</f>
        <v>0</v>
      </c>
      <c r="D74" s="117" t="s">
        <v>41</v>
      </c>
      <c r="E74" s="1885"/>
      <c r="F74" s="1886"/>
      <c r="G74" s="1886"/>
      <c r="H74" s="134"/>
      <c r="I74" s="2281"/>
      <c r="J74" s="1284"/>
      <c r="K74" s="1284"/>
      <c r="L74" s="1284"/>
      <c r="M74" s="1284"/>
      <c r="N74" s="1284"/>
      <c r="O74" s="1284"/>
      <c r="P74" s="1284"/>
      <c r="Q74" s="1284"/>
      <c r="R74" s="1284"/>
      <c r="S74" s="1284"/>
      <c r="T74" s="1284"/>
      <c r="U74" s="1284"/>
      <c r="V74" s="1284"/>
      <c r="W74" s="1284"/>
      <c r="X74" s="1284"/>
      <c r="Y74" s="1284"/>
      <c r="Z74" s="1284"/>
      <c r="AA74" s="2280"/>
      <c r="AB74" s="2280"/>
      <c r="AC74" s="2280"/>
      <c r="AD74" s="2280"/>
      <c r="AE74" s="2280"/>
      <c r="AF74" s="2280"/>
      <c r="AG74" s="2280"/>
      <c r="AH74" s="2280"/>
      <c r="AI74" s="2280"/>
    </row>
    <row r="75" spans="1:35" s="2279" customFormat="1" ht="14.25">
      <c r="A75" s="136" t="s">
        <v>73</v>
      </c>
      <c r="B75" s="115" t="s">
        <v>1896</v>
      </c>
      <c r="C75" s="117">
        <f>ROUND(IF(G78="2016年5月1日后购买",C76/(1+'数据-取费表'!F30)+C77+C78,C76+C77+C78),0)</f>
        <v>0</v>
      </c>
      <c r="D75" s="117" t="s">
        <v>41</v>
      </c>
      <c r="E75" s="1885"/>
      <c r="F75" s="1886"/>
      <c r="G75" s="1886"/>
      <c r="H75" s="134"/>
      <c r="I75" s="2281"/>
      <c r="J75" s="1284"/>
      <c r="K75" s="1284"/>
      <c r="L75" s="1284"/>
      <c r="M75" s="1284"/>
      <c r="N75" s="1284"/>
      <c r="O75" s="1284"/>
      <c r="P75" s="1284"/>
      <c r="Q75" s="1284"/>
      <c r="R75" s="1284"/>
      <c r="S75" s="1284"/>
      <c r="T75" s="1284"/>
      <c r="U75" s="1284"/>
      <c r="V75" s="1284"/>
      <c r="W75" s="1284"/>
      <c r="X75" s="1284"/>
      <c r="Y75" s="1284"/>
      <c r="Z75" s="1284"/>
      <c r="AA75" s="2280"/>
      <c r="AB75" s="2280"/>
      <c r="AC75" s="2280"/>
      <c r="AD75" s="2280"/>
      <c r="AE75" s="2280"/>
      <c r="AF75" s="2280"/>
      <c r="AG75" s="2280"/>
      <c r="AH75" s="2280"/>
      <c r="AI75" s="2280"/>
    </row>
    <row r="76" spans="1:35" s="2279" customFormat="1" ht="14.25">
      <c r="A76" s="136" t="s">
        <v>74</v>
      </c>
      <c r="B76" s="115" t="s">
        <v>1897</v>
      </c>
      <c r="C76" s="137"/>
      <c r="D76" s="117" t="s">
        <v>41</v>
      </c>
      <c r="E76" s="138" t="s">
        <v>1898</v>
      </c>
      <c r="F76" s="2282" t="s">
        <v>1899</v>
      </c>
      <c r="G76" s="138" t="s">
        <v>1900</v>
      </c>
      <c r="H76" s="139"/>
      <c r="I76" s="9"/>
      <c r="J76" s="1284"/>
      <c r="K76" s="1284"/>
      <c r="L76" s="1284"/>
      <c r="M76" s="1284"/>
      <c r="N76" s="1284"/>
      <c r="O76" s="1284"/>
      <c r="P76" s="1284"/>
      <c r="Q76" s="1284"/>
      <c r="R76" s="1284"/>
      <c r="S76" s="1284"/>
      <c r="T76" s="1284"/>
      <c r="U76" s="1284"/>
      <c r="V76" s="1284"/>
      <c r="W76" s="1284"/>
      <c r="X76" s="1284"/>
      <c r="Y76" s="1284"/>
      <c r="Z76" s="1284"/>
      <c r="AA76" s="2280"/>
      <c r="AB76" s="2280"/>
      <c r="AC76" s="2280"/>
      <c r="AD76" s="2280"/>
      <c r="AE76" s="2280"/>
      <c r="AF76" s="2280"/>
      <c r="AG76" s="2280"/>
      <c r="AH76" s="2280"/>
      <c r="AI76" s="2280"/>
    </row>
    <row r="77" spans="1:35" s="2279" customFormat="1" ht="24.75" customHeight="1">
      <c r="A77" s="136" t="s">
        <v>75</v>
      </c>
      <c r="B77" s="140" t="s">
        <v>1901</v>
      </c>
      <c r="C77" s="117">
        <f>IF(F76="购房发票",ROUND(C76*H76*D77,0),0)</f>
        <v>0</v>
      </c>
      <c r="D77" s="141">
        <v>0.05</v>
      </c>
      <c r="E77" s="2885" t="s">
        <v>1902</v>
      </c>
      <c r="F77" s="2884"/>
      <c r="G77" s="2884"/>
      <c r="H77" s="2899"/>
      <c r="I77" s="2281"/>
      <c r="J77" s="1284"/>
      <c r="K77" s="1284"/>
      <c r="L77" s="1284"/>
      <c r="M77" s="1284"/>
      <c r="N77" s="1284"/>
      <c r="O77" s="1284"/>
      <c r="P77" s="1284"/>
      <c r="Q77" s="1284"/>
      <c r="R77" s="1284"/>
      <c r="S77" s="1284"/>
      <c r="T77" s="1284"/>
      <c r="U77" s="1284"/>
      <c r="V77" s="1284"/>
      <c r="W77" s="1284"/>
      <c r="X77" s="1284"/>
      <c r="Y77" s="1284"/>
      <c r="Z77" s="1284"/>
      <c r="AA77" s="2280"/>
      <c r="AB77" s="2280"/>
      <c r="AC77" s="2280"/>
      <c r="AD77" s="2280"/>
      <c r="AE77" s="2280"/>
      <c r="AF77" s="2280"/>
      <c r="AG77" s="2280"/>
      <c r="AH77" s="2280"/>
      <c r="AI77" s="2280"/>
    </row>
    <row r="78" spans="1:35" s="2279"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3" t="s">
        <v>1905</v>
      </c>
      <c r="H78" s="1887" t="str">
        <f>IF(G78="个人买卖住房","免征印花税"," ")</f>
        <v xml:space="preserve"> </v>
      </c>
      <c r="I78" s="2281"/>
      <c r="J78" s="1284"/>
      <c r="K78" s="1284"/>
      <c r="L78" s="1284"/>
      <c r="M78" s="1284"/>
      <c r="N78" s="1284"/>
      <c r="O78" s="1284"/>
      <c r="P78" s="1284"/>
      <c r="Q78" s="1284"/>
      <c r="R78" s="1284"/>
      <c r="S78" s="1284"/>
      <c r="T78" s="1284"/>
      <c r="U78" s="1284"/>
      <c r="V78" s="1284"/>
      <c r="W78" s="1284"/>
      <c r="X78" s="1284"/>
      <c r="Y78" s="1284"/>
      <c r="Z78" s="1284"/>
      <c r="AA78" s="2280"/>
      <c r="AB78" s="2280"/>
      <c r="AC78" s="2280"/>
      <c r="AD78" s="2280"/>
      <c r="AE78" s="2280"/>
      <c r="AF78" s="2280"/>
      <c r="AG78" s="2280"/>
      <c r="AH78" s="2280"/>
      <c r="AI78" s="2280"/>
    </row>
    <row r="79" spans="1:35" s="2279" customFormat="1" ht="24.75" customHeight="1">
      <c r="A79" s="136" t="s">
        <v>77</v>
      </c>
      <c r="B79" s="115" t="s">
        <v>1906</v>
      </c>
      <c r="C79" s="144">
        <f>ROUND(D46*D79/(1+'数据-取费表'!F30),0)</f>
        <v>0</v>
      </c>
      <c r="D79" s="145">
        <f>'数据-取费表'!E31</f>
        <v>5.5000000000000014E-3</v>
      </c>
      <c r="E79" s="2876" t="s">
        <v>1907</v>
      </c>
      <c r="F79" s="2877"/>
      <c r="G79" s="2877"/>
      <c r="H79" s="2878"/>
      <c r="I79" s="2284"/>
      <c r="J79" s="1284"/>
      <c r="K79" s="1284"/>
      <c r="L79" s="1284"/>
      <c r="M79" s="1284"/>
      <c r="N79" s="1284"/>
      <c r="O79" s="1284"/>
      <c r="P79" s="1284"/>
      <c r="Q79" s="1284"/>
      <c r="R79" s="1284"/>
      <c r="S79" s="1284"/>
      <c r="T79" s="1284"/>
      <c r="U79" s="1284"/>
      <c r="V79" s="1284"/>
      <c r="W79" s="1284"/>
      <c r="X79" s="1284"/>
      <c r="Y79" s="1284"/>
      <c r="Z79" s="1284"/>
      <c r="AA79" s="2280"/>
      <c r="AB79" s="2280"/>
      <c r="AC79" s="2280"/>
      <c r="AD79" s="2280"/>
      <c r="AE79" s="2280"/>
      <c r="AF79" s="2280"/>
      <c r="AG79" s="2280"/>
      <c r="AH79" s="2280"/>
      <c r="AI79" s="2280"/>
    </row>
    <row r="80" spans="1:35" s="2279" customFormat="1" ht="14.25">
      <c r="A80" s="146" t="s">
        <v>42</v>
      </c>
      <c r="B80" s="121" t="s">
        <v>1908</v>
      </c>
      <c r="C80" s="124">
        <f>C73-C74</f>
        <v>0</v>
      </c>
      <c r="D80" s="117" t="s">
        <v>41</v>
      </c>
      <c r="E80" s="1885"/>
      <c r="F80" s="1886"/>
      <c r="G80" s="1886"/>
      <c r="H80" s="134"/>
      <c r="I80" s="2281"/>
      <c r="J80" s="1284"/>
      <c r="K80" s="1284"/>
      <c r="L80" s="1284"/>
      <c r="M80" s="1284"/>
      <c r="N80" s="1284"/>
      <c r="O80" s="1284"/>
      <c r="P80" s="1284"/>
      <c r="Q80" s="1284"/>
      <c r="R80" s="1284"/>
      <c r="S80" s="1284"/>
      <c r="T80" s="1284"/>
      <c r="U80" s="1284"/>
      <c r="V80" s="1284"/>
      <c r="W80" s="1284"/>
      <c r="X80" s="1284"/>
      <c r="Y80" s="1284"/>
      <c r="Z80" s="1284"/>
      <c r="AA80" s="2280"/>
      <c r="AB80" s="2280"/>
      <c r="AC80" s="2280"/>
      <c r="AD80" s="2280"/>
      <c r="AE80" s="2280"/>
      <c r="AF80" s="2280"/>
      <c r="AG80" s="2280"/>
      <c r="AH80" s="2280"/>
      <c r="AI80" s="2280"/>
    </row>
    <row r="81" spans="1:35" s="2279"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1"/>
      <c r="J81" s="1284"/>
      <c r="K81" s="1284"/>
      <c r="L81" s="1284"/>
      <c r="M81" s="1284"/>
      <c r="N81" s="1284"/>
      <c r="O81" s="1284"/>
      <c r="P81" s="1284"/>
      <c r="Q81" s="1284"/>
      <c r="R81" s="1284"/>
      <c r="S81" s="1284"/>
      <c r="T81" s="1284"/>
      <c r="U81" s="1284"/>
      <c r="V81" s="1284"/>
      <c r="W81" s="1284"/>
      <c r="X81" s="1284"/>
      <c r="Y81" s="1284"/>
      <c r="Z81" s="1284"/>
      <c r="AA81" s="2280"/>
      <c r="AB81" s="2280"/>
      <c r="AC81" s="2280"/>
      <c r="AD81" s="2280"/>
      <c r="AE81" s="2280"/>
      <c r="AF81" s="2280"/>
      <c r="AG81" s="2280"/>
      <c r="AH81" s="2280"/>
      <c r="AI81" s="2280"/>
    </row>
    <row r="82" spans="1:35" s="2279"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4"/>
      <c r="K82" s="1284"/>
      <c r="L82" s="1284"/>
      <c r="M82" s="1284"/>
      <c r="N82" s="1284"/>
      <c r="O82" s="1284"/>
      <c r="P82" s="1284"/>
      <c r="Q82" s="1284"/>
      <c r="R82" s="1284"/>
      <c r="S82" s="1284"/>
      <c r="T82" s="1284"/>
      <c r="U82" s="1284"/>
      <c r="V82" s="1284"/>
      <c r="W82" s="1284"/>
      <c r="X82" s="1284"/>
      <c r="Y82" s="1284"/>
      <c r="Z82" s="1284"/>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4"/>
      <c r="K83" s="1284"/>
      <c r="L83" s="1284"/>
      <c r="M83" s="1284"/>
      <c r="N83" s="1284"/>
      <c r="O83" s="1284"/>
      <c r="P83" s="1284"/>
      <c r="Q83" s="1284"/>
      <c r="R83" s="1284"/>
      <c r="S83" s="1284"/>
      <c r="T83" s="1284"/>
      <c r="U83" s="1284"/>
      <c r="V83" s="1284"/>
      <c r="W83" s="1284"/>
      <c r="X83" s="1284"/>
      <c r="Y83" s="1284"/>
      <c r="Z83" s="1284"/>
      <c r="AA83" s="2280"/>
      <c r="AB83" s="2280"/>
      <c r="AC83" s="2280"/>
      <c r="AD83" s="2280"/>
      <c r="AE83" s="2280"/>
      <c r="AF83" s="2280"/>
      <c r="AG83" s="2280"/>
      <c r="AH83" s="2280"/>
      <c r="AI83" s="2280"/>
    </row>
    <row r="84" spans="1:35" s="2279" customFormat="1" ht="15" thickBot="1">
      <c r="A84" s="2908" t="s">
        <v>1911</v>
      </c>
      <c r="B84" s="2909"/>
      <c r="C84" s="2909"/>
      <c r="D84" s="2909"/>
      <c r="E84" s="2909"/>
      <c r="F84" s="2909"/>
      <c r="G84" s="2909"/>
      <c r="H84" s="2909"/>
      <c r="I84" s="9"/>
      <c r="J84" s="1284"/>
      <c r="K84" s="1284"/>
      <c r="L84" s="1284"/>
      <c r="M84" s="1284"/>
      <c r="N84" s="1284"/>
      <c r="O84" s="1284"/>
      <c r="P84" s="1284"/>
      <c r="Q84" s="1284"/>
      <c r="R84" s="1284"/>
      <c r="S84" s="1284"/>
      <c r="T84" s="1284"/>
      <c r="U84" s="1284"/>
      <c r="V84" s="1284"/>
      <c r="W84" s="1284"/>
      <c r="X84" s="1284"/>
      <c r="Y84" s="1284"/>
      <c r="Z84" s="1284"/>
      <c r="AA84" s="2280"/>
      <c r="AB84" s="2280"/>
      <c r="AC84" s="2280"/>
      <c r="AD84" s="2280"/>
      <c r="AE84" s="2280"/>
      <c r="AF84" s="2280"/>
      <c r="AG84" s="2280"/>
      <c r="AH84" s="2280"/>
      <c r="AI84" s="2280"/>
    </row>
    <row r="85" spans="1:35" s="2279" customFormat="1" ht="14.25">
      <c r="A85" s="2904" t="s">
        <v>1872</v>
      </c>
      <c r="B85" s="2905"/>
      <c r="C85" s="1882"/>
      <c r="D85" s="1882" t="s">
        <v>1873</v>
      </c>
      <c r="E85" s="130" t="s">
        <v>1874</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0"/>
      <c r="AB85" s="2280"/>
      <c r="AC85" s="2280"/>
      <c r="AD85" s="2280"/>
      <c r="AE85" s="2280"/>
      <c r="AF85" s="2280"/>
      <c r="AG85" s="2280"/>
      <c r="AH85" s="2280"/>
      <c r="AI85" s="2280"/>
    </row>
    <row r="86" spans="1:35" s="2279" customFormat="1" ht="14.25">
      <c r="A86" s="133">
        <v>1</v>
      </c>
      <c r="B86" s="121" t="s">
        <v>1893</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0"/>
      <c r="AB86" s="2280"/>
      <c r="AC86" s="2280"/>
      <c r="AD86" s="2280"/>
      <c r="AE86" s="2280"/>
      <c r="AF86" s="2280"/>
      <c r="AG86" s="2280"/>
      <c r="AH86" s="2280"/>
      <c r="AI86" s="2280"/>
    </row>
    <row r="87" spans="1:35" s="2279" customFormat="1" ht="14.25">
      <c r="A87" s="135">
        <v>2</v>
      </c>
      <c r="B87" s="89" t="s">
        <v>1895</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0"/>
      <c r="AB87" s="2280"/>
      <c r="AC87" s="2280"/>
      <c r="AD87" s="2280"/>
      <c r="AE87" s="2280"/>
      <c r="AF87" s="2280"/>
      <c r="AG87" s="2280"/>
      <c r="AH87" s="2280"/>
      <c r="AI87" s="2280"/>
    </row>
    <row r="88" spans="1:35" s="2279" customFormat="1" ht="14.25">
      <c r="A88" s="136" t="s">
        <v>73</v>
      </c>
      <c r="B88" s="115" t="s">
        <v>1912</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0"/>
      <c r="AB88" s="2280"/>
      <c r="AC88" s="2280"/>
      <c r="AD88" s="2280"/>
      <c r="AE88" s="2280"/>
      <c r="AF88" s="2280"/>
      <c r="AG88" s="2280"/>
      <c r="AH88" s="2280"/>
      <c r="AI88" s="2280"/>
    </row>
    <row r="89" spans="1:35" s="2279" customFormat="1" ht="14.25">
      <c r="A89" s="136" t="s">
        <v>74</v>
      </c>
      <c r="B89" s="115" t="s">
        <v>1913</v>
      </c>
      <c r="C89" s="157"/>
      <c r="D89" s="145"/>
      <c r="E89" s="158" t="s">
        <v>1914</v>
      </c>
      <c r="F89" s="1879"/>
      <c r="G89" s="159" t="s">
        <v>1915</v>
      </c>
      <c r="H89" s="2285"/>
      <c r="I89" s="9"/>
      <c r="J89" s="1284"/>
      <c r="K89" s="1284"/>
      <c r="L89" s="1284"/>
      <c r="M89" s="1284"/>
      <c r="N89" s="1284"/>
      <c r="O89" s="1284"/>
      <c r="P89" s="1284"/>
      <c r="Q89" s="1284"/>
      <c r="R89" s="1284"/>
      <c r="S89" s="1284"/>
      <c r="T89" s="1284"/>
      <c r="U89" s="1284"/>
      <c r="V89" s="1284"/>
      <c r="W89" s="1284"/>
      <c r="X89" s="1284"/>
      <c r="Y89" s="1284"/>
      <c r="Z89" s="1284"/>
      <c r="AA89" s="2280"/>
      <c r="AB89" s="2280"/>
      <c r="AC89" s="2280"/>
      <c r="AD89" s="2280"/>
      <c r="AE89" s="2280"/>
      <c r="AF89" s="2280"/>
      <c r="AG89" s="2280"/>
      <c r="AH89" s="2280"/>
      <c r="AI89" s="2280"/>
    </row>
    <row r="90" spans="1:35" s="2279" customFormat="1" ht="14.25">
      <c r="A90" s="136" t="s">
        <v>75</v>
      </c>
      <c r="B90" s="115" t="s">
        <v>1903</v>
      </c>
      <c r="C90" s="144">
        <f>ROUND(C89*D90,0)</f>
        <v>0</v>
      </c>
      <c r="D90" s="145">
        <f>'数据-取费表'!E36+'数据-取费表'!E37</f>
        <v>3.0499999999999999E-2</v>
      </c>
      <c r="E90" s="158" t="s">
        <v>1916</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0"/>
      <c r="AB90" s="2280"/>
      <c r="AC90" s="2280"/>
      <c r="AD90" s="2280"/>
      <c r="AE90" s="2280"/>
      <c r="AF90" s="2280"/>
      <c r="AG90" s="2280"/>
      <c r="AH90" s="2280"/>
      <c r="AI90" s="2280"/>
    </row>
    <row r="91" spans="1:35" s="2279" customFormat="1" ht="14.25">
      <c r="A91" s="136" t="s">
        <v>77</v>
      </c>
      <c r="B91" s="115" t="s">
        <v>1917</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0"/>
      <c r="AB91" s="2280"/>
      <c r="AC91" s="2280"/>
      <c r="AD91" s="2280"/>
      <c r="AE91" s="2280"/>
      <c r="AF91" s="2280"/>
      <c r="AG91" s="2280"/>
      <c r="AH91" s="2280"/>
      <c r="AI91" s="2280"/>
    </row>
    <row r="92" spans="1:35" s="2279" customFormat="1" ht="30.75" customHeight="1">
      <c r="A92" s="136" t="s">
        <v>78</v>
      </c>
      <c r="B92" s="115" t="s">
        <v>1918</v>
      </c>
      <c r="C92" s="144">
        <f>IF(H92="——",成本法!C33,I92)</f>
        <v>0</v>
      </c>
      <c r="D92" s="145"/>
      <c r="E92" s="2876" t="s">
        <v>1919</v>
      </c>
      <c r="F92" s="2877"/>
      <c r="G92" s="2877"/>
      <c r="H92" s="2286" t="s">
        <v>1920</v>
      </c>
      <c r="I92" s="2287"/>
      <c r="J92" s="1284"/>
      <c r="K92" s="1284"/>
      <c r="L92" s="1284"/>
      <c r="M92" s="1284"/>
      <c r="N92" s="1284"/>
      <c r="O92" s="1284"/>
      <c r="P92" s="1284"/>
      <c r="Q92" s="1284"/>
      <c r="R92" s="1284"/>
      <c r="S92" s="1284"/>
      <c r="T92" s="1284"/>
      <c r="U92" s="1284"/>
      <c r="V92" s="1284"/>
      <c r="W92" s="1284"/>
      <c r="X92" s="1284"/>
      <c r="Y92" s="1284"/>
      <c r="Z92" s="1284"/>
      <c r="AA92" s="2280"/>
      <c r="AB92" s="2280"/>
      <c r="AC92" s="2280"/>
      <c r="AD92" s="2280"/>
      <c r="AE92" s="2280"/>
      <c r="AF92" s="2280"/>
      <c r="AG92" s="2280"/>
      <c r="AH92" s="2280"/>
      <c r="AI92" s="2280"/>
    </row>
    <row r="93" spans="1:35" s="2279" customFormat="1" ht="25.5" customHeight="1">
      <c r="A93" s="136" t="s">
        <v>79</v>
      </c>
      <c r="B93" s="115" t="s">
        <v>1921</v>
      </c>
      <c r="C93" s="144">
        <f>ROUND((C88+C91+C92)*D93,0)</f>
        <v>0</v>
      </c>
      <c r="D93" s="145">
        <v>0.1</v>
      </c>
      <c r="E93" s="2876" t="s">
        <v>1922</v>
      </c>
      <c r="F93" s="2877"/>
      <c r="G93" s="2877"/>
      <c r="H93" s="2878"/>
      <c r="I93" s="9"/>
      <c r="J93" s="1284"/>
      <c r="K93" s="1284"/>
      <c r="L93" s="1284"/>
      <c r="M93" s="1284"/>
      <c r="N93" s="1284"/>
      <c r="O93" s="1284"/>
      <c r="P93" s="1284"/>
      <c r="Q93" s="1284"/>
      <c r="R93" s="1284"/>
      <c r="S93" s="1284"/>
      <c r="T93" s="1284"/>
      <c r="U93" s="1284"/>
      <c r="V93" s="1284"/>
      <c r="W93" s="1284"/>
      <c r="X93" s="1284"/>
      <c r="Y93" s="1284"/>
      <c r="Z93" s="1284"/>
      <c r="AA93" s="2280"/>
      <c r="AB93" s="2280"/>
      <c r="AC93" s="2280"/>
      <c r="AD93" s="2280"/>
      <c r="AE93" s="2280"/>
      <c r="AF93" s="2280"/>
      <c r="AG93" s="2280"/>
      <c r="AH93" s="2280"/>
      <c r="AI93" s="2280"/>
    </row>
    <row r="94" spans="1:35" s="2279" customFormat="1" ht="25.5" customHeight="1">
      <c r="A94" s="136" t="s">
        <v>80</v>
      </c>
      <c r="B94" s="115" t="s">
        <v>1906</v>
      </c>
      <c r="C94" s="144">
        <f>ROUND(D46*D94/(1+'数据-取费表'!F30),0)</f>
        <v>0</v>
      </c>
      <c r="D94" s="145">
        <f>'数据-取费表'!E31</f>
        <v>5.5000000000000014E-3</v>
      </c>
      <c r="E94" s="2876" t="s">
        <v>1907</v>
      </c>
      <c r="F94" s="2877"/>
      <c r="G94" s="2877"/>
      <c r="H94" s="2878"/>
      <c r="I94" s="9"/>
      <c r="J94" s="1284"/>
      <c r="K94" s="1284"/>
      <c r="L94" s="1284"/>
      <c r="M94" s="1284"/>
      <c r="N94" s="1284"/>
      <c r="O94" s="1284"/>
      <c r="P94" s="1284"/>
      <c r="Q94" s="1284"/>
      <c r="R94" s="1284"/>
      <c r="S94" s="1284"/>
      <c r="T94" s="1284"/>
      <c r="U94" s="1284"/>
      <c r="V94" s="1284"/>
      <c r="W94" s="1284"/>
      <c r="X94" s="1284"/>
      <c r="Y94" s="1284"/>
      <c r="Z94" s="1284"/>
      <c r="AA94" s="2280"/>
      <c r="AB94" s="2280"/>
      <c r="AC94" s="2280"/>
      <c r="AD94" s="2280"/>
      <c r="AE94" s="2280"/>
      <c r="AF94" s="2280"/>
      <c r="AG94" s="2280"/>
      <c r="AH94" s="2280"/>
      <c r="AI94" s="2280"/>
    </row>
    <row r="95" spans="1:35" s="2279" customFormat="1" ht="25.5" customHeight="1">
      <c r="A95" s="136" t="s">
        <v>81</v>
      </c>
      <c r="B95" s="115" t="s">
        <v>1923</v>
      </c>
      <c r="C95" s="144">
        <f>ROUND((C88+C91+C92)*D95,0)</f>
        <v>0</v>
      </c>
      <c r="D95" s="145">
        <v>0.2</v>
      </c>
      <c r="E95" s="2876" t="s">
        <v>1924</v>
      </c>
      <c r="F95" s="2877"/>
      <c r="G95" s="2877"/>
      <c r="H95" s="2878"/>
      <c r="I95" s="9"/>
      <c r="J95" s="1284"/>
      <c r="K95" s="1284"/>
      <c r="L95" s="1284"/>
      <c r="M95" s="1284"/>
      <c r="N95" s="1284"/>
      <c r="O95" s="1284"/>
      <c r="P95" s="1284"/>
      <c r="Q95" s="1284"/>
      <c r="R95" s="1284"/>
      <c r="S95" s="1284"/>
      <c r="T95" s="1284"/>
      <c r="U95" s="1284"/>
      <c r="V95" s="1284"/>
      <c r="W95" s="1284"/>
      <c r="X95" s="1284"/>
      <c r="Y95" s="1284"/>
      <c r="Z95" s="1284"/>
      <c r="AA95" s="2280"/>
      <c r="AB95" s="2280"/>
      <c r="AC95" s="2280"/>
      <c r="AD95" s="2280"/>
      <c r="AE95" s="2280"/>
      <c r="AF95" s="2280"/>
      <c r="AG95" s="2280"/>
      <c r="AH95" s="2280"/>
      <c r="AI95" s="2280"/>
    </row>
    <row r="96" spans="1:35" s="2279" customFormat="1" ht="14.25">
      <c r="A96" s="146" t="s">
        <v>42</v>
      </c>
      <c r="B96" s="121" t="s">
        <v>1908</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0"/>
      <c r="AB96" s="2280"/>
      <c r="AC96" s="2280"/>
      <c r="AD96" s="2280"/>
      <c r="AE96" s="2280"/>
      <c r="AF96" s="2280"/>
      <c r="AG96" s="2280"/>
      <c r="AH96" s="2280"/>
      <c r="AI96" s="2280"/>
    </row>
    <row r="97" spans="1:35" s="2279"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0"/>
      <c r="AB97" s="2280"/>
      <c r="AC97" s="2280"/>
      <c r="AD97" s="2280"/>
      <c r="AE97" s="2280"/>
      <c r="AF97" s="2280"/>
      <c r="AG97" s="2280"/>
      <c r="AH97" s="2280"/>
      <c r="AI97" s="2280"/>
    </row>
    <row r="98" spans="1:35" s="2279"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0"/>
      <c r="AB98" s="2280"/>
      <c r="AC98" s="2280"/>
      <c r="AD98" s="2280"/>
      <c r="AE98" s="2280"/>
      <c r="AF98" s="2280"/>
      <c r="AG98" s="2280"/>
      <c r="AH98" s="2280"/>
      <c r="AI98" s="2280"/>
    </row>
    <row r="99" spans="1:35" ht="21.75" customHeight="1" thickBot="1">
      <c r="A99" s="2249" t="s">
        <v>1925</v>
      </c>
      <c r="B99" s="2193"/>
      <c r="C99" s="2193"/>
      <c r="D99" s="2193"/>
      <c r="E99" s="1020"/>
      <c r="F99" s="1020"/>
      <c r="G99" s="1020"/>
      <c r="H99" s="2246"/>
      <c r="I99" s="2193"/>
    </row>
    <row r="100" spans="1:35" ht="15.75">
      <c r="A100" s="2931" t="s">
        <v>1926</v>
      </c>
      <c r="B100" s="2932"/>
      <c r="C100" s="2932"/>
      <c r="D100" s="2933"/>
      <c r="E100" s="2193"/>
      <c r="F100" s="2942" t="s">
        <v>1927</v>
      </c>
      <c r="G100" s="2943"/>
      <c r="H100" s="2943"/>
      <c r="I100" s="2944"/>
    </row>
    <row r="101" spans="1:35" ht="15.75">
      <c r="A101" s="2945" t="s">
        <v>1928</v>
      </c>
      <c r="B101" s="2946"/>
      <c r="C101" s="719">
        <f>C4</f>
        <v>0</v>
      </c>
      <c r="D101" s="720">
        <f>D4</f>
        <v>0</v>
      </c>
      <c r="E101" s="2193"/>
      <c r="F101" s="2841" t="s">
        <v>1929</v>
      </c>
      <c r="G101" s="2842"/>
      <c r="H101" s="2967" t="s">
        <v>1930</v>
      </c>
      <c r="I101" s="2840"/>
    </row>
    <row r="102" spans="1:35" ht="15.75">
      <c r="A102" s="2968" t="s">
        <v>1990</v>
      </c>
      <c r="B102" s="2288" t="str">
        <f>IF(H19="元","总价（元）","总价（万元）")</f>
        <v>总价（元）</v>
      </c>
      <c r="C102" s="719" t="e">
        <f ca="1">C19</f>
        <v>#REF!</v>
      </c>
      <c r="D102" s="720" t="e">
        <f ca="1">D19</f>
        <v>#REF!</v>
      </c>
      <c r="E102" s="2193"/>
      <c r="F102" s="2969"/>
      <c r="G102" s="2970"/>
      <c r="H102" s="2839">
        <f>典型户型修正!B25</f>
        <v>900.76</v>
      </c>
      <c r="I102" s="2840"/>
    </row>
    <row r="103" spans="1:35" ht="15.75">
      <c r="A103" s="2968"/>
      <c r="B103" s="2288" t="s">
        <v>1932</v>
      </c>
      <c r="C103" s="721" t="e">
        <f ca="1">C20</f>
        <v>#REF!</v>
      </c>
      <c r="D103" s="722" t="e">
        <f ca="1">D20</f>
        <v>#REF!</v>
      </c>
      <c r="E103" s="2193"/>
      <c r="F103" s="2868" t="s">
        <v>1933</v>
      </c>
      <c r="G103" s="2869"/>
      <c r="H103" s="2289" t="str">
        <f>C109</f>
        <v>总价（元）</v>
      </c>
      <c r="I103" s="1859">
        <f>H124</f>
        <v>0</v>
      </c>
    </row>
    <row r="104" spans="1:35" ht="15">
      <c r="A104" s="2968" t="s">
        <v>1991</v>
      </c>
      <c r="B104" s="2290" t="str">
        <f>B102</f>
        <v>总价（元）</v>
      </c>
      <c r="C104" s="1188" t="e">
        <f ca="1">ROUND(IF('数据-取费表'!B4="总价",G19,IF(H19="元",G20*'数据-取费表'!E5,G20*'数据-取费表'!E5/10000)),0)</f>
        <v>#REF!</v>
      </c>
      <c r="D104" s="724"/>
      <c r="E104" s="2193"/>
      <c r="F104" s="2868"/>
      <c r="G104" s="2869"/>
      <c r="H104" s="2289" t="s">
        <v>1932</v>
      </c>
      <c r="I104" s="1048">
        <f>I124</f>
        <v>0</v>
      </c>
    </row>
    <row r="105" spans="1:35" ht="15.75">
      <c r="A105" s="2968"/>
      <c r="B105" s="2288" t="s">
        <v>1932</v>
      </c>
      <c r="C105" s="1189" t="e">
        <f ca="1">ROUND(IF('数据-取费表'!B4="楼面单价",G20,IF(H19="元",G19/'数据-取费表'!E5,G19*10000/'数据-取费表'!E5)),0)</f>
        <v>#REF!</v>
      </c>
      <c r="D105" s="724"/>
      <c r="E105" s="2193"/>
      <c r="F105" s="2940"/>
      <c r="G105" s="2941"/>
      <c r="H105" s="2925"/>
      <c r="I105" s="2926"/>
    </row>
    <row r="106" spans="1:35" ht="15.75">
      <c r="A106" s="2961" t="s">
        <v>1992</v>
      </c>
      <c r="B106" s="2328" t="str">
        <f>B102</f>
        <v>总价（元）</v>
      </c>
      <c r="C106" s="723">
        <f>H124</f>
        <v>0</v>
      </c>
      <c r="D106" s="1187"/>
      <c r="E106" s="2193"/>
      <c r="F106" s="2929" t="s">
        <v>1936</v>
      </c>
      <c r="G106" s="2930"/>
      <c r="H106" s="2292" t="str">
        <f>C111</f>
        <v>总额（元）</v>
      </c>
      <c r="I106" s="1859">
        <f>SUMIF(I107:I109,"&lt;9E307")</f>
        <v>0</v>
      </c>
    </row>
    <row r="107" spans="1:35" ht="15.75" thickBot="1">
      <c r="A107" s="2924"/>
      <c r="B107" s="2291" t="s">
        <v>1932</v>
      </c>
      <c r="C107" s="725">
        <f>I124</f>
        <v>0</v>
      </c>
      <c r="D107" s="726"/>
      <c r="E107" s="2193"/>
      <c r="F107" s="2857" t="s">
        <v>1938</v>
      </c>
      <c r="G107" s="2858"/>
      <c r="H107" s="2292" t="str">
        <f>C112</f>
        <v>总额（元）</v>
      </c>
      <c r="I107" s="1048">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64" t="s">
        <v>1935</v>
      </c>
      <c r="B108" s="2965"/>
      <c r="C108" s="2965"/>
      <c r="D108" s="2966"/>
      <c r="E108" s="2193"/>
      <c r="F108" s="2857" t="s">
        <v>1939</v>
      </c>
      <c r="G108" s="2858"/>
      <c r="H108" s="2292" t="str">
        <f>C113</f>
        <v>总额（元）</v>
      </c>
      <c r="I108" s="1048">
        <f>C38</f>
        <v>0</v>
      </c>
      <c r="K108" s="2293"/>
    </row>
    <row r="109" spans="1:35" ht="15">
      <c r="A109" s="2855" t="s">
        <v>1993</v>
      </c>
      <c r="B109" s="2856"/>
      <c r="C109" s="2289" t="str">
        <f>B102</f>
        <v>总价（元）</v>
      </c>
      <c r="D109" s="1049">
        <f>H124</f>
        <v>0</v>
      </c>
      <c r="E109" s="2193"/>
      <c r="F109" s="2857" t="s">
        <v>1941</v>
      </c>
      <c r="G109" s="2858"/>
      <c r="H109" s="2292" t="str">
        <f>C114</f>
        <v>总额（元）</v>
      </c>
      <c r="I109" s="1048">
        <f>C39</f>
        <v>0</v>
      </c>
    </row>
    <row r="110" spans="1:35" ht="15.75">
      <c r="A110" s="2855"/>
      <c r="B110" s="2856"/>
      <c r="C110" s="2289" t="s">
        <v>1932</v>
      </c>
      <c r="D110" s="1050">
        <f>I124</f>
        <v>0</v>
      </c>
      <c r="E110" s="2193"/>
      <c r="F110" s="2940"/>
      <c r="G110" s="2941"/>
      <c r="H110" s="2927"/>
      <c r="I110" s="2928"/>
    </row>
    <row r="111" spans="1:35" ht="28.5" customHeight="1">
      <c r="A111" s="2862" t="s">
        <v>1940</v>
      </c>
      <c r="B111" s="2863"/>
      <c r="C111" s="2292" t="str">
        <f>IF(H19="元","总额（元）","总额（万元）")</f>
        <v>总额（元）</v>
      </c>
      <c r="D111" s="1049">
        <f>IF(D37="正常操作",I107+I108+I109,I108+I109)</f>
        <v>0</v>
      </c>
      <c r="E111" s="2193"/>
      <c r="F111" s="2843" t="str">
        <f>IF(项目基本情况!F5="已注销","——","3.房地产抵押价值")</f>
        <v>3.房地产抵押价值</v>
      </c>
      <c r="G111" s="2844"/>
      <c r="H111" s="2329" t="str">
        <f>C115</f>
        <v>总价（元）</v>
      </c>
      <c r="I111" s="1859">
        <f>IF(F111="——","——",I103-I106)</f>
        <v>0</v>
      </c>
    </row>
    <row r="112" spans="1:35" ht="15">
      <c r="A112" s="2857" t="s">
        <v>1938</v>
      </c>
      <c r="B112" s="2858"/>
      <c r="C112" s="2292" t="str">
        <f>C111</f>
        <v>总额（元）</v>
      </c>
      <c r="D112" s="637">
        <f>IF(D37="同一抵押权人同一抵押物续贷",C37&amp;"（未扣减，详见特别提示）",C37)</f>
        <v>0</v>
      </c>
      <c r="E112" s="2193"/>
      <c r="F112" s="2959"/>
      <c r="G112" s="2960"/>
      <c r="H112" s="2289" t="s">
        <v>1932</v>
      </c>
      <c r="I112" s="2295">
        <f>D116</f>
        <v>0</v>
      </c>
    </row>
    <row r="113" spans="1:26" ht="15.75">
      <c r="A113" s="2857" t="s">
        <v>1939</v>
      </c>
      <c r="B113" s="2858"/>
      <c r="C113" s="2292" t="str">
        <f>C111</f>
        <v>总额（元）</v>
      </c>
      <c r="D113" s="637">
        <f>C38</f>
        <v>0</v>
      </c>
      <c r="E113" s="2193"/>
      <c r="F113" s="2843" t="str">
        <f>IF(项目基本情况!F5="已注销及未注销","4.抵押担保权已注销时的房地产抵押价值",IF(项目基本情况!F5="已注销","3.抵押担保权已注销时的房地产抵押价值","——"))</f>
        <v>——</v>
      </c>
      <c r="G113" s="2844"/>
      <c r="H113" s="2329" t="str">
        <f>C117</f>
        <v>总价（元）</v>
      </c>
      <c r="I113" s="1859" t="str">
        <f>IF(F113="——","——",I103-I108-I109)</f>
        <v>——</v>
      </c>
    </row>
    <row r="114" spans="1:26" ht="15">
      <c r="A114" s="2857" t="s">
        <v>1941</v>
      </c>
      <c r="B114" s="2858"/>
      <c r="C114" s="2292" t="str">
        <f>C111</f>
        <v>总额（元）</v>
      </c>
      <c r="D114" s="637">
        <f>C39</f>
        <v>0</v>
      </c>
      <c r="E114" s="2193"/>
      <c r="F114" s="2959"/>
      <c r="G114" s="2960"/>
      <c r="H114" s="2289" t="s">
        <v>1932</v>
      </c>
      <c r="I114" s="1048" t="str">
        <f>D118</f>
        <v>——</v>
      </c>
    </row>
    <row r="115" spans="1:26" ht="15.75">
      <c r="A115" s="2855" t="str">
        <f>IF(项目基本情况!F5="已注销","——","3.房地产抵押价值")</f>
        <v>3.房地产抵押价值</v>
      </c>
      <c r="B115" s="2856"/>
      <c r="C115" s="2289" t="str">
        <f>B102</f>
        <v>总价（元）</v>
      </c>
      <c r="D115" s="1049">
        <f>IF(A115="——","——",D109-D111)</f>
        <v>0</v>
      </c>
      <c r="E115" s="2193"/>
      <c r="F115" s="2843" t="str">
        <f>IF(项目基本情况!G5="抵押净值",IF(OR(项目基本情况!F5="已注销",项目基本情况!F5="房地产抵押价值"),"4.抵押净值","5.抵押净值"),"——")</f>
        <v>——</v>
      </c>
      <c r="G115" s="2844"/>
      <c r="H115" s="2289" t="str">
        <f>C119</f>
        <v>总价（元）</v>
      </c>
      <c r="I115" s="1859" t="str">
        <f>IF(F115="——","——",N60)</f>
        <v>——</v>
      </c>
    </row>
    <row r="116" spans="1:26" ht="15.75" thickBot="1">
      <c r="A116" s="2855"/>
      <c r="B116" s="2856"/>
      <c r="C116" s="2289" t="s">
        <v>1994</v>
      </c>
      <c r="D116" s="1050">
        <f>ROUND(IF(D115=D109,D110,IF(H19="元",D115/B124,D115*10000/B124)),0)</f>
        <v>0</v>
      </c>
      <c r="E116" s="2193"/>
      <c r="F116" s="2845"/>
      <c r="G116" s="2846"/>
      <c r="H116" s="2297" t="s">
        <v>1994</v>
      </c>
      <c r="I116" s="1861" t="str">
        <f>D120</f>
        <v>——</v>
      </c>
    </row>
    <row r="117" spans="1:26" ht="15.75">
      <c r="A117" s="2855" t="str">
        <f>IF(项目基本情况!F5="已注销及未注销","4.抵押担保权已注销时的房地产抵押价值",IF(项目基本情况!F5="已注销","3.抵押担保权已注销时的房地产抵押价值","——"))</f>
        <v>——</v>
      </c>
      <c r="B117" s="2856"/>
      <c r="C117" s="2289" t="str">
        <f>B102</f>
        <v>总价（元）</v>
      </c>
      <c r="D117" s="1049" t="str">
        <f>IF(A117="——","——",D109-D113-D114)</f>
        <v>——</v>
      </c>
      <c r="E117" s="2193"/>
      <c r="F117" s="2955"/>
      <c r="G117" s="2955"/>
      <c r="H117" s="2911"/>
      <c r="I117" s="2911"/>
      <c r="N117" s="55"/>
      <c r="O117" s="55"/>
    </row>
    <row r="118" spans="1:26" s="1842" customFormat="1" ht="15">
      <c r="A118" s="2855"/>
      <c r="B118" s="2856"/>
      <c r="C118" s="2289" t="s">
        <v>1994</v>
      </c>
      <c r="D118" s="1050" t="str">
        <f>IF(A117="——","——",IF(H19="元",ROUND(D117/B124,0),ROUND(D117*10000/B124,0)))</f>
        <v>——</v>
      </c>
      <c r="E118" s="2193"/>
      <c r="F118" s="2963" t="str">
        <f>IF(B32="总价","（以上估价结果中楼面单价为总价除以建筑面积得出）","（以上估价结果中总价为楼面单价乘以建筑面积得出）")</f>
        <v>（以上估价结果中总价为楼面单价乘以建筑面积得出）</v>
      </c>
      <c r="G118" s="2963"/>
      <c r="H118" s="2963"/>
      <c r="I118" s="2963"/>
      <c r="J118" s="797"/>
      <c r="K118" s="797"/>
      <c r="L118" s="797"/>
      <c r="M118" s="797"/>
      <c r="N118" s="55"/>
      <c r="O118" s="55"/>
      <c r="P118" s="797"/>
      <c r="Q118" s="797"/>
      <c r="R118" s="797"/>
      <c r="S118" s="797"/>
      <c r="T118" s="797"/>
      <c r="U118" s="797"/>
      <c r="V118" s="797"/>
      <c r="W118" s="797"/>
      <c r="X118" s="797"/>
      <c r="Y118" s="797"/>
      <c r="Z118" s="797"/>
    </row>
    <row r="119" spans="1:26" s="1842" customFormat="1" ht="15">
      <c r="A119" s="2855" t="str">
        <f>IF(项目基本情况!G5="抵押净值",IF(OR(项目基本情况!F5="已注销",项目基本情况!F5="房地产抵押价值"),"4.抵押净值","5.抵押净值"),"——")</f>
        <v>——</v>
      </c>
      <c r="B119" s="2856"/>
      <c r="C119" s="2289" t="str">
        <f>B102</f>
        <v>总价（元）</v>
      </c>
      <c r="D119" s="1049"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60"/>
      <c r="B120" s="2861"/>
      <c r="C120" s="2297" t="s">
        <v>1994</v>
      </c>
      <c r="D120" s="1051" t="str">
        <f>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2" customFormat="1" ht="15">
      <c r="A121" s="2912" t="s">
        <v>1995</v>
      </c>
      <c r="B121" s="2913"/>
      <c r="C121" s="2913"/>
      <c r="D121" s="2913"/>
      <c r="E121" s="2913"/>
      <c r="F121" s="2913"/>
      <c r="G121" s="2913"/>
      <c r="H121" s="2913"/>
      <c r="I121" s="2913"/>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36" t="s">
        <v>1943</v>
      </c>
      <c r="B122" s="2866" t="s">
        <v>1996</v>
      </c>
      <c r="C122" s="2866" t="s">
        <v>1997</v>
      </c>
      <c r="D122" s="2938" t="s">
        <v>1946</v>
      </c>
      <c r="E122" s="2939"/>
      <c r="F122" s="2837" t="s">
        <v>1998</v>
      </c>
      <c r="G122" s="2837"/>
      <c r="H122" s="2837" t="s">
        <v>1947</v>
      </c>
      <c r="I122" s="2937"/>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36"/>
      <c r="B123" s="2867"/>
      <c r="C123" s="2867"/>
      <c r="D123" s="1884" t="s">
        <v>1948</v>
      </c>
      <c r="E123" s="1884" t="s">
        <v>1949</v>
      </c>
      <c r="F123" s="1884" t="s">
        <v>1948</v>
      </c>
      <c r="G123" s="1884" t="s">
        <v>1950</v>
      </c>
      <c r="H123" s="1884" t="s">
        <v>1948</v>
      </c>
      <c r="I123" s="637" t="s">
        <v>1950</v>
      </c>
      <c r="J123" s="797"/>
      <c r="K123" s="797"/>
      <c r="L123" s="797"/>
      <c r="M123" s="797"/>
      <c r="N123" s="797"/>
      <c r="O123" s="797"/>
      <c r="P123" s="797"/>
      <c r="Q123" s="797"/>
      <c r="R123" s="797"/>
      <c r="S123" s="797"/>
      <c r="T123" s="797"/>
      <c r="U123" s="797"/>
      <c r="V123" s="797"/>
      <c r="W123" s="797"/>
      <c r="X123" s="797"/>
      <c r="Y123" s="797"/>
      <c r="Z123" s="797"/>
    </row>
    <row r="124" spans="1:26" s="1842" customFormat="1" ht="14.25">
      <c r="A124" s="2179" t="str">
        <f>项目基本情况!I1</f>
        <v>北京市房地产</v>
      </c>
      <c r="B124" s="1884">
        <f>典型户型修正!B25</f>
        <v>900.76</v>
      </c>
      <c r="C124" s="400"/>
      <c r="D124" s="1884">
        <f>C35</f>
        <v>0</v>
      </c>
      <c r="E124" s="1884">
        <f>ROUND(IF(H19="元",D124/B124,D124*10000/B124),0)</f>
        <v>0</v>
      </c>
      <c r="F124" s="1884">
        <f>C36</f>
        <v>0</v>
      </c>
      <c r="G124" s="1884">
        <f>ROUND(IF(H19="元",F124/B124,F124*10000/B124),0)</f>
        <v>0</v>
      </c>
      <c r="H124" s="1884">
        <f>C33</f>
        <v>0</v>
      </c>
      <c r="I124" s="637">
        <f>C34</f>
        <v>0</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36" t="s">
        <v>1951</v>
      </c>
      <c r="B125" s="2837"/>
      <c r="C125" s="2837"/>
      <c r="D125" s="2870" t="str">
        <f>IF(H19="元",NUMBERSTRING(INT(D124),2)&amp;"元整",NUMBERSTRING(INT(D124*10000),2)&amp;"元整")</f>
        <v>零元整</v>
      </c>
      <c r="E125" s="2917"/>
      <c r="F125" s="2870" t="str">
        <f>IF(H19="元",NUMBERSTRING(INT(F124),2)&amp;"元整",NUMBERSTRING(INT(F124*10000),2)&amp;"元整")</f>
        <v>零元整</v>
      </c>
      <c r="G125" s="2917"/>
      <c r="H125" s="2870" t="str">
        <f>IF(H19="元",NUMBERSTRING(INT(H124),2)&amp;"元整",NUMBERSTRING(INT(H124*10000),2)&amp;"元整")</f>
        <v>零元整</v>
      </c>
      <c r="I125" s="2871"/>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8" t="str">
        <f>IF(项目基本情况!D5="房地产市场价值","——",MID(A111,3,LEN(A111)-2))</f>
        <v>估价师所知悉的法定优先受偿款</v>
      </c>
      <c r="B126" s="2848"/>
      <c r="C126" s="2919"/>
      <c r="D126" s="2847">
        <f>I106</f>
        <v>0</v>
      </c>
      <c r="E126" s="2848"/>
      <c r="F126" s="2848"/>
      <c r="G126" s="2848"/>
      <c r="H126" s="2848"/>
      <c r="I126" s="2849"/>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20" t="s">
        <v>1951</v>
      </c>
      <c r="B127" s="2921"/>
      <c r="C127" s="2922"/>
      <c r="D127" s="2850">
        <f>H110</f>
        <v>0</v>
      </c>
      <c r="E127" s="2851"/>
      <c r="F127" s="2851"/>
      <c r="G127" s="2851"/>
      <c r="H127" s="2851"/>
      <c r="I127" s="2852"/>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53" t="str">
        <f>IF(项目基本情况!D5="房地产市场价值","——",MID(A115,3,LEN(A115)-2))</f>
        <v>房地产抵押价值</v>
      </c>
      <c r="B128" s="2854"/>
      <c r="C128" s="2854"/>
      <c r="D128" s="2847">
        <f>I111</f>
        <v>0</v>
      </c>
      <c r="E128" s="2848"/>
      <c r="F128" s="2848"/>
      <c r="G128" s="2848"/>
      <c r="H128" s="2848"/>
      <c r="I128" s="2849"/>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36" t="s">
        <v>1951</v>
      </c>
      <c r="B129" s="2837"/>
      <c r="C129" s="2837"/>
      <c r="D129" s="2850">
        <f>I112</f>
        <v>0</v>
      </c>
      <c r="E129" s="2851"/>
      <c r="F129" s="2851"/>
      <c r="G129" s="2851"/>
      <c r="H129" s="2851"/>
      <c r="I129" s="2852"/>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53" t="str">
        <f>IF(项目基本情况!D5="房地产市场价值","——",MID(A117,3,LEN(A117)-2))</f>
        <v/>
      </c>
      <c r="B130" s="2854"/>
      <c r="C130" s="2854"/>
      <c r="D130" s="2952" t="str">
        <f>I113</f>
        <v>——</v>
      </c>
      <c r="E130" s="2953"/>
      <c r="F130" s="2953"/>
      <c r="G130" s="2953"/>
      <c r="H130" s="2953"/>
      <c r="I130" s="2954"/>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36" t="s">
        <v>1951</v>
      </c>
      <c r="B131" s="2837"/>
      <c r="C131" s="2838"/>
      <c r="D131" s="2910" t="str">
        <f>I114</f>
        <v>——</v>
      </c>
      <c r="E131" s="2910"/>
      <c r="F131" s="2910"/>
      <c r="G131" s="2910"/>
      <c r="H131" s="2910"/>
      <c r="I131" s="2910"/>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53" t="str">
        <f>IF(项目基本情况!D5="房地产市场价值","——",MID(F115,3,LEN(F115)-2))</f>
        <v/>
      </c>
      <c r="B132" s="2854"/>
      <c r="C132" s="2847"/>
      <c r="D132" s="2859" t="str">
        <f>I115</f>
        <v>——</v>
      </c>
      <c r="E132" s="2859"/>
      <c r="F132" s="2859"/>
      <c r="G132" s="2859"/>
      <c r="H132" s="2859"/>
      <c r="I132" s="2859"/>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64" t="s">
        <v>1951</v>
      </c>
      <c r="B133" s="2865"/>
      <c r="C133" s="2865"/>
      <c r="D133" s="2872">
        <f>H117</f>
        <v>0</v>
      </c>
      <c r="E133" s="2873"/>
      <c r="F133" s="2873"/>
      <c r="G133" s="2873"/>
      <c r="H133" s="2873"/>
      <c r="I133" s="2874"/>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34" t="str">
        <f>IF(B32="总价","（以上估价结果中楼面单价为总价除以建筑面积得出）","（以上估价结果中总价为楼面单价乘以建筑面积得出）")</f>
        <v>（以上估价结果中总价为楼面单价乘以建筑面积得出）</v>
      </c>
      <c r="B135" s="2834"/>
      <c r="C135" s="2834"/>
      <c r="D135" s="2834"/>
      <c r="E135" s="2834"/>
      <c r="F135" s="2834"/>
      <c r="G135" s="2834"/>
      <c r="H135" s="2834"/>
      <c r="I135" s="2834"/>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8" t="s">
        <v>1952</v>
      </c>
      <c r="B136" s="2299"/>
      <c r="C136" s="2300" t="s">
        <v>1953</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11" t="s">
        <v>1954</v>
      </c>
      <c r="G142" s="2312"/>
      <c r="H142" s="2312"/>
      <c r="I142" s="2313" t="s">
        <v>1955</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14" t="s">
        <v>1956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12"/>
      <c r="C145" s="2312"/>
      <c r="D145" s="2312"/>
      <c r="E145" s="2312"/>
      <c r="F145" s="2312"/>
      <c r="G145" s="2312"/>
      <c r="H145" s="2312"/>
      <c r="I145" s="2313" t="s">
        <v>1957</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14" t="s">
        <v>1958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12"/>
      <c r="C148" s="2312"/>
      <c r="D148" s="2312"/>
      <c r="E148" s="2312"/>
      <c r="F148" s="2312"/>
      <c r="G148" s="2312"/>
      <c r="H148" s="2312"/>
      <c r="I148" s="2313" t="s">
        <v>1957</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9"/>
      <c r="C1" s="162"/>
      <c r="D1" s="162"/>
      <c r="E1" s="162"/>
      <c r="F1" s="162"/>
      <c r="G1" s="163"/>
    </row>
    <row r="2" spans="1:7" s="164" customFormat="1" ht="18" customHeight="1">
      <c r="A2" s="165" t="s">
        <v>2000</v>
      </c>
      <c r="B2" s="166">
        <f ca="1">IF(D2="——",IF(C2="元",C52,ROUND(C52/10000,0)),IF(C2="元",C52,ROUND(C52/10000,0))-E2)</f>
        <v>3212330</v>
      </c>
      <c r="C2" s="163" t="str">
        <f>'数据-取费表'!B3</f>
        <v>元</v>
      </c>
      <c r="D2" s="2331" t="s">
        <v>1253</v>
      </c>
      <c r="E2" s="1543" t="e">
        <f ca="1">SUMIF(INDIRECT("'"&amp;G2&amp;"'"&amp;"!A:A"),"承租人权益价值",INDIRECT("'"&amp;G2&amp;"'"&amp;"!c:c"))</f>
        <v>#REF!</v>
      </c>
      <c r="F2" s="2332" t="str">
        <f>C2</f>
        <v>元</v>
      </c>
      <c r="G2" s="1903"/>
    </row>
    <row r="3" spans="1:7" s="164" customFormat="1" ht="18" customHeight="1" thickBot="1">
      <c r="A3" s="167" t="s">
        <v>2001</v>
      </c>
      <c r="B3" s="168">
        <f ca="1">ROUND(C52/IF(B1="仅计算典型户型",'数据-取费表'!E5,'数据-取费表'!B5),0)</f>
        <v>7132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1030505</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5</v>
      </c>
      <c r="D8" s="1533"/>
      <c r="E8" s="199"/>
      <c r="F8" s="1532"/>
      <c r="G8" s="2333"/>
    </row>
    <row r="9" spans="1:7" s="175" customFormat="1" ht="13.5" customHeight="1">
      <c r="A9" s="1302" t="s">
        <v>953</v>
      </c>
      <c r="B9" s="181" t="s">
        <v>2015</v>
      </c>
      <c r="C9" s="1534">
        <f>ROUND(D9*E9,0)</f>
        <v>0</v>
      </c>
      <c r="D9" s="1535">
        <f>IF('数据-取费表'!B10="住宅",IF(B1="仅计算典型户型",'数据-取费表'!E5,'数据-取费表'!B5),0)</f>
        <v>0</v>
      </c>
      <c r="E9" s="1534">
        <f>'数据-取费表'!E11</f>
        <v>80</v>
      </c>
      <c r="F9" s="1532"/>
      <c r="G9" s="182"/>
    </row>
    <row r="10" spans="1:7" s="175" customFormat="1" ht="13.5" customHeight="1">
      <c r="A10" s="1302" t="s">
        <v>954</v>
      </c>
      <c r="B10" s="181" t="s">
        <v>2016</v>
      </c>
      <c r="C10" s="1534">
        <f>ROUND(D10*E10,0)</f>
        <v>54046</v>
      </c>
      <c r="D10" s="1535">
        <f>IF('数据-取费表'!B10&lt;&gt;"住宅",IF(B1="仅计算典型户型",'数据-取费表'!E5,'数据-取费表'!B5),0)</f>
        <v>450.38</v>
      </c>
      <c r="E10" s="1534">
        <f>'数据-取费表'!E12</f>
        <v>120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90076</v>
      </c>
      <c r="D19" s="1538">
        <f>IF(B1="仅计算典型户型",'数据-取费表'!E5,'数据-取费表'!B5)</f>
        <v>450.38</v>
      </c>
      <c r="E19" s="195">
        <f>'数据-取费表'!E15</f>
        <v>200</v>
      </c>
      <c r="F19" s="196"/>
      <c r="G19" s="2333"/>
    </row>
    <row r="20" spans="1:7" s="175" customFormat="1" ht="13.5" customHeight="1">
      <c r="A20" s="204" t="s">
        <v>2028</v>
      </c>
      <c r="B20" s="173" t="s">
        <v>2029</v>
      </c>
      <c r="C20" s="183">
        <f>ROUND((C5+C19)*F20,0)</f>
        <v>11206</v>
      </c>
      <c r="D20" s="183"/>
      <c r="E20" s="183"/>
      <c r="F20" s="187">
        <f>'数据-取费表'!E25</f>
        <v>0.01</v>
      </c>
      <c r="G20" s="184" t="s">
        <v>2030</v>
      </c>
    </row>
    <row r="21" spans="1:7" s="175" customFormat="1" ht="13.5" customHeight="1">
      <c r="A21" s="204" t="s">
        <v>2031</v>
      </c>
      <c r="B21" s="173" t="s">
        <v>2032</v>
      </c>
      <c r="C21" s="185">
        <f>F21</f>
        <v>0.01</v>
      </c>
      <c r="D21" s="186" t="s">
        <v>2033</v>
      </c>
      <c r="E21" s="183"/>
      <c r="F21" s="187">
        <f>'数据-取费表'!E26</f>
        <v>0.01</v>
      </c>
      <c r="G21" s="184" t="s">
        <v>2034</v>
      </c>
    </row>
    <row r="22" spans="1:7" s="175" customFormat="1" ht="13.5" customHeight="1">
      <c r="A22" s="204" t="s">
        <v>2035</v>
      </c>
      <c r="B22" s="173" t="s">
        <v>2036</v>
      </c>
      <c r="C22" s="205">
        <f ca="1">ROUND(SUM(C23:C25),0)</f>
        <v>48989</v>
      </c>
      <c r="D22" s="185">
        <f ca="1">C26</f>
        <v>2.0000000000000001E-4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2">
        <f ca="1">ROUND(IF('数据-取费表'!B23&lt;=1,C5*F22*'数据-取费表'!B24,C5*(POWER((1+F22),'数据-取费表'!B24)-1)),0)</f>
        <v>44827</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3918</v>
      </c>
      <c r="D24" s="188"/>
      <c r="E24" s="188"/>
      <c r="F24" s="189"/>
      <c r="G24" s="190" t="s">
        <v>2041</v>
      </c>
    </row>
    <row r="25" spans="1:7" s="175" customFormat="1" ht="24">
      <c r="A25" s="176" t="s">
        <v>2013</v>
      </c>
      <c r="B25" s="177" t="s">
        <v>2042</v>
      </c>
      <c r="C25" s="1452">
        <f ca="1">ROUND(IF('数据-取费表'!B23&lt;=1,C20*F22*'数据-取费表'!B24/2,C20*(POWER((1+F22),'数据-取费表'!B24/2)-1)),0)</f>
        <v>244</v>
      </c>
      <c r="D25" s="188"/>
      <c r="E25" s="191"/>
      <c r="F25" s="189"/>
      <c r="G25" s="192" t="s">
        <v>2043</v>
      </c>
    </row>
    <row r="26" spans="1:7" s="175" customFormat="1">
      <c r="A26" s="176" t="s">
        <v>2044</v>
      </c>
      <c r="B26" s="177" t="s">
        <v>2045</v>
      </c>
      <c r="C26" s="188">
        <f ca="1">ROUND(IF('数据-取费表'!B23&lt;=1,F21*F22*'数据-取费表'!B24/2,F21*(POWER((1+F22),'数据-取费表'!B24/2)-1)),4)</f>
        <v>2.0000000000000001E-4</v>
      </c>
      <c r="D26" s="188"/>
      <c r="E26" s="191"/>
      <c r="F26" s="189"/>
      <c r="G26" s="193"/>
    </row>
    <row r="27" spans="1:7" s="175" customFormat="1" ht="25.5">
      <c r="A27" s="1303" t="s">
        <v>2046</v>
      </c>
      <c r="B27" s="194" t="s">
        <v>2047</v>
      </c>
      <c r="C27" s="195">
        <f>C28</f>
        <v>113179</v>
      </c>
      <c r="D27" s="185">
        <f>C29</f>
        <v>1E-3</v>
      </c>
      <c r="E27" s="186" t="s">
        <v>2033</v>
      </c>
      <c r="F27" s="196">
        <f>'数据-取费表'!E28</f>
        <v>0.1</v>
      </c>
      <c r="G27" s="197" t="s">
        <v>2048</v>
      </c>
    </row>
    <row r="28" spans="1:7" s="175" customFormat="1" ht="13.5" customHeight="1">
      <c r="A28" s="176" t="s">
        <v>2037</v>
      </c>
      <c r="B28" s="198" t="s">
        <v>2049</v>
      </c>
      <c r="C28" s="199">
        <f>ROUND((C5+C19+C20)*F27*'数据-取费表'!B22/'数据-取费表'!B21,0)</f>
        <v>113179</v>
      </c>
      <c r="D28" s="185"/>
      <c r="E28" s="186"/>
      <c r="F28" s="196"/>
      <c r="G28" s="197"/>
    </row>
    <row r="29" spans="1:7" s="175" customFormat="1" ht="13.5" customHeight="1">
      <c r="A29" s="176" t="s">
        <v>2011</v>
      </c>
      <c r="B29" s="198" t="s">
        <v>2050</v>
      </c>
      <c r="C29" s="188">
        <f>ROUND(C21*F27*'数据-取费表'!B22/'数据-取费表'!B21,4)</f>
        <v>1E-3</v>
      </c>
      <c r="D29" s="185"/>
      <c r="E29" s="186"/>
      <c r="F29" s="196"/>
      <c r="G29" s="197"/>
    </row>
    <row r="30" spans="1:7" s="175" customFormat="1" ht="13.5" customHeight="1">
      <c r="A30" s="1303" t="s">
        <v>2051</v>
      </c>
      <c r="B30" s="173" t="s">
        <v>2052</v>
      </c>
      <c r="C30" s="185">
        <f>ROUND(F30/(1+'数据-取费表'!F30),4)</f>
        <v>5.2900000000000003E-2</v>
      </c>
      <c r="D30" s="186" t="s">
        <v>2033</v>
      </c>
      <c r="E30" s="191"/>
      <c r="F30" s="187">
        <f>'数据-取费表'!E29</f>
        <v>5.5500000000000008E-2</v>
      </c>
      <c r="G30" s="184" t="s">
        <v>2053</v>
      </c>
    </row>
    <row r="31" spans="1:7" ht="16.5" customHeight="1">
      <c r="A31" s="204">
        <v>1</v>
      </c>
      <c r="B31" s="173" t="s">
        <v>2054</v>
      </c>
      <c r="C31" s="195">
        <f ca="1">ROUND((C5+C19+C20+C22+C27)/(1-C21-D22-D27-C30),0)</f>
        <v>1382578</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1737341</v>
      </c>
      <c r="D33" s="183"/>
      <c r="E33" s="1529"/>
      <c r="F33" s="191"/>
      <c r="G33" s="184"/>
    </row>
    <row r="34" spans="1:7" s="206" customFormat="1" ht="13.5" customHeight="1">
      <c r="A34" s="176" t="s">
        <v>2037</v>
      </c>
      <c r="B34" s="177" t="s">
        <v>2059</v>
      </c>
      <c r="C34" s="199">
        <f>IF(B1="仅计算典型户型",'数据-取费表'!F18,'数据-取费表'!E18)</f>
        <v>1576330</v>
      </c>
      <c r="D34" s="1530"/>
      <c r="E34" s="199"/>
      <c r="F34" s="1541" t="str">
        <f>IF('数据-取费表'!B25=0,"",'数据-取费表'!E20)</f>
        <v/>
      </c>
      <c r="G34" s="179"/>
    </row>
    <row r="35" spans="1:7" ht="13.5" customHeight="1">
      <c r="A35" s="176" t="s">
        <v>2011</v>
      </c>
      <c r="B35" s="177" t="s">
        <v>2060</v>
      </c>
      <c r="C35" s="199">
        <f>ROUND(C34*F35,0)</f>
        <v>47290</v>
      </c>
      <c r="D35" s="199"/>
      <c r="E35" s="199"/>
      <c r="F35" s="1542">
        <f>'数据-取费表'!E21</f>
        <v>0.03</v>
      </c>
      <c r="G35" s="179" t="s">
        <v>2061</v>
      </c>
    </row>
    <row r="36" spans="1:7" ht="24">
      <c r="A36" s="176" t="s">
        <v>2013</v>
      </c>
      <c r="B36" s="177" t="s">
        <v>2062</v>
      </c>
      <c r="C36" s="199">
        <f>ROUND(IF('数据-取费表'!B10="住宅",C34*F36,0),0)</f>
        <v>0</v>
      </c>
      <c r="D36" s="199"/>
      <c r="E36" s="199"/>
      <c r="F36" s="1542">
        <f>'数据-取费表'!E22</f>
        <v>0</v>
      </c>
      <c r="G36" s="207" t="s">
        <v>2063</v>
      </c>
    </row>
    <row r="37" spans="1:7" s="206" customFormat="1" ht="13.5" customHeight="1">
      <c r="A37" s="176" t="s">
        <v>2044</v>
      </c>
      <c r="B37" s="177" t="s">
        <v>2064</v>
      </c>
      <c r="C37" s="199">
        <f>ROUND(E37*D37,0)</f>
        <v>90076</v>
      </c>
      <c r="D37" s="1530">
        <f>IF(B1="仅计算典型户型",'数据-取费表'!E5,'数据-取费表'!B5)</f>
        <v>450.38</v>
      </c>
      <c r="E37" s="199">
        <f>'数据-取费表'!E23</f>
        <v>200</v>
      </c>
      <c r="F37" s="1542"/>
      <c r="G37" s="208" t="s">
        <v>2065</v>
      </c>
    </row>
    <row r="38" spans="1:7" ht="13.5" customHeight="1">
      <c r="A38" s="176" t="s">
        <v>2066</v>
      </c>
      <c r="B38" s="177" t="s">
        <v>2067</v>
      </c>
      <c r="C38" s="199">
        <f>ROUND(C34*F38,0)</f>
        <v>23645</v>
      </c>
      <c r="D38" s="199"/>
      <c r="E38" s="199"/>
      <c r="F38" s="1542">
        <f>'数据-取费表'!E24</f>
        <v>1.4999999999999999E-2</v>
      </c>
      <c r="G38" s="179" t="s">
        <v>2061</v>
      </c>
    </row>
    <row r="39" spans="1:7" s="175" customFormat="1" ht="13.5" customHeight="1">
      <c r="A39" s="204" t="s">
        <v>2026</v>
      </c>
      <c r="B39" s="173" t="s">
        <v>2029</v>
      </c>
      <c r="C39" s="183">
        <f>ROUND(C33*F20,0)</f>
        <v>17373</v>
      </c>
      <c r="D39" s="183"/>
      <c r="E39" s="183"/>
      <c r="F39" s="187"/>
      <c r="G39" s="184" t="s">
        <v>2068</v>
      </c>
    </row>
    <row r="40" spans="1:7" s="175" customFormat="1" ht="13.5" customHeight="1">
      <c r="A40" s="204" t="s">
        <v>2028</v>
      </c>
      <c r="B40" s="173" t="s">
        <v>2032</v>
      </c>
      <c r="C40" s="1816">
        <f>F21</f>
        <v>0.01</v>
      </c>
      <c r="D40" s="186" t="s">
        <v>2069</v>
      </c>
      <c r="E40" s="183"/>
      <c r="F40" s="187"/>
      <c r="G40" s="184" t="s">
        <v>2070</v>
      </c>
    </row>
    <row r="41" spans="1:7" s="175" customFormat="1" ht="13.5" customHeight="1">
      <c r="A41" s="204" t="s">
        <v>2031</v>
      </c>
      <c r="B41" s="173" t="s">
        <v>2036</v>
      </c>
      <c r="C41" s="183">
        <f ca="1">ROUND(SUM(C42:C43),0)</f>
        <v>38165</v>
      </c>
      <c r="D41" s="185">
        <f ca="1">C44</f>
        <v>2.0000000000000001E-4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37787</v>
      </c>
      <c r="D42" s="188"/>
      <c r="E42" s="188"/>
      <c r="F42" s="189"/>
      <c r="G42" s="2973" t="s">
        <v>2071</v>
      </c>
    </row>
    <row r="43" spans="1:7" ht="13.5" customHeight="1">
      <c r="A43" s="176" t="s">
        <v>2011</v>
      </c>
      <c r="B43" s="177" t="s">
        <v>2040</v>
      </c>
      <c r="C43" s="188">
        <f ca="1">ROUND(IF('数据-取费表'!B23&lt;=1,C39*F22*'数据-取费表'!B22/2,C39*(POWER((1+F22),'数据-取费表'!B22/2)-1)),0)</f>
        <v>378</v>
      </c>
      <c r="D43" s="188"/>
      <c r="E43" s="188"/>
      <c r="F43" s="189"/>
      <c r="G43" s="2974"/>
    </row>
    <row r="44" spans="1:7" ht="13.5" customHeight="1">
      <c r="A44" s="176" t="s">
        <v>2013</v>
      </c>
      <c r="B44" s="177" t="s">
        <v>2042</v>
      </c>
      <c r="C44" s="188">
        <f ca="1">ROUND(IF('数据-取费表'!B23&lt;=1,C40*F22*'数据-取费表'!B22/2,C40*(POWER((1+F22),'数据-取费表'!B22/2)-1)),4)</f>
        <v>2.0000000000000001E-4</v>
      </c>
      <c r="D44" s="188"/>
      <c r="E44" s="188"/>
      <c r="F44" s="189"/>
      <c r="G44" s="2975"/>
    </row>
    <row r="45" spans="1:7" s="175" customFormat="1" ht="13.5" customHeight="1">
      <c r="A45" s="204" t="s">
        <v>2035</v>
      </c>
      <c r="B45" s="194" t="s">
        <v>2047</v>
      </c>
      <c r="C45" s="195">
        <f>C46</f>
        <v>175471</v>
      </c>
      <c r="D45" s="185">
        <f>C47</f>
        <v>1E-3</v>
      </c>
      <c r="E45" s="186" t="s">
        <v>2069</v>
      </c>
      <c r="F45" s="196"/>
      <c r="G45" s="197" t="s">
        <v>2072</v>
      </c>
    </row>
    <row r="46" spans="1:7" s="175" customFormat="1" ht="13.5" customHeight="1">
      <c r="A46" s="176" t="s">
        <v>2037</v>
      </c>
      <c r="B46" s="198" t="s">
        <v>2073</v>
      </c>
      <c r="C46" s="199">
        <f>ROUND((C33+C39)*F27,0)</f>
        <v>175471</v>
      </c>
      <c r="D46" s="209"/>
      <c r="E46" s="186"/>
      <c r="F46" s="196"/>
      <c r="G46" s="197"/>
    </row>
    <row r="47" spans="1:7" s="175" customFormat="1" ht="13.5" customHeight="1">
      <c r="A47" s="176" t="s">
        <v>2011</v>
      </c>
      <c r="B47" s="198" t="s">
        <v>2074</v>
      </c>
      <c r="C47" s="188">
        <f>ROUND(C40*F27,4)</f>
        <v>1E-3</v>
      </c>
      <c r="D47" s="209"/>
      <c r="E47" s="186"/>
      <c r="F47" s="196"/>
      <c r="G47" s="197"/>
    </row>
    <row r="48" spans="1:7" s="175" customFormat="1" ht="13.5" customHeight="1">
      <c r="A48" s="1303" t="s">
        <v>2046</v>
      </c>
      <c r="B48" s="173" t="s">
        <v>2075</v>
      </c>
      <c r="C48" s="1816">
        <f>ROUND(F30/(1+'数据-取费表'!F30),4)</f>
        <v>5.2900000000000003E-2</v>
      </c>
      <c r="D48" s="186" t="s">
        <v>2069</v>
      </c>
      <c r="E48" s="183"/>
      <c r="F48" s="187"/>
      <c r="G48" s="184" t="s">
        <v>2076</v>
      </c>
    </row>
    <row r="49" spans="1:7" ht="16.5" customHeight="1">
      <c r="A49" s="1303" t="s">
        <v>2077</v>
      </c>
      <c r="B49" s="173" t="s">
        <v>2078</v>
      </c>
      <c r="C49" s="183">
        <f ca="1">ROUND((C33+C39+C41+C45)/(1-C40-D41-D45-C48),0)</f>
        <v>2103163</v>
      </c>
      <c r="D49" s="183"/>
      <c r="E49" s="183"/>
      <c r="F49" s="210"/>
      <c r="G49" s="184" t="s">
        <v>2079</v>
      </c>
    </row>
    <row r="50" spans="1:7" s="206" customFormat="1" ht="24">
      <c r="A50" s="1303" t="s">
        <v>2080</v>
      </c>
      <c r="B50" s="173" t="s">
        <v>2081</v>
      </c>
      <c r="C50" s="183"/>
      <c r="D50" s="183"/>
      <c r="E50" s="183"/>
      <c r="F50" s="210">
        <f>IF('数据-取费表'!B25=0,'数据-取费表'!E20,1)</f>
        <v>0.87</v>
      </c>
      <c r="G50" s="197" t="s">
        <v>2082</v>
      </c>
    </row>
    <row r="51" spans="1:7" ht="16.5" customHeight="1">
      <c r="A51" s="1303" t="s">
        <v>2083</v>
      </c>
      <c r="B51" s="173" t="s">
        <v>2084</v>
      </c>
      <c r="C51" s="183">
        <f ca="1">ROUND(C49*F50,0)</f>
        <v>1829752</v>
      </c>
      <c r="D51" s="183"/>
      <c r="E51" s="183"/>
      <c r="F51" s="210"/>
      <c r="G51" s="184" t="s">
        <v>2085</v>
      </c>
    </row>
    <row r="52" spans="1:7" s="172" customFormat="1" ht="16.5" thickBot="1">
      <c r="A52" s="211" t="s">
        <v>2086</v>
      </c>
      <c r="B52" s="212"/>
      <c r="C52" s="213">
        <f ca="1">C31+C51</f>
        <v>3212330</v>
      </c>
      <c r="D52" s="212"/>
      <c r="E52" s="212"/>
      <c r="F52" s="212"/>
      <c r="G52" s="214"/>
    </row>
    <row r="55" spans="1:7" ht="15">
      <c r="B55" s="216" t="s">
        <v>2087</v>
      </c>
      <c r="C55" s="217"/>
    </row>
    <row r="56" spans="1:7">
      <c r="B56" s="219" t="s">
        <v>2088</v>
      </c>
      <c r="C56" s="220">
        <f ca="1">ROUND(C51/C52,3)</f>
        <v>0.56999999999999995</v>
      </c>
    </row>
    <row r="57" spans="1:7">
      <c r="B57" s="219" t="s">
        <v>2089</v>
      </c>
      <c r="C57" s="221">
        <f ca="1">1-C56</f>
        <v>0.43000000000000005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49"/>
      <c r="E1" s="1209"/>
      <c r="F1" s="1209"/>
      <c r="G1" s="1209"/>
      <c r="H1" s="1209"/>
      <c r="I1" s="1209"/>
      <c r="J1" s="1209"/>
      <c r="K1" s="1209"/>
    </row>
    <row r="2" spans="1:33" s="223" customFormat="1" ht="18" customHeight="1">
      <c r="A2" s="165" t="s">
        <v>1303</v>
      </c>
      <c r="B2" s="168">
        <f ca="1">IF(C2="元",C32,ROUND(C32/10000,0))</f>
        <v>11488996</v>
      </c>
      <c r="C2" s="1966" t="str">
        <f>'数据-取费表'!B3</f>
        <v>元</v>
      </c>
      <c r="D2" s="1209"/>
      <c r="E2" s="1209"/>
      <c r="F2" s="1209"/>
      <c r="G2" s="1209"/>
      <c r="H2" s="1209"/>
      <c r="I2" s="1209"/>
      <c r="J2" s="1209"/>
      <c r="K2" s="1209"/>
    </row>
    <row r="3" spans="1:33" s="223" customFormat="1" ht="18" customHeight="1" thickBot="1">
      <c r="A3" s="167" t="s">
        <v>1304</v>
      </c>
      <c r="B3" s="168">
        <f ca="1">ROUND(C32/IF(C1="仅计算典型户型",'数据-取费表'!E5,'数据-取费表'!B5),0)</f>
        <v>25510</v>
      </c>
      <c r="C3" s="1966" t="s">
        <v>1305</v>
      </c>
      <c r="D3" s="1209"/>
      <c r="E3" s="1209"/>
      <c r="F3" s="1209"/>
      <c r="G3" s="1209"/>
      <c r="H3" s="1209"/>
      <c r="I3" s="1209"/>
      <c r="J3" s="1209"/>
      <c r="K3" s="1209"/>
    </row>
    <row r="4" spans="1:33" s="227" customFormat="1" ht="16.5" customHeight="1">
      <c r="A4" s="224" t="s">
        <v>1306</v>
      </c>
      <c r="B4" s="225"/>
      <c r="C4" s="1448">
        <f>SUM(C8:K8)</f>
        <v>15763300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4"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4" t="s">
        <v>1311</v>
      </c>
      <c r="B7" s="231" t="s">
        <v>1312</v>
      </c>
      <c r="C7" s="234">
        <f>IF(C1="仅计算典型户型",'数据-取费表'!E5,'数据-取费表'!B5)</f>
        <v>450.38</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7" t="s">
        <v>1313</v>
      </c>
      <c r="B8" s="231" t="s">
        <v>1314</v>
      </c>
      <c r="C8" s="727">
        <f>C6*C7</f>
        <v>15763300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5" t="s">
        <v>1220</v>
      </c>
      <c r="B11" s="246" t="s">
        <v>1320</v>
      </c>
      <c r="C11" s="247">
        <f>IF(C1="仅计算典型户型",'数据-取费表'!F18,'数据-取费表'!E18)</f>
        <v>1576330</v>
      </c>
      <c r="D11" s="248"/>
      <c r="E11" s="70"/>
      <c r="F11" s="249">
        <f>1-'数据-取费表'!E20</f>
        <v>0.13</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5" t="s">
        <v>1221</v>
      </c>
      <c r="B12" s="246" t="s">
        <v>1321</v>
      </c>
      <c r="C12" s="14">
        <f>ROUND(C11*F12,0)</f>
        <v>47290</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5" t="s">
        <v>1222</v>
      </c>
      <c r="B13" s="246" t="s">
        <v>1323</v>
      </c>
      <c r="C13" s="14">
        <f>ROUND(IF('数据-取费表'!B10="住宅",C11*F13,0),0)</f>
        <v>0</v>
      </c>
      <c r="D13" s="248"/>
      <c r="E13" s="70"/>
      <c r="F13" s="251">
        <f>'数据-取费表'!E22</f>
        <v>0</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5" t="s">
        <v>1223</v>
      </c>
      <c r="B14" s="246" t="s">
        <v>1325</v>
      </c>
      <c r="C14" s="14">
        <f>ROUND(D14*E14*F11,0)</f>
        <v>11710</v>
      </c>
      <c r="D14" s="248">
        <f>IF(C1="仅计算典型户型",'数据-取费表'!E5,'数据-取费表'!B5)</f>
        <v>450.38</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5" t="s">
        <v>1224</v>
      </c>
      <c r="B15" s="246" t="s">
        <v>1327</v>
      </c>
      <c r="C15" s="259">
        <f>ROUND(C11*F15,0)</f>
        <v>23645</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5" t="s">
        <v>1329</v>
      </c>
      <c r="B16" s="246" t="s">
        <v>1330</v>
      </c>
      <c r="C16" s="247">
        <f>SUM(C11:C15)</f>
        <v>1658975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5" t="s">
        <v>1331</v>
      </c>
      <c r="B17" s="246" t="s">
        <v>1332</v>
      </c>
      <c r="C17" s="14">
        <f>ROUND(D17*E17,0)</f>
        <v>0</v>
      </c>
      <c r="D17" s="248">
        <f>IF(C1="仅计算典型户型",'数据-取费表'!E5,'数据-取费表'!B5)</f>
        <v>450.38</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5" t="s">
        <v>1334</v>
      </c>
      <c r="B18" s="246" t="s">
        <v>1335</v>
      </c>
      <c r="C18" s="14">
        <f>C19+C20-'数据-取费表'!E13</f>
        <v>54041</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80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5" t="s">
        <v>956</v>
      </c>
      <c r="B20" s="246" t="s">
        <v>1338</v>
      </c>
      <c r="C20" s="14">
        <f>ROUND(D20*E20,0)</f>
        <v>54046</v>
      </c>
      <c r="D20" s="248">
        <f>IF('数据-取费表'!B10&lt;&gt;"住宅",IF(C1="仅计算典型户型",'数据-取费表'!E5,'数据-取费表'!B5),0)</f>
        <v>450.38</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4" t="s">
        <v>1309</v>
      </c>
      <c r="B21" s="261" t="s">
        <v>1339</v>
      </c>
      <c r="C21" s="262">
        <f>C16+C17+C18</f>
        <v>1713016</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4" t="s">
        <v>1311</v>
      </c>
      <c r="B22" s="261" t="s">
        <v>1341</v>
      </c>
      <c r="C22" s="262">
        <f>ROUND(C21*F22,0)</f>
        <v>17130</v>
      </c>
      <c r="D22" s="264"/>
      <c r="E22" s="264"/>
      <c r="F22" s="265">
        <f>'数据-取费表'!E25</f>
        <v>0.01</v>
      </c>
      <c r="G22" s="240" t="s">
        <v>1342</v>
      </c>
      <c r="H22" s="243"/>
      <c r="I22" s="243"/>
      <c r="J22" s="243"/>
      <c r="K22" s="244"/>
      <c r="L22" s="266"/>
      <c r="M22" s="266"/>
      <c r="N22" s="266"/>
    </row>
    <row r="23" spans="1:33" s="250" customFormat="1" ht="13.5" customHeight="1">
      <c r="A23" s="1304" t="s">
        <v>1313</v>
      </c>
      <c r="B23" s="261" t="s">
        <v>1343</v>
      </c>
      <c r="C23" s="262">
        <f>ROUND(C4*F23*F11,0)</f>
        <v>20492</v>
      </c>
      <c r="D23" s="264"/>
      <c r="E23" s="264"/>
      <c r="F23" s="265">
        <f>'数据-取费表'!E26</f>
        <v>0.01</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175064</v>
      </c>
      <c r="D28" s="267">
        <f>C29</f>
        <v>0.10290000000000001</v>
      </c>
      <c r="E28" s="273" t="s">
        <v>12</v>
      </c>
      <c r="F28" s="284">
        <f>'数据-取费表'!E28</f>
        <v>0.1</v>
      </c>
      <c r="G28" s="269"/>
      <c r="H28" s="270"/>
      <c r="I28" s="270"/>
      <c r="J28" s="270"/>
      <c r="K28" s="271"/>
    </row>
    <row r="29" spans="1:33" s="288" customFormat="1" ht="13.5" customHeight="1">
      <c r="A29" s="1305" t="s">
        <v>1357</v>
      </c>
      <c r="B29" s="286" t="s">
        <v>1358</v>
      </c>
      <c r="C29" s="277">
        <f>ROUND((1+C24)*F28,4)</f>
        <v>0.10290000000000001</v>
      </c>
      <c r="D29" s="277"/>
      <c r="E29" s="278"/>
      <c r="F29" s="287"/>
      <c r="G29" s="231" t="s">
        <v>1359</v>
      </c>
      <c r="H29" s="254"/>
      <c r="I29" s="254"/>
      <c r="J29" s="254"/>
      <c r="K29" s="255"/>
    </row>
    <row r="30" spans="1:33" s="288" customFormat="1" ht="13.5" customHeight="1">
      <c r="A30" s="1305" t="s">
        <v>1360</v>
      </c>
      <c r="B30" s="286" t="s">
        <v>1361</v>
      </c>
      <c r="C30" s="289">
        <f>ROUND((C21+C22+C23)*F28,0)</f>
        <v>175064</v>
      </c>
      <c r="D30" s="277"/>
      <c r="E30" s="290"/>
      <c r="F30" s="287"/>
      <c r="G30" s="231"/>
      <c r="H30" s="254"/>
      <c r="I30" s="254"/>
      <c r="J30" s="254"/>
      <c r="K30" s="255"/>
    </row>
    <row r="31" spans="1:33" s="266" customFormat="1" ht="13.5" customHeight="1" thickBot="1">
      <c r="A31" s="1968" t="s">
        <v>1362</v>
      </c>
      <c r="B31" s="261" t="s">
        <v>1363</v>
      </c>
      <c r="C31" s="291">
        <f>ROUND(C4*F31/(1+'数据-取费表'!F30),0)</f>
        <v>833203</v>
      </c>
      <c r="D31" s="236"/>
      <c r="E31" s="292"/>
      <c r="F31" s="293">
        <f>'数据-取费表'!E29</f>
        <v>5.5500000000000008E-2</v>
      </c>
      <c r="G31" s="294" t="s">
        <v>1364</v>
      </c>
      <c r="H31" s="295"/>
      <c r="I31" s="295"/>
      <c r="J31" s="295"/>
      <c r="K31" s="296"/>
    </row>
    <row r="32" spans="1:33" s="245" customFormat="1" ht="13.5" customHeight="1" thickBot="1">
      <c r="A32" s="297" t="s">
        <v>1365</v>
      </c>
      <c r="B32" s="298"/>
      <c r="C32" s="299">
        <f ca="1">ROUND((C4-C21-C22-C23-C25-C28-C31)/(1+C24+D25+D28),0)</f>
        <v>11488996</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B2" sqref="B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2330</v>
      </c>
      <c r="B1" s="1731" t="s">
        <v>2443</v>
      </c>
      <c r="C1" s="1723" t="s">
        <v>2836</v>
      </c>
      <c r="D1" s="2452"/>
      <c r="E1" s="2381" t="s">
        <v>2825</v>
      </c>
      <c r="F1" s="1737" t="s">
        <v>2332</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7" customFormat="1" ht="28.5" customHeight="1" thickTop="1">
      <c r="A2" s="1724" t="s">
        <v>2000</v>
      </c>
      <c r="B2" s="1722">
        <f>IF(D2="——",IF(C2="元",ROUND(C49*D3,0),ROUND(C49*D3/10000,0)),IF(C2="元",ROUND(C49*D3,0),ROUND(C49*D3/10000,0))-E2)</f>
        <v>5363575</v>
      </c>
      <c r="C2" s="163" t="str">
        <f>'数据-取费表'!B3</f>
        <v>元</v>
      </c>
      <c r="D2" s="2383" t="s">
        <v>1253</v>
      </c>
      <c r="E2" s="2453" t="e">
        <f ca="1">SUMIF(INDIRECT("'"&amp;G2&amp;"'"&amp;"!A:A"),"承租人权益价值",INDIRECT("'"&amp;G2&amp;"'"&amp;"!c:c"))</f>
        <v>#REF!</v>
      </c>
      <c r="F2" s="2384" t="str">
        <f>C2</f>
        <v>元</v>
      </c>
      <c r="G2" s="2385"/>
      <c r="H2" s="980"/>
      <c r="I2" s="980"/>
      <c r="J2" s="980"/>
      <c r="K2" s="980"/>
      <c r="L2" s="1239"/>
      <c r="M2" s="1240"/>
      <c r="N2" s="1240"/>
      <c r="O2" s="1240"/>
      <c r="P2" s="2454"/>
      <c r="Q2" s="746"/>
      <c r="R2" s="746"/>
      <c r="S2" s="746"/>
      <c r="T2" s="746"/>
      <c r="U2" s="746"/>
      <c r="V2" s="746"/>
      <c r="W2" s="746"/>
      <c r="X2" s="746"/>
      <c r="Y2" s="746"/>
      <c r="Z2" s="746"/>
      <c r="AA2" s="746"/>
      <c r="AB2" s="746"/>
      <c r="AC2" s="747"/>
    </row>
    <row r="3" spans="1:29" s="377" customFormat="1" ht="28.5" customHeight="1" thickBot="1">
      <c r="A3" s="167" t="s">
        <v>2001</v>
      </c>
      <c r="B3" s="593">
        <f>ROUND(IF(D2="——",C49,IF(C2="万元",B2*10000/D3,B2/D3)),0)</f>
        <v>11909</v>
      </c>
      <c r="C3" s="379" t="s">
        <v>2333</v>
      </c>
      <c r="D3" s="378">
        <f>IF(C1="仅计算典型户型",'数据-取费表'!E5,'数据-取费表'!B5)</f>
        <v>450.38</v>
      </c>
      <c r="E3" s="2455"/>
      <c r="F3" s="981"/>
      <c r="G3" s="980"/>
      <c r="H3" s="980"/>
      <c r="I3" s="980"/>
      <c r="J3" s="980"/>
      <c r="K3" s="982"/>
      <c r="L3" s="1239"/>
      <c r="M3" s="1240"/>
      <c r="N3" s="1240"/>
      <c r="O3" s="1240"/>
      <c r="P3" s="2454"/>
      <c r="Q3" s="746"/>
      <c r="R3" s="746"/>
      <c r="S3" s="746"/>
      <c r="T3" s="746"/>
      <c r="U3" s="746"/>
      <c r="V3" s="746"/>
      <c r="W3" s="746"/>
      <c r="X3" s="746"/>
      <c r="Y3" s="746"/>
      <c r="Z3" s="746"/>
      <c r="AA3" s="746"/>
      <c r="AB3" s="746"/>
      <c r="AC3" s="760"/>
    </row>
    <row r="4" spans="1:29" ht="15">
      <c r="A4" s="380" t="s">
        <v>2334</v>
      </c>
      <c r="B4" s="381"/>
      <c r="C4" s="3002" t="s">
        <v>2335</v>
      </c>
      <c r="D4" s="3003"/>
      <c r="E4" s="3004" t="s">
        <v>2336</v>
      </c>
      <c r="F4" s="3005"/>
      <c r="G4" s="3002" t="s">
        <v>2337</v>
      </c>
      <c r="H4" s="3003"/>
      <c r="I4" s="3002" t="s">
        <v>2338</v>
      </c>
      <c r="J4" s="3003"/>
      <c r="K4" s="5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3012" t="s">
        <v>2337</v>
      </c>
      <c r="AC4" s="2999" t="s">
        <v>2338</v>
      </c>
    </row>
    <row r="5" spans="1:29" ht="15">
      <c r="A5" s="383"/>
      <c r="B5" s="384"/>
      <c r="C5" s="3015" t="s">
        <v>2341</v>
      </c>
      <c r="D5" s="3016"/>
      <c r="E5" s="3013" t="s">
        <v>2837</v>
      </c>
      <c r="F5" s="3014"/>
      <c r="G5" s="3019" t="s">
        <v>2837</v>
      </c>
      <c r="H5" s="3016"/>
      <c r="I5" s="3019" t="s">
        <v>2838</v>
      </c>
      <c r="J5" s="3016"/>
      <c r="K5" s="594"/>
      <c r="L5" s="1241"/>
      <c r="M5" s="1242"/>
      <c r="N5" s="1242"/>
      <c r="O5" s="1242"/>
      <c r="P5" s="3008"/>
      <c r="Q5" s="3009"/>
      <c r="R5" s="2990"/>
      <c r="S5" s="2991"/>
      <c r="T5" s="2990"/>
      <c r="U5" s="2991"/>
      <c r="V5" s="3012"/>
      <c r="W5" s="3012"/>
      <c r="X5" s="1897"/>
      <c r="Y5" s="2990"/>
      <c r="Z5" s="2991"/>
      <c r="AA5" s="3000"/>
      <c r="AB5" s="3012"/>
      <c r="AC5" s="3000"/>
    </row>
    <row r="6" spans="1:29" ht="15.75" thickBot="1">
      <c r="A6" s="385"/>
      <c r="B6" s="386"/>
      <c r="C6" s="3017" t="s">
        <v>2345</v>
      </c>
      <c r="D6" s="3018"/>
      <c r="E6" s="3020" t="s">
        <v>2839</v>
      </c>
      <c r="F6" s="3021"/>
      <c r="G6" s="3017" t="s">
        <v>2345</v>
      </c>
      <c r="H6" s="3018"/>
      <c r="I6" s="3017" t="s">
        <v>2345</v>
      </c>
      <c r="J6" s="3018"/>
      <c r="K6" s="594" t="s">
        <v>2346</v>
      </c>
      <c r="L6" s="1241"/>
      <c r="M6" s="1242"/>
      <c r="N6" s="1242"/>
      <c r="O6" s="1242"/>
      <c r="P6" s="3010"/>
      <c r="Q6" s="3011"/>
      <c r="R6" s="2990"/>
      <c r="S6" s="2991"/>
      <c r="T6" s="2992"/>
      <c r="U6" s="2993"/>
      <c r="V6" s="3012"/>
      <c r="W6" s="3012"/>
      <c r="X6" s="1897"/>
      <c r="Y6" s="2992"/>
      <c r="Z6" s="2993"/>
      <c r="AA6" s="3001"/>
      <c r="AB6" s="3012"/>
      <c r="AC6" s="3001"/>
    </row>
    <row r="7" spans="1:29" s="35" customFormat="1" ht="15.75" thickBot="1">
      <c r="A7" s="387" t="s">
        <v>2347</v>
      </c>
      <c r="B7" s="388"/>
      <c r="C7" s="389">
        <f>'数据-取费表'!B2</f>
        <v>43255</v>
      </c>
      <c r="D7" s="390">
        <v>100</v>
      </c>
      <c r="E7" s="391">
        <v>43252</v>
      </c>
      <c r="F7" s="392">
        <f>SUMIF(58:58,YEAR(E7)&amp;"-"&amp;MONTH(E7),59:59)</f>
        <v>100</v>
      </c>
      <c r="G7" s="391">
        <v>43252</v>
      </c>
      <c r="H7" s="390">
        <f>SUMIF(58:58,YEAR(G7)&amp;"-"&amp;MONTH(G7),59:59)</f>
        <v>100</v>
      </c>
      <c r="I7" s="391">
        <v>43252</v>
      </c>
      <c r="J7" s="390">
        <f>SUMIF(58:58,YEAR(I7)&amp;"-"&amp;MONTH(I7),59:59)</f>
        <v>100</v>
      </c>
      <c r="K7" s="595"/>
      <c r="L7" s="1243"/>
      <c r="M7" s="1244"/>
      <c r="N7" s="1244"/>
      <c r="O7" s="1244"/>
      <c r="P7" s="2986" t="s">
        <v>2348</v>
      </c>
      <c r="Q7" s="2994"/>
      <c r="R7" s="748" t="s">
        <v>25</v>
      </c>
      <c r="S7" s="749">
        <f t="shared" ref="S7:S15" si="0">F7</f>
        <v>100</v>
      </c>
      <c r="T7" s="748" t="s">
        <v>25</v>
      </c>
      <c r="U7" s="749">
        <f t="shared" ref="U7:U15" si="1">H7</f>
        <v>100</v>
      </c>
      <c r="V7" s="748" t="s">
        <v>25</v>
      </c>
      <c r="W7" s="749">
        <f t="shared" ref="W7:W15" si="2">J7</f>
        <v>100</v>
      </c>
      <c r="X7" s="750"/>
      <c r="Y7" s="2986" t="s">
        <v>2348</v>
      </c>
      <c r="Z7" s="2987"/>
      <c r="AA7" s="751">
        <f>D7/F7</f>
        <v>1</v>
      </c>
      <c r="AB7" s="751">
        <f>D7/H7</f>
        <v>1</v>
      </c>
      <c r="AC7" s="751">
        <f>D7/J7</f>
        <v>1</v>
      </c>
    </row>
    <row r="8" spans="1:29" s="35" customFormat="1" ht="15.75" thickBot="1">
      <c r="A8" s="387" t="s">
        <v>2349</v>
      </c>
      <c r="B8" s="388"/>
      <c r="C8" s="394" t="s">
        <v>2350</v>
      </c>
      <c r="D8" s="390">
        <v>100</v>
      </c>
      <c r="E8" s="394" t="s">
        <v>2826</v>
      </c>
      <c r="F8" s="392">
        <f>SUMIF(61:61,E8,62:62)-SUMIF(61:61,C8,62:62)+100</f>
        <v>100</v>
      </c>
      <c r="G8" s="394" t="s">
        <v>2826</v>
      </c>
      <c r="H8" s="390">
        <f>SUMIF(61:61,G8,62:62)-SUMIF(61:61,C8,62:62)+100</f>
        <v>100</v>
      </c>
      <c r="I8" s="394" t="s">
        <v>2826</v>
      </c>
      <c r="J8" s="390">
        <f>SUMIF(61:61,I8,62:62)-SUMIF(61:61,C8,62:62)+100</f>
        <v>100</v>
      </c>
      <c r="K8" s="595"/>
      <c r="L8" s="1243"/>
      <c r="M8" s="1244"/>
      <c r="N8" s="1244"/>
      <c r="O8" s="1244"/>
      <c r="P8" s="2986" t="s">
        <v>2351</v>
      </c>
      <c r="Q8" s="2987"/>
      <c r="R8" s="748" t="s">
        <v>25</v>
      </c>
      <c r="S8" s="749">
        <f t="shared" si="0"/>
        <v>100</v>
      </c>
      <c r="T8" s="748" t="s">
        <v>25</v>
      </c>
      <c r="U8" s="749">
        <f t="shared" si="1"/>
        <v>100</v>
      </c>
      <c r="V8" s="748" t="s">
        <v>25</v>
      </c>
      <c r="W8" s="749">
        <f t="shared" si="2"/>
        <v>100</v>
      </c>
      <c r="X8" s="750"/>
      <c r="Y8" s="2986" t="s">
        <v>2351</v>
      </c>
      <c r="Z8" s="2987"/>
      <c r="AA8" s="751">
        <f t="shared" ref="AA8:AA46" si="3">D8/F8</f>
        <v>1</v>
      </c>
      <c r="AB8" s="751">
        <f t="shared" ref="AB8:AB46" si="4">D8/H8</f>
        <v>1</v>
      </c>
      <c r="AC8" s="751">
        <f t="shared" ref="AC8:AC46" si="5">D8/J8</f>
        <v>1</v>
      </c>
    </row>
    <row r="9" spans="1:29" s="35" customFormat="1">
      <c r="A9" s="395" t="s">
        <v>2352</v>
      </c>
      <c r="B9" s="28" t="s">
        <v>2353</v>
      </c>
      <c r="C9" s="2735" t="s">
        <v>2840</v>
      </c>
      <c r="D9" s="51">
        <v>100</v>
      </c>
      <c r="E9" s="397" t="s">
        <v>2833</v>
      </c>
      <c r="F9" s="398">
        <f>SUMIF(63:63,E9,64:64)-SUMIF(63:63,C9,64:64)+100</f>
        <v>100</v>
      </c>
      <c r="G9" s="397" t="s">
        <v>2833</v>
      </c>
      <c r="H9" s="51">
        <f>SUMIF(63:63,G9,64:64)-SUMIF(63:63,C9,64:64)+100</f>
        <v>100</v>
      </c>
      <c r="I9" s="397" t="s">
        <v>2833</v>
      </c>
      <c r="J9" s="51">
        <f>SUMIF(63:63,I9,64:64)-SUMIF(63:63,C9,64:64)+100</f>
        <v>100</v>
      </c>
      <c r="K9" s="595"/>
      <c r="L9" s="1243"/>
      <c r="M9" s="1244"/>
      <c r="N9" s="1244"/>
      <c r="O9" s="1244"/>
      <c r="P9" s="3022"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29" s="407" customFormat="1" ht="27.75" thickBot="1">
      <c r="A10" s="401"/>
      <c r="B10" s="402" t="s">
        <v>2356</v>
      </c>
      <c r="C10" s="403" t="s">
        <v>2841</v>
      </c>
      <c r="D10" s="52">
        <v>100</v>
      </c>
      <c r="E10" s="404" t="s">
        <v>2841</v>
      </c>
      <c r="F10" s="405">
        <f>SUMIF(65:65,E10,66:66)-SUMIF(65:65,C10,66:66)+100</f>
        <v>100</v>
      </c>
      <c r="G10" s="404" t="s">
        <v>2841</v>
      </c>
      <c r="H10" s="52">
        <f>SUMIF(65:65,G10,66:66)-SUMIF(65:65,C10,66:66)+100</f>
        <v>100</v>
      </c>
      <c r="I10" s="404" t="s">
        <v>2841</v>
      </c>
      <c r="J10" s="52">
        <f>SUMIF(65:65,I10,66:66)-SUMIF(65:65,C10,66:66)+100</f>
        <v>100</v>
      </c>
      <c r="K10" s="596">
        <v>2</v>
      </c>
      <c r="L10" s="1246"/>
      <c r="M10" s="1247"/>
      <c r="N10" s="1247"/>
      <c r="O10" s="1247"/>
      <c r="P10" s="3022"/>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hidden="1">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3022"/>
      <c r="Q11" s="1884" t="str">
        <f t="shared" si="6"/>
        <v>容积率</v>
      </c>
      <c r="R11" s="748" t="s">
        <v>25</v>
      </c>
      <c r="S11" s="749">
        <f t="shared" si="0"/>
        <v>100</v>
      </c>
      <c r="T11" s="748" t="s">
        <v>25</v>
      </c>
      <c r="U11" s="749">
        <f t="shared" si="1"/>
        <v>100</v>
      </c>
      <c r="V11" s="748" t="s">
        <v>25</v>
      </c>
      <c r="W11" s="749">
        <f t="shared" si="2"/>
        <v>100</v>
      </c>
      <c r="X11" s="750"/>
      <c r="Y11" s="2837"/>
      <c r="Z11" s="23" t="str">
        <f t="shared" si="7"/>
        <v>容积率</v>
      </c>
      <c r="AA11" s="751">
        <f t="shared" si="3"/>
        <v>1</v>
      </c>
      <c r="AB11" s="751">
        <f t="shared" si="4"/>
        <v>1</v>
      </c>
      <c r="AC11" s="751">
        <f t="shared" si="5"/>
        <v>1</v>
      </c>
    </row>
    <row r="12" spans="1:29" s="35" customFormat="1" ht="15" hidden="1">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22"/>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22"/>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15.75" hidden="1"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22"/>
      <c r="Q14" s="1884">
        <f t="shared" si="6"/>
        <v>111</v>
      </c>
      <c r="R14" s="748" t="s">
        <v>25</v>
      </c>
      <c r="S14" s="749">
        <f t="shared" si="0"/>
        <v>100</v>
      </c>
      <c r="T14" s="748" t="s">
        <v>25</v>
      </c>
      <c r="U14" s="749">
        <f t="shared" si="1"/>
        <v>100</v>
      </c>
      <c r="V14" s="748" t="s">
        <v>25</v>
      </c>
      <c r="W14" s="749">
        <f t="shared" si="2"/>
        <v>100</v>
      </c>
      <c r="X14" s="750"/>
      <c r="Y14" s="2837"/>
      <c r="Z14" s="23">
        <f t="shared" si="7"/>
        <v>111</v>
      </c>
      <c r="AA14" s="751">
        <f t="shared" si="3"/>
        <v>1</v>
      </c>
      <c r="AB14" s="751">
        <f t="shared" si="4"/>
        <v>1</v>
      </c>
      <c r="AC14" s="751">
        <f t="shared" si="5"/>
        <v>1</v>
      </c>
    </row>
    <row r="15" spans="1:29" ht="71.25">
      <c r="A15" s="419" t="s">
        <v>2358</v>
      </c>
      <c r="B15" s="26" t="s">
        <v>2444</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51"/>
      <c r="M15" s="1242"/>
      <c r="N15" s="1242"/>
      <c r="O15" s="1242"/>
      <c r="P15" s="2995" t="s">
        <v>2359</v>
      </c>
      <c r="Q15" s="1896" t="str">
        <f t="shared" si="6"/>
        <v>商业繁华度</v>
      </c>
      <c r="R15" s="752" t="s">
        <v>25</v>
      </c>
      <c r="S15" s="753">
        <f t="shared" si="0"/>
        <v>100</v>
      </c>
      <c r="T15" s="752" t="s">
        <v>25</v>
      </c>
      <c r="U15" s="753">
        <f t="shared" si="1"/>
        <v>100</v>
      </c>
      <c r="V15" s="752" t="s">
        <v>25</v>
      </c>
      <c r="W15" s="753">
        <f t="shared" si="2"/>
        <v>100</v>
      </c>
      <c r="X15" s="1897"/>
      <c r="Y15" s="2997" t="s">
        <v>2359</v>
      </c>
      <c r="Z15" s="1899" t="str">
        <f t="shared" si="7"/>
        <v>商业繁华度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599"/>
      <c r="L16" s="1251"/>
      <c r="M16" s="1242"/>
      <c r="N16" s="1242"/>
      <c r="O16" s="1242"/>
      <c r="P16" s="2996"/>
      <c r="Q16" s="1896"/>
      <c r="R16" s="752"/>
      <c r="S16" s="753"/>
      <c r="T16" s="752"/>
      <c r="U16" s="753"/>
      <c r="V16" s="752"/>
      <c r="W16" s="753"/>
      <c r="X16" s="1897"/>
      <c r="Y16" s="2998"/>
      <c r="Z16" s="1899"/>
      <c r="AA16" s="1900">
        <v>1</v>
      </c>
      <c r="AB16" s="1900">
        <v>1</v>
      </c>
      <c r="AC16" s="1900">
        <v>1</v>
      </c>
    </row>
    <row r="17" spans="1:29" ht="85.5">
      <c r="A17" s="408"/>
      <c r="B17" s="431" t="s">
        <v>1742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2996"/>
      <c r="Q17" s="1896" t="str">
        <f>B17</f>
        <v>交通便捷度</v>
      </c>
      <c r="R17" s="752" t="s">
        <v>25</v>
      </c>
      <c r="S17" s="753">
        <f>F17</f>
        <v>100</v>
      </c>
      <c r="T17" s="752" t="s">
        <v>25</v>
      </c>
      <c r="U17" s="753">
        <f>H17</f>
        <v>100</v>
      </c>
      <c r="V17" s="752" t="s">
        <v>25</v>
      </c>
      <c r="W17" s="753">
        <f>J17</f>
        <v>100</v>
      </c>
      <c r="X17" s="1897"/>
      <c r="Y17" s="2998"/>
      <c r="Z17" s="1899" t="str">
        <f>Q17</f>
        <v>交通便捷度</v>
      </c>
      <c r="AA17" s="1900">
        <f t="shared" si="3"/>
        <v>1</v>
      </c>
      <c r="AB17" s="1900">
        <f t="shared" si="4"/>
        <v>1</v>
      </c>
      <c r="AC17" s="1900">
        <f t="shared" si="5"/>
        <v>1</v>
      </c>
    </row>
    <row r="18" spans="1:29" ht="15">
      <c r="A18" s="408"/>
      <c r="B18" s="436"/>
      <c r="C18" s="437" t="s">
        <v>30</v>
      </c>
      <c r="D18" s="430"/>
      <c r="E18" s="437" t="s">
        <v>30</v>
      </c>
      <c r="F18" s="433"/>
      <c r="G18" s="437" t="s">
        <v>30</v>
      </c>
      <c r="H18" s="427"/>
      <c r="I18" s="437" t="s">
        <v>30</v>
      </c>
      <c r="J18" s="427"/>
      <c r="K18" s="599"/>
      <c r="L18" s="1251"/>
      <c r="M18" s="1242"/>
      <c r="N18" s="1242"/>
      <c r="O18" s="1242"/>
      <c r="P18" s="2996"/>
      <c r="Q18" s="1896"/>
      <c r="R18" s="752"/>
      <c r="S18" s="753"/>
      <c r="T18" s="752"/>
      <c r="U18" s="753"/>
      <c r="V18" s="752"/>
      <c r="W18" s="753"/>
      <c r="X18" s="1897"/>
      <c r="Y18" s="2998"/>
      <c r="Z18" s="1899"/>
      <c r="AA18" s="1900">
        <v>1</v>
      </c>
      <c r="AB18" s="1900">
        <v>1</v>
      </c>
      <c r="AC18" s="1900">
        <v>1</v>
      </c>
    </row>
    <row r="19" spans="1:29" ht="42.75">
      <c r="A19" s="408"/>
      <c r="B19" s="431" t="s">
        <v>2445</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3</v>
      </c>
      <c r="L19" s="1251"/>
      <c r="M19" s="1242"/>
      <c r="N19" s="1242"/>
      <c r="O19" s="1242"/>
      <c r="P19" s="2996"/>
      <c r="Q19" s="1896" t="str">
        <f>B19</f>
        <v>公共配套设施</v>
      </c>
      <c r="R19" s="752" t="s">
        <v>25</v>
      </c>
      <c r="S19" s="753">
        <f>F19</f>
        <v>100</v>
      </c>
      <c r="T19" s="752" t="s">
        <v>25</v>
      </c>
      <c r="U19" s="753">
        <f>H19</f>
        <v>100</v>
      </c>
      <c r="V19" s="752" t="s">
        <v>25</v>
      </c>
      <c r="W19" s="753">
        <f>J19</f>
        <v>100</v>
      </c>
      <c r="X19" s="1897"/>
      <c r="Y19" s="2998"/>
      <c r="Z19" s="1899" t="str">
        <f>Q19</f>
        <v>公共配套设施</v>
      </c>
      <c r="AA19" s="1900">
        <f t="shared" si="3"/>
        <v>1</v>
      </c>
      <c r="AB19" s="1900">
        <f t="shared" si="4"/>
        <v>1</v>
      </c>
      <c r="AC19" s="1900">
        <f t="shared" si="5"/>
        <v>1</v>
      </c>
    </row>
    <row r="20" spans="1:29" ht="15">
      <c r="A20" s="408"/>
      <c r="B20" s="436"/>
      <c r="C20" s="426" t="s">
        <v>31</v>
      </c>
      <c r="D20" s="427"/>
      <c r="E20" s="426" t="s">
        <v>31</v>
      </c>
      <c r="F20" s="429"/>
      <c r="G20" s="426" t="s">
        <v>31</v>
      </c>
      <c r="H20" s="427"/>
      <c r="I20" s="426" t="s">
        <v>31</v>
      </c>
      <c r="J20" s="427"/>
      <c r="K20" s="599"/>
      <c r="L20" s="1251"/>
      <c r="M20" s="1242"/>
      <c r="N20" s="1242"/>
      <c r="O20" s="1242"/>
      <c r="P20" s="2996"/>
      <c r="Q20" s="1896"/>
      <c r="R20" s="752"/>
      <c r="S20" s="753"/>
      <c r="T20" s="752"/>
      <c r="U20" s="753"/>
      <c r="V20" s="752"/>
      <c r="W20" s="753"/>
      <c r="X20" s="1897"/>
      <c r="Y20" s="2998"/>
      <c r="Z20" s="1899"/>
      <c r="AA20" s="1900">
        <v>1</v>
      </c>
      <c r="AB20" s="1900">
        <v>1</v>
      </c>
      <c r="AC20" s="1900">
        <v>1</v>
      </c>
    </row>
    <row r="21" spans="1:29" ht="28.5">
      <c r="A21" s="408"/>
      <c r="B21" s="2407" t="s">
        <v>2446</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2</v>
      </c>
      <c r="L21" s="1251"/>
      <c r="M21" s="1242"/>
      <c r="N21" s="1242"/>
      <c r="O21" s="1242"/>
      <c r="P21" s="2996"/>
      <c r="Q21" s="1896" t="str">
        <f>B21</f>
        <v>基础设施水平</v>
      </c>
      <c r="R21" s="752" t="s">
        <v>25</v>
      </c>
      <c r="S21" s="753">
        <f>F21</f>
        <v>100</v>
      </c>
      <c r="T21" s="752" t="s">
        <v>25</v>
      </c>
      <c r="U21" s="753">
        <f>H21</f>
        <v>100</v>
      </c>
      <c r="V21" s="752" t="s">
        <v>25</v>
      </c>
      <c r="W21" s="753">
        <f>J21</f>
        <v>100</v>
      </c>
      <c r="X21" s="1897"/>
      <c r="Y21" s="2998"/>
      <c r="Z21" s="1899" t="str">
        <f>Q21</f>
        <v>基础设施水平</v>
      </c>
      <c r="AA21" s="1900">
        <f t="shared" ref="AA21" si="8">D21/F21</f>
        <v>1</v>
      </c>
      <c r="AB21" s="1900">
        <f t="shared" ref="AB21" si="9">D21/H21</f>
        <v>1</v>
      </c>
      <c r="AC21" s="1900">
        <f t="shared" ref="AC21" si="10">D21/J21</f>
        <v>1</v>
      </c>
    </row>
    <row r="22" spans="1:29" ht="15">
      <c r="A22" s="408"/>
      <c r="B22" s="2407"/>
      <c r="C22" s="437" t="s">
        <v>2842</v>
      </c>
      <c r="D22" s="427"/>
      <c r="E22" s="437" t="s">
        <v>2842</v>
      </c>
      <c r="F22" s="429"/>
      <c r="G22" s="437" t="s">
        <v>2842</v>
      </c>
      <c r="H22" s="427"/>
      <c r="I22" s="437" t="s">
        <v>2842</v>
      </c>
      <c r="J22" s="427"/>
      <c r="K22" s="1466"/>
      <c r="L22" s="1251"/>
      <c r="M22" s="1242"/>
      <c r="N22" s="1242"/>
      <c r="O22" s="1242"/>
      <c r="P22" s="2996"/>
      <c r="Q22" s="1896"/>
      <c r="R22" s="752"/>
      <c r="S22" s="753"/>
      <c r="T22" s="752"/>
      <c r="U22" s="753"/>
      <c r="V22" s="752"/>
      <c r="W22" s="753"/>
      <c r="X22" s="1897"/>
      <c r="Y22" s="2998"/>
      <c r="Z22" s="1899"/>
      <c r="AA22" s="1900">
        <v>1</v>
      </c>
      <c r="AB22" s="1900">
        <v>1</v>
      </c>
      <c r="AC22" s="1900">
        <v>1</v>
      </c>
    </row>
    <row r="23" spans="1:29" ht="57">
      <c r="A23" s="408"/>
      <c r="B23" s="431" t="s">
        <v>1747</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1</v>
      </c>
      <c r="L23" s="1251"/>
      <c r="M23" s="1242"/>
      <c r="N23" s="1242"/>
      <c r="O23" s="1242"/>
      <c r="P23" s="2996"/>
      <c r="Q23" s="1896" t="str">
        <f>B23</f>
        <v>自然及人文环境</v>
      </c>
      <c r="R23" s="752" t="s">
        <v>25</v>
      </c>
      <c r="S23" s="753">
        <f>F23</f>
        <v>100</v>
      </c>
      <c r="T23" s="752" t="s">
        <v>25</v>
      </c>
      <c r="U23" s="753">
        <f>H23</f>
        <v>100</v>
      </c>
      <c r="V23" s="752" t="s">
        <v>25</v>
      </c>
      <c r="W23" s="753">
        <f>J23</f>
        <v>100</v>
      </c>
      <c r="X23" s="1897"/>
      <c r="Y23" s="2998"/>
      <c r="Z23" s="1899" t="str">
        <f>Q23</f>
        <v>自然及人文环境</v>
      </c>
      <c r="AA23" s="1900">
        <f t="shared" si="3"/>
        <v>1</v>
      </c>
      <c r="AB23" s="1900">
        <f t="shared" si="4"/>
        <v>1</v>
      </c>
      <c r="AC23" s="1900">
        <f t="shared" si="5"/>
        <v>1</v>
      </c>
    </row>
    <row r="24" spans="1:29" ht="15">
      <c r="A24" s="408"/>
      <c r="B24" s="436"/>
      <c r="C24" s="426" t="s">
        <v>32</v>
      </c>
      <c r="D24" s="427"/>
      <c r="E24" s="426" t="s">
        <v>32</v>
      </c>
      <c r="F24" s="429"/>
      <c r="G24" s="426" t="s">
        <v>32</v>
      </c>
      <c r="H24" s="427"/>
      <c r="I24" s="426" t="s">
        <v>32</v>
      </c>
      <c r="J24" s="427"/>
      <c r="K24" s="599"/>
      <c r="L24" s="1251"/>
      <c r="M24" s="1242"/>
      <c r="N24" s="1242"/>
      <c r="O24" s="1242"/>
      <c r="P24" s="2996"/>
      <c r="Q24" s="1896"/>
      <c r="R24" s="752"/>
      <c r="S24" s="753"/>
      <c r="T24" s="752"/>
      <c r="U24" s="753"/>
      <c r="V24" s="752"/>
      <c r="W24" s="753"/>
      <c r="X24" s="1897"/>
      <c r="Y24" s="2998"/>
      <c r="Z24" s="1899"/>
      <c r="AA24" s="1900">
        <v>1</v>
      </c>
      <c r="AB24" s="1900">
        <v>1</v>
      </c>
      <c r="AC24" s="1900">
        <v>1</v>
      </c>
    </row>
    <row r="25" spans="1:29" ht="15">
      <c r="A25" s="408"/>
      <c r="B25" s="402" t="s">
        <v>2447</v>
      </c>
      <c r="C25" s="600" t="s">
        <v>2845</v>
      </c>
      <c r="D25" s="415">
        <v>100</v>
      </c>
      <c r="E25" s="600" t="s">
        <v>2845</v>
      </c>
      <c r="F25" s="442">
        <f>SUMIF(86:86,E25,87:87)-SUMIF(86:86,C25,87:87)+100</f>
        <v>100</v>
      </c>
      <c r="G25" s="600" t="s">
        <v>2845</v>
      </c>
      <c r="H25" s="415">
        <f>SUMIF(86:86,G25,87:87)-SUMIF(86:86,C25,87:87)+100</f>
        <v>100</v>
      </c>
      <c r="I25" s="600" t="s">
        <v>2845</v>
      </c>
      <c r="J25" s="415">
        <f>SUMIF(86:86,I25,87:87)-SUMIF(86:86,C25,87:87)+100</f>
        <v>100</v>
      </c>
      <c r="K25" s="596">
        <v>2</v>
      </c>
      <c r="L25" s="1251"/>
      <c r="M25" s="1242"/>
      <c r="N25" s="1242"/>
      <c r="O25" s="1242"/>
      <c r="P25" s="2996"/>
      <c r="Q25" s="1896" t="str">
        <f t="shared" ref="Q25:Q46" si="11">B25</f>
        <v>临街状况</v>
      </c>
      <c r="R25" s="752" t="s">
        <v>25</v>
      </c>
      <c r="S25" s="753">
        <f>F25</f>
        <v>100</v>
      </c>
      <c r="T25" s="752" t="s">
        <v>25</v>
      </c>
      <c r="U25" s="753">
        <f>H25</f>
        <v>100</v>
      </c>
      <c r="V25" s="752" t="s">
        <v>25</v>
      </c>
      <c r="W25" s="753">
        <f>J25</f>
        <v>100</v>
      </c>
      <c r="X25" s="1897"/>
      <c r="Y25" s="2998"/>
      <c r="Z25" s="1899" t="str">
        <f>Q25</f>
        <v>临街状况</v>
      </c>
      <c r="AA25" s="1900">
        <f t="shared" si="3"/>
        <v>1</v>
      </c>
      <c r="AB25" s="1900">
        <f t="shared" si="4"/>
        <v>1</v>
      </c>
      <c r="AC25" s="1900">
        <f t="shared" si="5"/>
        <v>1</v>
      </c>
    </row>
    <row r="26" spans="1:29" ht="15">
      <c r="A26" s="408"/>
      <c r="B26" s="2411" t="s">
        <v>2448</v>
      </c>
      <c r="C26" s="2741" t="s">
        <v>2888</v>
      </c>
      <c r="D26" s="415">
        <v>100</v>
      </c>
      <c r="E26" s="2741" t="s">
        <v>2877</v>
      </c>
      <c r="F26" s="442">
        <f>SUMIF(88:88,E26,89:89)-SUMIF(88:88,C26,89:89)+100</f>
        <v>90</v>
      </c>
      <c r="G26" s="2741" t="s">
        <v>2877</v>
      </c>
      <c r="H26" s="415">
        <f>SUMIF(88:88,G26,89:89)-SUMIF(88:88,C26,89:89)+100</f>
        <v>90</v>
      </c>
      <c r="I26" s="2741" t="s">
        <v>2877</v>
      </c>
      <c r="J26" s="415">
        <f>SUMIF(88:88,I26,89:89)-SUMIF(88:88,C26,89:89)+100</f>
        <v>90</v>
      </c>
      <c r="K26" s="597"/>
      <c r="L26" s="1251"/>
      <c r="M26" s="1242"/>
      <c r="N26" s="1242"/>
      <c r="O26" s="1242"/>
      <c r="P26" s="2996"/>
      <c r="Q26" s="1896" t="str">
        <f t="shared" si="11"/>
        <v>平面位置/可视性</v>
      </c>
      <c r="R26" s="752" t="s">
        <v>25</v>
      </c>
      <c r="S26" s="753">
        <f>F26</f>
        <v>90</v>
      </c>
      <c r="T26" s="752" t="s">
        <v>25</v>
      </c>
      <c r="U26" s="753">
        <f>H26</f>
        <v>90</v>
      </c>
      <c r="V26" s="752" t="s">
        <v>25</v>
      </c>
      <c r="W26" s="753">
        <f>J26</f>
        <v>90</v>
      </c>
      <c r="X26" s="1897"/>
      <c r="Y26" s="2998"/>
      <c r="Z26" s="1899" t="str">
        <f>Q26</f>
        <v>平面位置/可视性</v>
      </c>
      <c r="AA26" s="1900">
        <f t="shared" si="3"/>
        <v>1.1111111111111112</v>
      </c>
      <c r="AB26" s="1900">
        <f t="shared" si="4"/>
        <v>1.1111111111111112</v>
      </c>
      <c r="AC26" s="1900">
        <f t="shared" si="5"/>
        <v>1.1111111111111112</v>
      </c>
    </row>
    <row r="27" spans="1:29" s="35" customFormat="1" ht="15">
      <c r="A27" s="411"/>
      <c r="B27" s="431" t="s">
        <v>2449</v>
      </c>
      <c r="C27" s="2457" t="s">
        <v>2849</v>
      </c>
      <c r="D27" s="443">
        <v>100</v>
      </c>
      <c r="E27" s="2457" t="s">
        <v>31</v>
      </c>
      <c r="F27" s="445">
        <f>SUMIF(90:90,E27,91:91)-SUMIF(90:90,C27,91:91)+100</f>
        <v>95</v>
      </c>
      <c r="G27" s="2457" t="s">
        <v>31</v>
      </c>
      <c r="H27" s="443">
        <f>SUMIF(90:90,G27,91:91)-SUMIF(90:90,C27,91:91)+100</f>
        <v>95</v>
      </c>
      <c r="I27" s="2457" t="s">
        <v>31</v>
      </c>
      <c r="J27" s="443">
        <f>SUMIF(90:90,I27,91:91)-SUMIF(90:90,C27,91:91)+100</f>
        <v>95</v>
      </c>
      <c r="K27" s="596">
        <v>5</v>
      </c>
      <c r="L27" s="1243"/>
      <c r="M27" s="1244"/>
      <c r="N27" s="1244"/>
      <c r="O27" s="1244"/>
      <c r="P27" s="2996"/>
      <c r="Q27" s="1884" t="str">
        <f t="shared" si="11"/>
        <v>人流量</v>
      </c>
      <c r="R27" s="748" t="s">
        <v>25</v>
      </c>
      <c r="S27" s="749">
        <f>F27</f>
        <v>95</v>
      </c>
      <c r="T27" s="748" t="s">
        <v>25</v>
      </c>
      <c r="U27" s="749">
        <f>H27</f>
        <v>95</v>
      </c>
      <c r="V27" s="748" t="s">
        <v>25</v>
      </c>
      <c r="W27" s="749">
        <f>J27</f>
        <v>95</v>
      </c>
      <c r="X27" s="750"/>
      <c r="Y27" s="2998"/>
      <c r="Z27" s="23" t="str">
        <f>Q27</f>
        <v>人流量</v>
      </c>
      <c r="AA27" s="1900">
        <f>D27/F27</f>
        <v>1.0526315789473684</v>
      </c>
      <c r="AB27" s="1900">
        <f>D27/H27</f>
        <v>1.0526315789473684</v>
      </c>
      <c r="AC27" s="1900">
        <f>D27/J27</f>
        <v>1.0526315789473684</v>
      </c>
    </row>
    <row r="28" spans="1:29" ht="15.75" thickBot="1">
      <c r="A28" s="408"/>
      <c r="B28" s="402" t="s">
        <v>2450</v>
      </c>
      <c r="C28" s="600" t="s">
        <v>2880</v>
      </c>
      <c r="D28" s="415">
        <v>100</v>
      </c>
      <c r="E28" s="600" t="s">
        <v>2880</v>
      </c>
      <c r="F28" s="442">
        <f>SUMIF(92:92,E28,93:93)-SUMIF(92:92,C28,93:93)+100</f>
        <v>100</v>
      </c>
      <c r="G28" s="600" t="s">
        <v>2880</v>
      </c>
      <c r="H28" s="415">
        <f>SUMIF(92:92,G28,93:93)-SUMIF(92:92,C28,93:93)+100</f>
        <v>100</v>
      </c>
      <c r="I28" s="600" t="s">
        <v>2880</v>
      </c>
      <c r="J28" s="415">
        <f>SUMIF(92:92,I28,93:93)-SUMIF(92:92,C28,93:93)+100</f>
        <v>100</v>
      </c>
      <c r="K28" s="597"/>
      <c r="L28" s="1251"/>
      <c r="M28" s="1242"/>
      <c r="N28" s="1242"/>
      <c r="O28" s="1242"/>
      <c r="P28" s="2996"/>
      <c r="Q28" s="1896" t="str">
        <f t="shared" si="11"/>
        <v>楼层</v>
      </c>
      <c r="R28" s="752" t="s">
        <v>25</v>
      </c>
      <c r="S28" s="753">
        <f t="shared" ref="S28:S46" si="12">F28</f>
        <v>100</v>
      </c>
      <c r="T28" s="752" t="s">
        <v>25</v>
      </c>
      <c r="U28" s="753">
        <f t="shared" ref="U28:U46" si="13">H28</f>
        <v>100</v>
      </c>
      <c r="V28" s="752" t="s">
        <v>25</v>
      </c>
      <c r="W28" s="753">
        <f t="shared" ref="W28:W46" si="14">J28</f>
        <v>100</v>
      </c>
      <c r="X28" s="1897"/>
      <c r="Y28" s="2998"/>
      <c r="Z28" s="1899" t="str">
        <f t="shared" ref="Z28:Z46" si="15">Q28</f>
        <v>楼层</v>
      </c>
      <c r="AA28" s="1900">
        <f t="shared" si="3"/>
        <v>1</v>
      </c>
      <c r="AB28" s="1900">
        <f t="shared" si="4"/>
        <v>1</v>
      </c>
      <c r="AC28" s="1900">
        <f t="shared" si="5"/>
        <v>1</v>
      </c>
    </row>
    <row r="29" spans="1:29" ht="15" hidden="1">
      <c r="A29" s="408"/>
      <c r="B29" s="2734"/>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96"/>
      <c r="Q29" s="1896">
        <f t="shared" si="11"/>
        <v>0</v>
      </c>
      <c r="R29" s="752" t="s">
        <v>25</v>
      </c>
      <c r="S29" s="753">
        <f t="shared" si="12"/>
        <v>100</v>
      </c>
      <c r="T29" s="752" t="s">
        <v>25</v>
      </c>
      <c r="U29" s="753">
        <f t="shared" si="13"/>
        <v>100</v>
      </c>
      <c r="V29" s="752" t="s">
        <v>25</v>
      </c>
      <c r="W29" s="753">
        <f t="shared" si="14"/>
        <v>100</v>
      </c>
      <c r="X29" s="1897"/>
      <c r="Y29" s="2998"/>
      <c r="Z29" s="1899">
        <f t="shared" si="15"/>
        <v>0</v>
      </c>
      <c r="AA29" s="1900">
        <f t="shared" si="3"/>
        <v>1</v>
      </c>
      <c r="AB29" s="1900">
        <f t="shared" si="4"/>
        <v>1</v>
      </c>
      <c r="AC29" s="1900">
        <f t="shared" si="5"/>
        <v>1</v>
      </c>
    </row>
    <row r="30" spans="1:29" ht="15" hidden="1">
      <c r="A30" s="408"/>
      <c r="B30" s="2411"/>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96"/>
      <c r="Q30" s="1896">
        <f t="shared" si="11"/>
        <v>0</v>
      </c>
      <c r="R30" s="752" t="s">
        <v>25</v>
      </c>
      <c r="S30" s="753">
        <f t="shared" si="12"/>
        <v>100</v>
      </c>
      <c r="T30" s="752" t="s">
        <v>25</v>
      </c>
      <c r="U30" s="753">
        <f t="shared" si="13"/>
        <v>100</v>
      </c>
      <c r="V30" s="752" t="s">
        <v>25</v>
      </c>
      <c r="W30" s="753">
        <f t="shared" si="14"/>
        <v>100</v>
      </c>
      <c r="X30" s="1897"/>
      <c r="Y30" s="2998"/>
      <c r="Z30" s="1899">
        <f t="shared" si="15"/>
        <v>0</v>
      </c>
      <c r="AA30" s="1900">
        <f t="shared" si="3"/>
        <v>1</v>
      </c>
      <c r="AB30" s="1900">
        <f t="shared" si="4"/>
        <v>1</v>
      </c>
      <c r="AC30" s="1900">
        <f t="shared" si="5"/>
        <v>1</v>
      </c>
    </row>
    <row r="31" spans="1:29" ht="15.75" hidden="1" thickBot="1">
      <c r="A31" s="416"/>
      <c r="B31" s="2411"/>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96"/>
      <c r="Q31" s="1896">
        <f t="shared" si="11"/>
        <v>0</v>
      </c>
      <c r="R31" s="752" t="s">
        <v>25</v>
      </c>
      <c r="S31" s="753">
        <f t="shared" si="12"/>
        <v>100</v>
      </c>
      <c r="T31" s="752" t="s">
        <v>25</v>
      </c>
      <c r="U31" s="753">
        <f t="shared" si="13"/>
        <v>100</v>
      </c>
      <c r="V31" s="752" t="s">
        <v>25</v>
      </c>
      <c r="W31" s="753">
        <f t="shared" si="14"/>
        <v>100</v>
      </c>
      <c r="X31" s="1897"/>
      <c r="Y31" s="2998"/>
      <c r="Z31" s="1899">
        <f t="shared" si="15"/>
        <v>0</v>
      </c>
      <c r="AA31" s="1900">
        <f t="shared" si="3"/>
        <v>1</v>
      </c>
      <c r="AB31" s="1900">
        <f t="shared" si="4"/>
        <v>1</v>
      </c>
      <c r="AC31" s="1900">
        <f t="shared" si="5"/>
        <v>1</v>
      </c>
    </row>
    <row r="32" spans="1:29" ht="15">
      <c r="A32" s="419" t="s">
        <v>2363</v>
      </c>
      <c r="B32" s="28" t="s">
        <v>2451</v>
      </c>
      <c r="C32" s="2412" t="s">
        <v>2858</v>
      </c>
      <c r="D32" s="448">
        <v>100</v>
      </c>
      <c r="E32" s="2412" t="s">
        <v>2858</v>
      </c>
      <c r="F32" s="442">
        <f>SUMIF(100:100,E32,101:101)-SUMIF(100:100,C32,101:101)+100</f>
        <v>100</v>
      </c>
      <c r="G32" s="2412" t="s">
        <v>2858</v>
      </c>
      <c r="H32" s="415">
        <f>SUMIF(100:100,G32,101:101)-SUMIF(100:100,C32,101:101)+100</f>
        <v>100</v>
      </c>
      <c r="I32" s="2412" t="s">
        <v>2858</v>
      </c>
      <c r="J32" s="448">
        <f>SUMIF(100:100,I32,101:101)-SUMIF(100:100,C32,101:101)+100</f>
        <v>100</v>
      </c>
      <c r="K32" s="596">
        <v>2</v>
      </c>
      <c r="L32" s="1251"/>
      <c r="M32" s="1242"/>
      <c r="N32" s="1242"/>
      <c r="O32" s="1242"/>
      <c r="P32" s="2981" t="s">
        <v>2365</v>
      </c>
      <c r="Q32" s="1896" t="str">
        <f t="shared" si="11"/>
        <v>商业类型</v>
      </c>
      <c r="R32" s="752" t="s">
        <v>25</v>
      </c>
      <c r="S32" s="753">
        <f t="shared" si="12"/>
        <v>100</v>
      </c>
      <c r="T32" s="752" t="s">
        <v>25</v>
      </c>
      <c r="U32" s="753">
        <f t="shared" si="13"/>
        <v>100</v>
      </c>
      <c r="V32" s="752" t="s">
        <v>25</v>
      </c>
      <c r="W32" s="753">
        <f t="shared" si="14"/>
        <v>100</v>
      </c>
      <c r="X32" s="1897"/>
      <c r="Y32" s="2984" t="s">
        <v>2365</v>
      </c>
      <c r="Z32" s="1899" t="str">
        <f t="shared" si="15"/>
        <v>商业类型</v>
      </c>
      <c r="AA32" s="1900">
        <f t="shared" si="3"/>
        <v>1</v>
      </c>
      <c r="AB32" s="1900">
        <f t="shared" si="4"/>
        <v>1</v>
      </c>
      <c r="AC32" s="1900">
        <f t="shared" si="5"/>
        <v>1</v>
      </c>
    </row>
    <row r="33" spans="1:29" s="452" customFormat="1" ht="15">
      <c r="A33" s="449"/>
      <c r="B33" s="402" t="s">
        <v>2366</v>
      </c>
      <c r="C33" s="450">
        <f>'数据-取费表'!B5</f>
        <v>450.38</v>
      </c>
      <c r="D33" s="52">
        <v>100</v>
      </c>
      <c r="E33" s="410">
        <v>158</v>
      </c>
      <c r="F33" s="405">
        <f>LOOKUP(E33,103:103,104:104)-LOOKUP(C33,103:103,104:104)+100</f>
        <v>97</v>
      </c>
      <c r="G33" s="409">
        <v>150</v>
      </c>
      <c r="H33" s="52">
        <f>LOOKUP(G33,103:103,104:104)-LOOKUP(C33,103:103,104:104)+100</f>
        <v>97</v>
      </c>
      <c r="I33" s="409">
        <v>153</v>
      </c>
      <c r="J33" s="52">
        <f>LOOKUP(I33,103:103,104:104)-LOOKUP(C33,103:103,104:104)+100</f>
        <v>97</v>
      </c>
      <c r="K33" s="597"/>
      <c r="L33" s="1249"/>
      <c r="M33" s="1252"/>
      <c r="N33" s="1252"/>
      <c r="O33" s="1252"/>
      <c r="P33" s="2982"/>
      <c r="Q33" s="754" t="str">
        <f t="shared" si="11"/>
        <v>项目建筑规模</v>
      </c>
      <c r="R33" s="755" t="s">
        <v>25</v>
      </c>
      <c r="S33" s="756">
        <f t="shared" si="12"/>
        <v>97</v>
      </c>
      <c r="T33" s="755" t="s">
        <v>25</v>
      </c>
      <c r="U33" s="756">
        <f t="shared" si="13"/>
        <v>97</v>
      </c>
      <c r="V33" s="755" t="s">
        <v>25</v>
      </c>
      <c r="W33" s="756">
        <f t="shared" si="14"/>
        <v>97</v>
      </c>
      <c r="X33" s="757"/>
      <c r="Y33" s="2984"/>
      <c r="Z33" s="758" t="str">
        <f t="shared" si="15"/>
        <v>项目建筑规模</v>
      </c>
      <c r="AA33" s="1900">
        <f t="shared" si="3"/>
        <v>1.0309278350515463</v>
      </c>
      <c r="AB33" s="1900">
        <f t="shared" si="4"/>
        <v>1.0309278350515463</v>
      </c>
      <c r="AC33" s="1900">
        <f t="shared" si="5"/>
        <v>1.0309278350515463</v>
      </c>
    </row>
    <row r="34" spans="1:29" ht="15">
      <c r="A34" s="453"/>
      <c r="B34" s="402" t="s">
        <v>2367</v>
      </c>
      <c r="C34" s="2414" t="s">
        <v>2828</v>
      </c>
      <c r="D34" s="415">
        <v>100</v>
      </c>
      <c r="E34" s="2414" t="s">
        <v>2828</v>
      </c>
      <c r="F34" s="442">
        <f>SUMIF(105:105,E34,106:106)-SUMIF(105:105,C34,106:106)+100</f>
        <v>100</v>
      </c>
      <c r="G34" s="2414" t="s">
        <v>2828</v>
      </c>
      <c r="H34" s="415">
        <f>SUMIF(105:105,G34,106:106)-SUMIF(105:105,C34,106:106)+100</f>
        <v>100</v>
      </c>
      <c r="I34" s="2414" t="s">
        <v>2828</v>
      </c>
      <c r="J34" s="415">
        <f>SUMIF(105:105,I34,106:106)-SUMIF(105:105,C34,106:106)+100</f>
        <v>100</v>
      </c>
      <c r="K34" s="596">
        <v>1</v>
      </c>
      <c r="L34" s="1251"/>
      <c r="M34" s="1242"/>
      <c r="N34" s="1242"/>
      <c r="O34" s="1242"/>
      <c r="P34" s="2982"/>
      <c r="Q34" s="1896" t="str">
        <f t="shared" si="11"/>
        <v>建筑结构</v>
      </c>
      <c r="R34" s="752" t="s">
        <v>25</v>
      </c>
      <c r="S34" s="753">
        <f t="shared" si="12"/>
        <v>100</v>
      </c>
      <c r="T34" s="752" t="s">
        <v>25</v>
      </c>
      <c r="U34" s="753">
        <f t="shared" si="13"/>
        <v>100</v>
      </c>
      <c r="V34" s="752" t="s">
        <v>25</v>
      </c>
      <c r="W34" s="753">
        <f t="shared" si="14"/>
        <v>100</v>
      </c>
      <c r="X34" s="1897"/>
      <c r="Y34" s="2984"/>
      <c r="Z34" s="1899" t="str">
        <f t="shared" si="15"/>
        <v>建筑结构</v>
      </c>
      <c r="AA34" s="1900">
        <f t="shared" si="3"/>
        <v>1</v>
      </c>
      <c r="AB34" s="1900">
        <f t="shared" si="4"/>
        <v>1</v>
      </c>
      <c r="AC34" s="1900">
        <f t="shared" si="5"/>
        <v>1</v>
      </c>
    </row>
    <row r="35" spans="1:29" ht="15">
      <c r="A35" s="453"/>
      <c r="B35" s="402" t="s">
        <v>2452</v>
      </c>
      <c r="C35" s="2410" t="s">
        <v>2862</v>
      </c>
      <c r="D35" s="415">
        <v>100</v>
      </c>
      <c r="E35" s="2410" t="s">
        <v>2862</v>
      </c>
      <c r="F35" s="442">
        <f>SUMIF(107:107,E35,108:108)-SUMIF(107:107,C35,108:108)+100</f>
        <v>100</v>
      </c>
      <c r="G35" s="2410" t="s">
        <v>2862</v>
      </c>
      <c r="H35" s="415">
        <f>SUMIF(107:107,G35,108:108)-SUMIF(107:107,C35,108:108)+100</f>
        <v>100</v>
      </c>
      <c r="I35" s="2742" t="s">
        <v>2878</v>
      </c>
      <c r="J35" s="415">
        <f>SUMIF(107:107,I35,108:108)-SUMIF(107:107,C35,108:108)+100</f>
        <v>100</v>
      </c>
      <c r="K35" s="596">
        <v>2</v>
      </c>
      <c r="L35" s="1251"/>
      <c r="M35" s="1242"/>
      <c r="N35" s="1242"/>
      <c r="O35" s="1242"/>
      <c r="P35" s="2982"/>
      <c r="Q35" s="1896" t="str">
        <f t="shared" si="11"/>
        <v>公共部分装修</v>
      </c>
      <c r="R35" s="752" t="s">
        <v>25</v>
      </c>
      <c r="S35" s="753">
        <f t="shared" si="12"/>
        <v>100</v>
      </c>
      <c r="T35" s="752" t="s">
        <v>25</v>
      </c>
      <c r="U35" s="753">
        <f t="shared" si="13"/>
        <v>100</v>
      </c>
      <c r="V35" s="752" t="s">
        <v>25</v>
      </c>
      <c r="W35" s="753">
        <f t="shared" si="14"/>
        <v>100</v>
      </c>
      <c r="X35" s="1897"/>
      <c r="Y35" s="2984"/>
      <c r="Z35" s="1899" t="str">
        <f t="shared" si="15"/>
        <v>公共部分装修</v>
      </c>
      <c r="AA35" s="1900">
        <f t="shared" si="3"/>
        <v>1</v>
      </c>
      <c r="AB35" s="1900">
        <f t="shared" si="4"/>
        <v>1</v>
      </c>
      <c r="AC35" s="1900">
        <f t="shared" si="5"/>
        <v>1</v>
      </c>
    </row>
    <row r="36" spans="1:29" ht="15">
      <c r="A36" s="453"/>
      <c r="B36" s="402" t="s">
        <v>2453</v>
      </c>
      <c r="C36" s="455">
        <f>'数据-取费表'!E20</f>
        <v>0.87</v>
      </c>
      <c r="D36" s="415">
        <v>100</v>
      </c>
      <c r="E36" s="455">
        <f>C36</f>
        <v>0.87</v>
      </c>
      <c r="F36" s="442">
        <f>LOOKUP(E36,110:110,111:111)-LOOKUP(C36,110:110,111:111)+100</f>
        <v>100</v>
      </c>
      <c r="G36" s="455">
        <f>C36</f>
        <v>0.87</v>
      </c>
      <c r="H36" s="442">
        <f>LOOKUP(G36,110:110,111:111)-LOOKUP(C36,110:110,111:111)+100</f>
        <v>100</v>
      </c>
      <c r="I36" s="455">
        <f>C36</f>
        <v>0.87</v>
      </c>
      <c r="J36" s="415">
        <f>LOOKUP(I36,110:110,111:111)-LOOKUP(C36,110:110,111:111)+100</f>
        <v>100</v>
      </c>
      <c r="K36" s="596">
        <v>2</v>
      </c>
      <c r="L36" s="1251"/>
      <c r="M36" s="1242"/>
      <c r="N36" s="1242"/>
      <c r="O36" s="1242"/>
      <c r="P36" s="2982"/>
      <c r="Q36" s="1896" t="str">
        <f t="shared" si="11"/>
        <v>成新度</v>
      </c>
      <c r="R36" s="752" t="s">
        <v>25</v>
      </c>
      <c r="S36" s="753">
        <f t="shared" si="12"/>
        <v>100</v>
      </c>
      <c r="T36" s="752" t="s">
        <v>25</v>
      </c>
      <c r="U36" s="753">
        <f t="shared" si="13"/>
        <v>100</v>
      </c>
      <c r="V36" s="752" t="s">
        <v>25</v>
      </c>
      <c r="W36" s="753">
        <f t="shared" si="14"/>
        <v>100</v>
      </c>
      <c r="X36" s="1897"/>
      <c r="Y36" s="2984"/>
      <c r="Z36" s="1899" t="str">
        <f t="shared" si="15"/>
        <v>成新度</v>
      </c>
      <c r="AA36" s="1900">
        <f t="shared" si="3"/>
        <v>1</v>
      </c>
      <c r="AB36" s="1900">
        <f t="shared" si="4"/>
        <v>1</v>
      </c>
      <c r="AC36" s="1900">
        <f t="shared" si="5"/>
        <v>1</v>
      </c>
    </row>
    <row r="37" spans="1:29" s="35" customFormat="1" ht="15">
      <c r="A37" s="454"/>
      <c r="B37" s="402" t="s">
        <v>2454</v>
      </c>
      <c r="C37" s="2410" t="s">
        <v>2867</v>
      </c>
      <c r="D37" s="52">
        <v>100</v>
      </c>
      <c r="E37" s="2410" t="s">
        <v>2867</v>
      </c>
      <c r="F37" s="442">
        <f>SUMIF(112:112,E37,113:113)-SUMIF(112:112,C37,113:113)+100</f>
        <v>100</v>
      </c>
      <c r="G37" s="2410" t="s">
        <v>2867</v>
      </c>
      <c r="H37" s="415">
        <f>SUMIF(112:112,G37,113:113)-SUMIF(112:112,C37,113:113)+100</f>
        <v>100</v>
      </c>
      <c r="I37" s="2410" t="s">
        <v>2867</v>
      </c>
      <c r="J37" s="415">
        <f>SUMIF(112:112,I37,113:113)-SUMIF(112:112,C37,113:113)+100</f>
        <v>100</v>
      </c>
      <c r="K37" s="596">
        <v>1</v>
      </c>
      <c r="L37" s="1243"/>
      <c r="M37" s="1244"/>
      <c r="N37" s="1244"/>
      <c r="O37" s="1244"/>
      <c r="P37" s="2982"/>
      <c r="Q37" s="1884" t="str">
        <f t="shared" si="11"/>
        <v>市政基础设施</v>
      </c>
      <c r="R37" s="748" t="s">
        <v>25</v>
      </c>
      <c r="S37" s="749">
        <f t="shared" si="12"/>
        <v>100</v>
      </c>
      <c r="T37" s="748" t="s">
        <v>25</v>
      </c>
      <c r="U37" s="749">
        <f t="shared" si="13"/>
        <v>100</v>
      </c>
      <c r="V37" s="748" t="s">
        <v>25</v>
      </c>
      <c r="W37" s="749">
        <f t="shared" si="14"/>
        <v>100</v>
      </c>
      <c r="X37" s="750"/>
      <c r="Y37" s="2984"/>
      <c r="Z37" s="23" t="str">
        <f t="shared" si="15"/>
        <v>市政基础设施</v>
      </c>
      <c r="AA37" s="751">
        <f t="shared" si="3"/>
        <v>1</v>
      </c>
      <c r="AB37" s="751">
        <f t="shared" si="4"/>
        <v>1</v>
      </c>
      <c r="AC37" s="751">
        <f t="shared" si="5"/>
        <v>1</v>
      </c>
    </row>
    <row r="38" spans="1:29" ht="15">
      <c r="A38" s="453"/>
      <c r="B38" s="402" t="s">
        <v>2455</v>
      </c>
      <c r="C38" s="2410" t="s">
        <v>2871</v>
      </c>
      <c r="D38" s="415">
        <v>100</v>
      </c>
      <c r="E38" s="2410" t="s">
        <v>2871</v>
      </c>
      <c r="F38" s="442">
        <f>SUMIF(114:114,E38,115:115)-SUMIF(114:114,C38,115:115)+100</f>
        <v>100</v>
      </c>
      <c r="G38" s="2410" t="s">
        <v>2871</v>
      </c>
      <c r="H38" s="415">
        <f>SUMIF(114:114,G38,115:115)-SUMIF(114:114,C38,115:115)+100</f>
        <v>100</v>
      </c>
      <c r="I38" s="2410" t="s">
        <v>2871</v>
      </c>
      <c r="J38" s="415">
        <f>SUMIF(114:114,I38,115:115)-SUMIF(114:114,C38,115:115)+100</f>
        <v>100</v>
      </c>
      <c r="K38" s="596">
        <v>2</v>
      </c>
      <c r="L38" s="1251"/>
      <c r="M38" s="1242"/>
      <c r="N38" s="1242"/>
      <c r="O38" s="1242"/>
      <c r="P38" s="2982" t="s">
        <v>2365</v>
      </c>
      <c r="Q38" s="1896" t="str">
        <f t="shared" si="11"/>
        <v>业态</v>
      </c>
      <c r="R38" s="752" t="s">
        <v>25</v>
      </c>
      <c r="S38" s="753">
        <f t="shared" si="12"/>
        <v>100</v>
      </c>
      <c r="T38" s="752" t="s">
        <v>25</v>
      </c>
      <c r="U38" s="753">
        <f t="shared" si="13"/>
        <v>100</v>
      </c>
      <c r="V38" s="752" t="s">
        <v>25</v>
      </c>
      <c r="W38" s="753">
        <f t="shared" si="14"/>
        <v>100</v>
      </c>
      <c r="X38" s="1897"/>
      <c r="Y38" s="2984" t="s">
        <v>2365</v>
      </c>
      <c r="Z38" s="1899" t="str">
        <f t="shared" si="15"/>
        <v>业态</v>
      </c>
      <c r="AA38" s="1900">
        <f t="shared" si="3"/>
        <v>1</v>
      </c>
      <c r="AB38" s="1900">
        <f t="shared" si="4"/>
        <v>1</v>
      </c>
      <c r="AC38" s="1900">
        <f t="shared" si="5"/>
        <v>1</v>
      </c>
    </row>
    <row r="39" spans="1:29" ht="15">
      <c r="A39" s="453"/>
      <c r="B39" s="402" t="s">
        <v>2456</v>
      </c>
      <c r="C39" s="2410" t="s">
        <v>2873</v>
      </c>
      <c r="D39" s="415">
        <v>100</v>
      </c>
      <c r="E39" s="2410" t="s">
        <v>2873</v>
      </c>
      <c r="F39" s="442">
        <f>SUMIF(116:116,E39,117:117)-SUMIF(116:116,C39,117:117)+100</f>
        <v>100</v>
      </c>
      <c r="G39" s="2410" t="s">
        <v>2873</v>
      </c>
      <c r="H39" s="415">
        <f>SUMIF(116:116,G39,117:117)-SUMIF(116:116,C39,117:117)+100</f>
        <v>100</v>
      </c>
      <c r="I39" s="2410" t="s">
        <v>2873</v>
      </c>
      <c r="J39" s="415">
        <f>SUMIF(116:116,I39,117:117)-SUMIF(116:116,C39,117:117)+100</f>
        <v>100</v>
      </c>
      <c r="K39" s="596">
        <v>4</v>
      </c>
      <c r="L39" s="1251"/>
      <c r="M39" s="1242"/>
      <c r="N39" s="1242"/>
      <c r="O39" s="1242"/>
      <c r="P39" s="2982"/>
      <c r="Q39" s="1896" t="str">
        <f t="shared" si="11"/>
        <v>层高</v>
      </c>
      <c r="R39" s="752" t="s">
        <v>25</v>
      </c>
      <c r="S39" s="753">
        <f t="shared" si="12"/>
        <v>100</v>
      </c>
      <c r="T39" s="752" t="s">
        <v>25</v>
      </c>
      <c r="U39" s="753">
        <f t="shared" si="13"/>
        <v>100</v>
      </c>
      <c r="V39" s="752" t="s">
        <v>25</v>
      </c>
      <c r="W39" s="753">
        <f t="shared" si="14"/>
        <v>100</v>
      </c>
      <c r="X39" s="1897"/>
      <c r="Y39" s="2984"/>
      <c r="Z39" s="1899" t="str">
        <f t="shared" si="15"/>
        <v>层高</v>
      </c>
      <c r="AA39" s="1900">
        <f t="shared" si="3"/>
        <v>1</v>
      </c>
      <c r="AB39" s="1900">
        <f t="shared" si="4"/>
        <v>1</v>
      </c>
      <c r="AC39" s="1900">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2"/>
      <c r="Q40" s="1896" t="str">
        <f t="shared" si="11"/>
        <v>单套建筑面积</v>
      </c>
      <c r="R40" s="752" t="s">
        <v>25</v>
      </c>
      <c r="S40" s="753">
        <f t="shared" si="12"/>
        <v>100</v>
      </c>
      <c r="T40" s="752" t="s">
        <v>25</v>
      </c>
      <c r="U40" s="753">
        <f t="shared" si="13"/>
        <v>100</v>
      </c>
      <c r="V40" s="752" t="s">
        <v>25</v>
      </c>
      <c r="W40" s="753">
        <f t="shared" si="14"/>
        <v>100</v>
      </c>
      <c r="X40" s="1897"/>
      <c r="Y40" s="2984"/>
      <c r="Z40" s="1899" t="str">
        <f t="shared" si="15"/>
        <v>单套建筑面积</v>
      </c>
      <c r="AA40" s="1900">
        <f t="shared" si="3"/>
        <v>1</v>
      </c>
      <c r="AB40" s="1900">
        <f t="shared" si="4"/>
        <v>1</v>
      </c>
      <c r="AC40" s="1900">
        <f t="shared" si="5"/>
        <v>1</v>
      </c>
    </row>
    <row r="41" spans="1:29" s="452" customFormat="1" ht="15">
      <c r="A41" s="449"/>
      <c r="B41" s="1901" t="s">
        <v>2458</v>
      </c>
      <c r="C41" s="600" t="s">
        <v>2875</v>
      </c>
      <c r="D41" s="415">
        <v>100</v>
      </c>
      <c r="E41" s="600" t="s">
        <v>2875</v>
      </c>
      <c r="F41" s="442">
        <f>SUMIF(120:120,E41,121:121)-SUMIF(120:120,C41,121:121)+100</f>
        <v>100</v>
      </c>
      <c r="G41" s="600" t="s">
        <v>2875</v>
      </c>
      <c r="H41" s="415">
        <f>SUMIF(120:120,G41,121:121)-SUMIF(120:120,C41,121:121)+100</f>
        <v>100</v>
      </c>
      <c r="I41" s="600" t="s">
        <v>2875</v>
      </c>
      <c r="J41" s="415">
        <f>SUMIF(120:120,I41,121:121)-SUMIF(120:120,C41,121:121)+100</f>
        <v>100</v>
      </c>
      <c r="K41" s="596">
        <v>2</v>
      </c>
      <c r="L41" s="1249"/>
      <c r="M41" s="1252"/>
      <c r="N41" s="1252"/>
      <c r="O41" s="1252"/>
      <c r="P41" s="2982"/>
      <c r="Q41" s="754" t="str">
        <f t="shared" si="11"/>
        <v>进深比</v>
      </c>
      <c r="R41" s="755" t="s">
        <v>25</v>
      </c>
      <c r="S41" s="756">
        <f t="shared" si="12"/>
        <v>100</v>
      </c>
      <c r="T41" s="755" t="s">
        <v>25</v>
      </c>
      <c r="U41" s="756">
        <f t="shared" si="13"/>
        <v>100</v>
      </c>
      <c r="V41" s="755" t="s">
        <v>25</v>
      </c>
      <c r="W41" s="756">
        <f t="shared" si="14"/>
        <v>100</v>
      </c>
      <c r="X41" s="757"/>
      <c r="Y41" s="2984"/>
      <c r="Z41" s="758" t="str">
        <f t="shared" si="15"/>
        <v>进深比</v>
      </c>
      <c r="AA41" s="1900">
        <f t="shared" si="3"/>
        <v>1</v>
      </c>
      <c r="AB41" s="1900">
        <f t="shared" si="4"/>
        <v>1</v>
      </c>
      <c r="AC41" s="1900">
        <f t="shared" si="5"/>
        <v>1</v>
      </c>
    </row>
    <row r="42" spans="1:29" ht="15">
      <c r="A42" s="453"/>
      <c r="B42" s="402" t="s">
        <v>2459</v>
      </c>
      <c r="C42" s="2410" t="s">
        <v>2862</v>
      </c>
      <c r="D42" s="415">
        <v>100</v>
      </c>
      <c r="E42" s="2410" t="s">
        <v>2863</v>
      </c>
      <c r="F42" s="442">
        <f>SUMIF(122:122,E42,123:123)-SUMIF(122:122,C42,123:123)+100</f>
        <v>97.5</v>
      </c>
      <c r="G42" s="2410" t="s">
        <v>2863</v>
      </c>
      <c r="H42" s="415">
        <f>SUMIF(122:122,G42,123:123)-SUMIF(122:122,C42,123:123)+100</f>
        <v>97.5</v>
      </c>
      <c r="I42" s="2410" t="s">
        <v>2863</v>
      </c>
      <c r="J42" s="415">
        <f>SUMIF(122:122,I42,123:123)-SUMIF(122:122,C42,123:123)+100</f>
        <v>97.5</v>
      </c>
      <c r="K42" s="596">
        <v>2.5</v>
      </c>
      <c r="L42" s="1251"/>
      <c r="M42" s="1242"/>
      <c r="N42" s="1242"/>
      <c r="O42" s="1242"/>
      <c r="P42" s="2982"/>
      <c r="Q42" s="1896" t="str">
        <f t="shared" si="11"/>
        <v>内部装修</v>
      </c>
      <c r="R42" s="752" t="s">
        <v>25</v>
      </c>
      <c r="S42" s="753">
        <f t="shared" si="12"/>
        <v>97.5</v>
      </c>
      <c r="T42" s="752" t="s">
        <v>25</v>
      </c>
      <c r="U42" s="753">
        <f t="shared" si="13"/>
        <v>97.5</v>
      </c>
      <c r="V42" s="752" t="s">
        <v>25</v>
      </c>
      <c r="W42" s="753">
        <f t="shared" si="14"/>
        <v>97.5</v>
      </c>
      <c r="X42" s="1897"/>
      <c r="Y42" s="2984"/>
      <c r="Z42" s="1899" t="str">
        <f t="shared" si="15"/>
        <v>内部装修</v>
      </c>
      <c r="AA42" s="1900">
        <f t="shared" si="3"/>
        <v>1.0256410256410255</v>
      </c>
      <c r="AB42" s="1900">
        <f t="shared" si="4"/>
        <v>1.0256410256410255</v>
      </c>
      <c r="AC42" s="1900">
        <f t="shared" si="5"/>
        <v>1.0256410256410255</v>
      </c>
    </row>
    <row r="43" spans="1:29" ht="15.75" thickBot="1">
      <c r="A43" s="453"/>
      <c r="B43" s="402" t="s">
        <v>2376</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596">
        <v>2</v>
      </c>
      <c r="L43" s="1251"/>
      <c r="M43" s="1242"/>
      <c r="N43" s="1242"/>
      <c r="O43" s="1242"/>
      <c r="P43" s="2982"/>
      <c r="Q43" s="1896" t="str">
        <f t="shared" si="11"/>
        <v>内部装修维护情况</v>
      </c>
      <c r="R43" s="752" t="s">
        <v>25</v>
      </c>
      <c r="S43" s="753">
        <f t="shared" si="12"/>
        <v>100</v>
      </c>
      <c r="T43" s="752" t="s">
        <v>25</v>
      </c>
      <c r="U43" s="753">
        <f t="shared" si="13"/>
        <v>100</v>
      </c>
      <c r="V43" s="752" t="s">
        <v>25</v>
      </c>
      <c r="W43" s="753">
        <f t="shared" si="14"/>
        <v>100</v>
      </c>
      <c r="X43" s="1897"/>
      <c r="Y43" s="2984"/>
      <c r="Z43" s="1899" t="str">
        <f t="shared" si="15"/>
        <v>内部装修维护情况</v>
      </c>
      <c r="AA43" s="1900">
        <f t="shared" si="3"/>
        <v>1</v>
      </c>
      <c r="AB43" s="1900">
        <f t="shared" si="4"/>
        <v>1</v>
      </c>
      <c r="AC43" s="1900">
        <f t="shared" si="5"/>
        <v>1</v>
      </c>
    </row>
    <row r="44" spans="1:29" s="35" customFormat="1" ht="15" hidden="1">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2"/>
      <c r="Q44" s="1884">
        <f t="shared" si="11"/>
        <v>111</v>
      </c>
      <c r="R44" s="748" t="s">
        <v>25</v>
      </c>
      <c r="S44" s="749">
        <f t="shared" si="12"/>
        <v>100</v>
      </c>
      <c r="T44" s="748" t="s">
        <v>25</v>
      </c>
      <c r="U44" s="749">
        <f t="shared" si="13"/>
        <v>100</v>
      </c>
      <c r="V44" s="748" t="s">
        <v>25</v>
      </c>
      <c r="W44" s="749">
        <f t="shared" si="14"/>
        <v>100</v>
      </c>
      <c r="X44" s="750"/>
      <c r="Y44" s="2984"/>
      <c r="Z44" s="23">
        <f t="shared" si="15"/>
        <v>111</v>
      </c>
      <c r="AA44" s="751">
        <f t="shared" si="3"/>
        <v>1</v>
      </c>
      <c r="AB44" s="751">
        <f t="shared" si="4"/>
        <v>1</v>
      </c>
      <c r="AC44" s="751">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2"/>
      <c r="Q45" s="1896">
        <f t="shared" si="11"/>
        <v>111</v>
      </c>
      <c r="R45" s="752" t="s">
        <v>25</v>
      </c>
      <c r="S45" s="753">
        <f t="shared" si="12"/>
        <v>100</v>
      </c>
      <c r="T45" s="752" t="s">
        <v>25</v>
      </c>
      <c r="U45" s="753">
        <f t="shared" si="13"/>
        <v>100</v>
      </c>
      <c r="V45" s="752" t="s">
        <v>25</v>
      </c>
      <c r="W45" s="753">
        <f t="shared" si="14"/>
        <v>100</v>
      </c>
      <c r="X45" s="1897"/>
      <c r="Y45" s="2984"/>
      <c r="Z45" s="1899">
        <f t="shared" si="15"/>
        <v>111</v>
      </c>
      <c r="AA45" s="1900">
        <f t="shared" si="3"/>
        <v>1</v>
      </c>
      <c r="AB45" s="1900">
        <f t="shared" si="4"/>
        <v>1</v>
      </c>
      <c r="AC45" s="1900">
        <f t="shared" si="5"/>
        <v>1</v>
      </c>
    </row>
    <row r="46" spans="1:29" ht="15.75" hidden="1"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3"/>
      <c r="Q46" s="1896">
        <f t="shared" si="11"/>
        <v>111</v>
      </c>
      <c r="R46" s="752" t="s">
        <v>25</v>
      </c>
      <c r="S46" s="753">
        <f t="shared" si="12"/>
        <v>100</v>
      </c>
      <c r="T46" s="752" t="s">
        <v>25</v>
      </c>
      <c r="U46" s="753">
        <f t="shared" si="13"/>
        <v>100</v>
      </c>
      <c r="V46" s="752" t="s">
        <v>25</v>
      </c>
      <c r="W46" s="753">
        <f t="shared" si="14"/>
        <v>100</v>
      </c>
      <c r="X46" s="1897"/>
      <c r="Y46" s="2985"/>
      <c r="Z46" s="1899">
        <f t="shared" si="15"/>
        <v>111</v>
      </c>
      <c r="AA46" s="1900">
        <f t="shared" si="3"/>
        <v>1</v>
      </c>
      <c r="AB46" s="1900">
        <f t="shared" si="4"/>
        <v>1</v>
      </c>
      <c r="AC46" s="1900">
        <f t="shared" si="5"/>
        <v>1</v>
      </c>
    </row>
    <row r="47" spans="1:29" ht="15">
      <c r="A47" s="460" t="s">
        <v>2377</v>
      </c>
      <c r="B47" s="461"/>
      <c r="C47" s="1499" t="s">
        <v>1</v>
      </c>
      <c r="D47" s="1500"/>
      <c r="E47" s="1501">
        <v>10000</v>
      </c>
      <c r="F47" s="1502"/>
      <c r="G47" s="1503">
        <v>10000</v>
      </c>
      <c r="H47" s="1504"/>
      <c r="I47" s="1501">
        <v>8889</v>
      </c>
      <c r="J47" s="1504"/>
      <c r="K47" s="761"/>
      <c r="L47" s="1254"/>
      <c r="M47" s="1255"/>
      <c r="N47" s="1242"/>
      <c r="O47" s="1255"/>
      <c r="P47" s="2976" t="str">
        <f>A47</f>
        <v>成交单价（元/平方米）</v>
      </c>
      <c r="Q47" s="2976"/>
      <c r="R47" s="2977">
        <f>E47</f>
        <v>10000</v>
      </c>
      <c r="S47" s="2977"/>
      <c r="T47" s="2977">
        <f>G47</f>
        <v>10000</v>
      </c>
      <c r="U47" s="2977"/>
      <c r="V47" s="2977">
        <f>I47</f>
        <v>8889</v>
      </c>
      <c r="W47" s="2977"/>
      <c r="X47" s="737"/>
      <c r="Y47" s="759"/>
      <c r="Z47" s="737"/>
      <c r="AA47" s="737"/>
      <c r="AB47" s="737"/>
      <c r="AC47" s="737"/>
    </row>
    <row r="48" spans="1:29" ht="15.75" thickBot="1">
      <c r="A48" s="467" t="s">
        <v>2460</v>
      </c>
      <c r="B48" s="468"/>
      <c r="C48" s="1505">
        <f>R49</f>
        <v>11909</v>
      </c>
      <c r="D48" s="1506"/>
      <c r="E48" s="1507">
        <f>R48</f>
        <v>12367</v>
      </c>
      <c r="F48" s="1507"/>
      <c r="G48" s="1505">
        <f>T48</f>
        <v>12367</v>
      </c>
      <c r="H48" s="1506"/>
      <c r="I48" s="1507">
        <f>V48</f>
        <v>10993</v>
      </c>
      <c r="J48" s="1506"/>
      <c r="K48" s="762"/>
      <c r="L48" s="1254"/>
      <c r="M48" s="1255"/>
      <c r="N48" s="1242"/>
      <c r="O48" s="1255"/>
      <c r="P48" s="2976" t="str">
        <f>A48</f>
        <v>比较价值（元/平方米）</v>
      </c>
      <c r="Q48" s="2976"/>
      <c r="R48" s="2977">
        <f>IF(E1="售价",ROUND(PRODUCT(R47,AA7:AA46),0),ROUND(PRODUCT(R47,AA7:AA46),1))</f>
        <v>12367</v>
      </c>
      <c r="S48" s="2977"/>
      <c r="T48" s="2977">
        <f>IF(E1="售价",ROUND(PRODUCT(T47,AB7:AB46),0),ROUND(PRODUCT(T47,AB7:AB46),1))</f>
        <v>12367</v>
      </c>
      <c r="U48" s="2977"/>
      <c r="V48" s="2977">
        <f>IF(E1="售价",ROUND(PRODUCT(V47,AC7:AC46),0),ROUND(PRODUCT(V47,AC7:AC46),1))</f>
        <v>10993</v>
      </c>
      <c r="W48" s="2977"/>
      <c r="X48" s="737"/>
      <c r="Y48" s="737"/>
      <c r="Z48" s="737"/>
      <c r="AA48" s="737"/>
      <c r="AB48" s="737"/>
      <c r="AC48" s="737"/>
    </row>
    <row r="49" spans="1:29" ht="15.75" thickBot="1">
      <c r="A49" s="473" t="s">
        <v>2461</v>
      </c>
      <c r="B49" s="474"/>
      <c r="C49" s="1509">
        <f>R49</f>
        <v>11909</v>
      </c>
      <c r="D49" s="1509"/>
      <c r="E49" s="1509"/>
      <c r="F49" s="1509"/>
      <c r="G49" s="1509"/>
      <c r="H49" s="1509"/>
      <c r="I49" s="1509"/>
      <c r="J49" s="1509"/>
      <c r="K49" s="763"/>
      <c r="L49" s="1254"/>
      <c r="M49" s="1255"/>
      <c r="N49" s="1242"/>
      <c r="O49" s="1255"/>
      <c r="P49" s="2978" t="str">
        <f>A49</f>
        <v>估价对象XX用房的比较价值（楼面单价，元/平方米）</v>
      </c>
      <c r="Q49" s="2979"/>
      <c r="R49" s="2980">
        <f>IF(E1="售价",ROUND(AVERAGE(R48:V48),0),ROUND(AVERAGE(R48:V48),1))</f>
        <v>11909</v>
      </c>
      <c r="S49" s="2980"/>
      <c r="T49" s="2980"/>
      <c r="U49" s="2980"/>
      <c r="V49" s="2980"/>
      <c r="W49" s="2980"/>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f>IF(E47&lt;E48,E48/E47-1,E47/E48-1)</f>
        <v>0.23669999999999991</v>
      </c>
      <c r="F52" s="481" t="str">
        <f>IF(OR(E52&gt;=0.3,E52&lt;=-0.3),"超过30%","")</f>
        <v/>
      </c>
      <c r="G52" s="480">
        <f>IF(G47&lt;G48,G48/G47-1,G47/G48-1)</f>
        <v>0.23669999999999991</v>
      </c>
      <c r="H52" s="481" t="str">
        <f>IF(OR(G52&gt;=0.3,G52&lt;=-0.3),"超过30%","")</f>
        <v/>
      </c>
      <c r="I52" s="480">
        <f>IF(I47&lt;I48,I48/I47-1,I47/I48-1)</f>
        <v>0.23669704128698399</v>
      </c>
      <c r="J52" s="481" t="str">
        <f>IF(OR(I52&gt;=0.3,I52&lt;=-0.3),"超过30%","")</f>
        <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f>IF(E48&lt;G48,G48/E48-1,E48/G48-1)</f>
        <v>0</v>
      </c>
      <c r="F53" s="481" t="str">
        <f>IF(OR(E53&gt;=0.2,E53&lt;=-0.2),"超过20%","")</f>
        <v/>
      </c>
      <c r="G53" s="480">
        <f>IF(G48&lt;I48,I48/G48-1,G48/I48-1)</f>
        <v>0.12498862912762676</v>
      </c>
      <c r="H53" s="481" t="str">
        <f>IF(OR(G53&gt;=0.2,G53&lt;=-0.2),"超过20%","")</f>
        <v/>
      </c>
      <c r="I53" s="480">
        <f>IF(I48&lt;E48,E48/I48-1,I48/E48-1)</f>
        <v>0.12498862912762676</v>
      </c>
      <c r="J53" s="481" t="str">
        <f>IF(OR(I53&gt;=0.2,I53&lt;=-0.2),"超过20%","")</f>
        <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f>IF(E47&lt;G47,G47/E47-1,E47/G47-1)</f>
        <v>0</v>
      </c>
      <c r="F54" s="481" t="str">
        <f>IF(OR(E54&gt;=0.3,E54&lt;=-0.3),"超过30%","")</f>
        <v/>
      </c>
      <c r="G54" s="480">
        <f>IF(G47&lt;I47,I47/G47-1,G47/I47-1)</f>
        <v>0.12498593767577915</v>
      </c>
      <c r="H54" s="481" t="str">
        <f>IF(OR(G54&gt;=0.3,G54&lt;=-0.3),"超过30%","")</f>
        <v/>
      </c>
      <c r="I54" s="480">
        <f>IF(I47&lt;E47,E47/I47-1,I47/E47-1)</f>
        <v>0.12498593767577915</v>
      </c>
      <c r="J54" s="481" t="str">
        <f>IF(OR(I54&gt;=0.3,I54&lt;=-0.3),"超过30%","")</f>
        <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v>0.9</v>
      </c>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1" t="s">
        <v>2465</v>
      </c>
      <c r="B57" s="737"/>
      <c r="C57" s="742"/>
      <c r="D57" s="742"/>
      <c r="E57" s="742"/>
      <c r="F57" s="743"/>
      <c r="G57" s="743"/>
      <c r="H57" s="742"/>
      <c r="I57" s="742"/>
      <c r="J57" s="742"/>
      <c r="K57" s="744"/>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2347</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2349</v>
      </c>
      <c r="B61" s="491"/>
      <c r="C61" s="503" t="s">
        <v>2350</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2388</v>
      </c>
      <c r="B63" s="509" t="s">
        <v>2353</v>
      </c>
      <c r="C63" s="510" t="str">
        <f>C9</f>
        <v>商业</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5"/>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6"/>
      <c r="O66" s="1266"/>
      <c r="P66" s="2425"/>
      <c r="Q66" s="485"/>
    </row>
    <row r="67" spans="1:17" ht="15.75" thickTop="1">
      <c r="A67" s="516"/>
      <c r="B67" s="529" t="s">
        <v>2357</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9"/>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5"/>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5"/>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6"/>
      <c r="O81" s="1266"/>
      <c r="P81" s="2425"/>
      <c r="Q81" s="485"/>
    </row>
    <row r="82" spans="1:17" ht="15.75" thickTop="1">
      <c r="A82" s="516"/>
      <c r="B82" s="529" t="s">
        <v>2446</v>
      </c>
      <c r="C82" s="522" t="s">
        <v>2404</v>
      </c>
      <c r="D82" s="522" t="s">
        <v>2405</v>
      </c>
      <c r="E82" s="522" t="s">
        <v>2406</v>
      </c>
      <c r="F82" s="522" t="s">
        <v>2407</v>
      </c>
      <c r="G82" s="522" t="s">
        <v>2408</v>
      </c>
      <c r="H82" s="522"/>
      <c r="I82" s="522"/>
      <c r="J82" s="522"/>
      <c r="K82" s="522"/>
      <c r="L82" s="522"/>
      <c r="M82" s="1464"/>
      <c r="N82" s="1266"/>
      <c r="O82" s="1266"/>
      <c r="P82" s="2425"/>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6"/>
      <c r="O83" s="1266"/>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5"/>
      <c r="Q85" s="485"/>
    </row>
    <row r="86" spans="1:17" s="35" customFormat="1" ht="15.75" thickTop="1">
      <c r="A86" s="563"/>
      <c r="B86" s="521" t="s">
        <v>2466</v>
      </c>
      <c r="C86" s="2736" t="s">
        <v>2843</v>
      </c>
      <c r="D86" s="2736" t="s">
        <v>2844</v>
      </c>
      <c r="E86" s="2736" t="s">
        <v>2846</v>
      </c>
      <c r="F86" s="2736" t="s">
        <v>2847</v>
      </c>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6"/>
      <c r="O87" s="1266"/>
      <c r="P87" s="2425"/>
      <c r="Q87" s="485"/>
    </row>
    <row r="88" spans="1:17" s="35" customFormat="1" ht="15.75" thickTop="1">
      <c r="A88" s="563"/>
      <c r="B88" s="521" t="str">
        <f>B26</f>
        <v>平面位置/可视性</v>
      </c>
      <c r="C88" s="2737" t="s">
        <v>29</v>
      </c>
      <c r="D88" s="2737" t="s">
        <v>30</v>
      </c>
      <c r="E88" s="2737" t="s">
        <v>31</v>
      </c>
      <c r="F88" s="2738" t="s">
        <v>32</v>
      </c>
      <c r="G88" s="2737" t="s">
        <v>35</v>
      </c>
      <c r="H88" s="537"/>
      <c r="I88" s="537"/>
      <c r="J88" s="537"/>
      <c r="K88" s="537"/>
      <c r="L88" s="537"/>
      <c r="M88" s="565"/>
      <c r="N88" s="1264"/>
      <c r="O88" s="1264"/>
      <c r="P88" s="2425"/>
      <c r="Q88" s="485"/>
    </row>
    <row r="89" spans="1:17" s="35" customFormat="1" ht="15.75" thickBot="1">
      <c r="A89" s="563"/>
      <c r="B89" s="526"/>
      <c r="C89" s="544">
        <v>100</v>
      </c>
      <c r="D89" s="518">
        <v>95</v>
      </c>
      <c r="E89" s="518">
        <v>90</v>
      </c>
      <c r="F89" s="518">
        <v>85</v>
      </c>
      <c r="G89" s="518">
        <v>80</v>
      </c>
      <c r="H89" s="518"/>
      <c r="I89" s="518"/>
      <c r="J89" s="518"/>
      <c r="K89" s="518"/>
      <c r="L89" s="518"/>
      <c r="M89" s="518"/>
      <c r="N89" s="1266"/>
      <c r="O89" s="1266"/>
      <c r="P89" s="2425"/>
      <c r="Q89" s="485"/>
    </row>
    <row r="90" spans="1:17" s="452" customFormat="1" ht="15.75" thickTop="1">
      <c r="A90" s="536"/>
      <c r="B90" s="521" t="str">
        <f>B27</f>
        <v>人流量</v>
      </c>
      <c r="C90" s="2737" t="s">
        <v>2848</v>
      </c>
      <c r="D90" s="2737" t="s">
        <v>2849</v>
      </c>
      <c r="E90" s="2737" t="s">
        <v>31</v>
      </c>
      <c r="F90" s="2737" t="s">
        <v>2850</v>
      </c>
      <c r="G90" s="2737" t="s">
        <v>2851</v>
      </c>
      <c r="H90" s="538"/>
      <c r="I90" s="538"/>
      <c r="J90" s="538"/>
      <c r="K90" s="538"/>
      <c r="L90" s="539"/>
      <c r="M90" s="540"/>
      <c r="N90" s="1267"/>
      <c r="O90" s="1267"/>
      <c r="P90" s="2426"/>
      <c r="Q90" s="543"/>
    </row>
    <row r="91" spans="1:17" s="452" customFormat="1" ht="15.75" thickBot="1">
      <c r="A91" s="536"/>
      <c r="B91" s="526"/>
      <c r="C91" s="566">
        <v>100</v>
      </c>
      <c r="D91" s="527">
        <f>C91-$K27</f>
        <v>95</v>
      </c>
      <c r="E91" s="527">
        <f t="shared" ref="E91:M91" si="20">D91-$K27</f>
        <v>90</v>
      </c>
      <c r="F91" s="527">
        <f t="shared" si="20"/>
        <v>85</v>
      </c>
      <c r="G91" s="527">
        <f t="shared" si="20"/>
        <v>80</v>
      </c>
      <c r="H91" s="527">
        <f t="shared" si="20"/>
        <v>75</v>
      </c>
      <c r="I91" s="527">
        <f t="shared" si="20"/>
        <v>70</v>
      </c>
      <c r="J91" s="527">
        <f t="shared" si="20"/>
        <v>65</v>
      </c>
      <c r="K91" s="527">
        <f t="shared" si="20"/>
        <v>60</v>
      </c>
      <c r="L91" s="527">
        <f t="shared" si="20"/>
        <v>55</v>
      </c>
      <c r="M91" s="527">
        <f t="shared" si="20"/>
        <v>50</v>
      </c>
      <c r="N91" s="1267"/>
      <c r="O91" s="1267"/>
      <c r="P91" s="2426"/>
      <c r="Q91" s="543"/>
    </row>
    <row r="92" spans="1:17" ht="15.75" thickTop="1">
      <c r="A92" s="516"/>
      <c r="B92" s="521" t="str">
        <f>B28</f>
        <v>楼层</v>
      </c>
      <c r="C92" s="2737" t="s">
        <v>2852</v>
      </c>
      <c r="D92" s="2737" t="s">
        <v>2853</v>
      </c>
      <c r="E92" s="2737" t="s">
        <v>2854</v>
      </c>
      <c r="F92" s="2737" t="s">
        <v>2855</v>
      </c>
      <c r="G92" s="537" t="s">
        <v>2856</v>
      </c>
      <c r="H92" s="537"/>
      <c r="I92" s="537"/>
      <c r="J92" s="537"/>
      <c r="K92" s="537"/>
      <c r="L92" s="564"/>
      <c r="M92" s="565"/>
      <c r="N92" s="1265"/>
      <c r="O92" s="1265"/>
      <c r="P92" s="2425"/>
      <c r="Q92" s="485"/>
    </row>
    <row r="93" spans="1:17" ht="15.75" thickBot="1">
      <c r="A93" s="516"/>
      <c r="B93" s="526"/>
      <c r="C93" s="518">
        <v>100</v>
      </c>
      <c r="D93" s="518">
        <v>70</v>
      </c>
      <c r="E93" s="518">
        <v>60</v>
      </c>
      <c r="F93" s="518">
        <v>80</v>
      </c>
      <c r="G93" s="518"/>
      <c r="H93" s="518"/>
      <c r="I93" s="518"/>
      <c r="J93" s="518"/>
      <c r="K93" s="518"/>
      <c r="L93" s="518"/>
      <c r="M93" s="519"/>
      <c r="N93" s="1266"/>
      <c r="O93" s="1266"/>
      <c r="P93" s="2425"/>
      <c r="Q93" s="485"/>
    </row>
    <row r="94" spans="1:17" ht="15.75" thickTop="1">
      <c r="A94" s="516"/>
      <c r="B94" s="521">
        <f>B29</f>
        <v>0</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0</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0</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2363</v>
      </c>
      <c r="B100" s="509" t="s">
        <v>2467</v>
      </c>
      <c r="C100" s="2739" t="s">
        <v>2857</v>
      </c>
      <c r="D100" s="2739" t="s">
        <v>2858</v>
      </c>
      <c r="E100" s="2739" t="s">
        <v>2859</v>
      </c>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5"/>
      <c r="Q101" s="485"/>
    </row>
    <row r="102" spans="1:17" ht="15.75" thickTop="1">
      <c r="A102" s="516"/>
      <c r="B102" s="521" t="s">
        <v>2413</v>
      </c>
      <c r="C102" s="562" t="str">
        <f>C103&amp;"(含)"&amp;"-"&amp;D103</f>
        <v>0(含)-300</v>
      </c>
      <c r="D102" s="562" t="str">
        <f t="shared" ref="D102:L102" si="22">D103&amp;"(含)"&amp;"-"&amp;E103</f>
        <v>300(含)-600</v>
      </c>
      <c r="E102" s="562" t="str">
        <f t="shared" si="22"/>
        <v>600(含)-900</v>
      </c>
      <c r="F102" s="562" t="str">
        <f t="shared" si="22"/>
        <v>900(含)-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v>0</v>
      </c>
      <c r="D103" s="579">
        <v>300</v>
      </c>
      <c r="E103" s="579">
        <v>600</v>
      </c>
      <c r="F103" s="579">
        <v>900</v>
      </c>
      <c r="G103" s="579"/>
      <c r="H103" s="579"/>
      <c r="I103" s="579"/>
      <c r="J103" s="580"/>
      <c r="K103" s="580"/>
      <c r="L103" s="581"/>
      <c r="M103" s="582"/>
      <c r="N103" s="1267"/>
      <c r="O103" s="1267"/>
      <c r="P103" s="2426"/>
      <c r="Q103" s="543"/>
    </row>
    <row r="104" spans="1:17" s="452" customFormat="1" ht="15.75" thickBot="1">
      <c r="A104" s="536"/>
      <c r="B104" s="526"/>
      <c r="C104" s="544">
        <v>97</v>
      </c>
      <c r="D104" s="518">
        <v>100</v>
      </c>
      <c r="E104" s="518">
        <f>C104</f>
        <v>97</v>
      </c>
      <c r="F104" s="518">
        <f>E104-3</f>
        <v>94</v>
      </c>
      <c r="G104" s="518"/>
      <c r="H104" s="518"/>
      <c r="I104" s="518"/>
      <c r="J104" s="518"/>
      <c r="K104" s="518"/>
      <c r="L104" s="518"/>
      <c r="M104" s="519"/>
      <c r="N104" s="1266"/>
      <c r="O104" s="1266"/>
      <c r="P104" s="2426"/>
      <c r="Q104" s="543"/>
    </row>
    <row r="105" spans="1:17" ht="15" thickTop="1">
      <c r="A105" s="583"/>
      <c r="B105" s="521" t="s">
        <v>2414</v>
      </c>
      <c r="C105" s="2737" t="s">
        <v>2860</v>
      </c>
      <c r="D105" s="2737" t="s">
        <v>2828</v>
      </c>
      <c r="E105" s="2740" t="s">
        <v>2861</v>
      </c>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5"/>
      <c r="Q106" s="485"/>
    </row>
    <row r="107" spans="1:17" ht="15" thickTop="1">
      <c r="A107" s="583"/>
      <c r="B107" s="521" t="s">
        <v>2416</v>
      </c>
      <c r="C107" s="2737" t="s">
        <v>2862</v>
      </c>
      <c r="D107" s="2737" t="s">
        <v>2863</v>
      </c>
      <c r="E107" s="2737" t="s">
        <v>2864</v>
      </c>
      <c r="F107" s="2740" t="s">
        <v>2865</v>
      </c>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5"/>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6"/>
      <c r="O111" s="1266"/>
      <c r="P111" s="2425"/>
      <c r="Q111" s="485"/>
    </row>
    <row r="112" spans="1:17" s="452" customFormat="1" ht="15" thickTop="1">
      <c r="A112" s="577"/>
      <c r="B112" s="521" t="s">
        <v>2419</v>
      </c>
      <c r="C112" s="2737" t="s">
        <v>2842</v>
      </c>
      <c r="D112" s="2737" t="s">
        <v>2866</v>
      </c>
      <c r="E112" s="2737" t="s">
        <v>2867</v>
      </c>
      <c r="F112" s="2737" t="s">
        <v>2868</v>
      </c>
      <c r="G112" s="2737" t="s">
        <v>2869</v>
      </c>
      <c r="H112" s="567"/>
      <c r="I112" s="567"/>
      <c r="J112" s="567"/>
      <c r="K112" s="568"/>
      <c r="L112" s="569"/>
      <c r="M112" s="570"/>
      <c r="N112" s="1267"/>
      <c r="O112" s="1267"/>
      <c r="P112" s="2426"/>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6"/>
      <c r="Q113" s="543"/>
    </row>
    <row r="114" spans="1:17" ht="15" thickTop="1">
      <c r="A114" s="583"/>
      <c r="B114" s="521" t="s">
        <v>2468</v>
      </c>
      <c r="C114" s="2737" t="s">
        <v>2870</v>
      </c>
      <c r="D114" s="2737" t="s">
        <v>2871</v>
      </c>
      <c r="E114" s="2740"/>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8">
        <f t="shared" si="27"/>
        <v>80</v>
      </c>
      <c r="N115" s="1266"/>
      <c r="O115" s="1266"/>
      <c r="P115" s="2425"/>
      <c r="Q115" s="485"/>
    </row>
    <row r="116" spans="1:17" ht="15" thickTop="1">
      <c r="A116" s="583"/>
      <c r="B116" s="521" t="s">
        <v>2469</v>
      </c>
      <c r="C116" s="2737" t="s">
        <v>2872</v>
      </c>
      <c r="D116" s="2737" t="s">
        <v>2873</v>
      </c>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96</v>
      </c>
      <c r="E117" s="527">
        <f>D117-$K39</f>
        <v>92</v>
      </c>
      <c r="F117" s="527">
        <f>E117-$K39</f>
        <v>88</v>
      </c>
      <c r="G117" s="527">
        <f>F117-$K39</f>
        <v>84</v>
      </c>
      <c r="H117" s="527"/>
      <c r="I117" s="527"/>
      <c r="J117" s="527"/>
      <c r="K117" s="527"/>
      <c r="L117" s="527"/>
      <c r="M117" s="528"/>
      <c r="N117" s="1266"/>
      <c r="O117" s="1266"/>
      <c r="P117" s="2425"/>
      <c r="Q117" s="485"/>
    </row>
    <row r="118" spans="1:17" ht="15" thickTop="1">
      <c r="A118" s="583"/>
      <c r="B118" s="521" t="s">
        <v>2470</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2471</v>
      </c>
      <c r="C120" s="2740" t="s">
        <v>2874</v>
      </c>
      <c r="D120" s="2740" t="s">
        <v>2875</v>
      </c>
      <c r="E120" s="2740" t="s">
        <v>2876</v>
      </c>
      <c r="F120" s="2743" t="s">
        <v>2879</v>
      </c>
      <c r="G120" s="538"/>
      <c r="H120" s="538"/>
      <c r="I120" s="538"/>
      <c r="J120" s="538"/>
      <c r="K120" s="538"/>
      <c r="L120" s="539"/>
      <c r="M120" s="540"/>
      <c r="N120" s="1267"/>
      <c r="O120" s="1267"/>
      <c r="P120" s="2426"/>
      <c r="Q120" s="543"/>
    </row>
    <row r="121" spans="1:17" s="452" customFormat="1" ht="15.75" thickBot="1">
      <c r="A121" s="536"/>
      <c r="B121" s="517"/>
      <c r="C121" s="566">
        <v>100</v>
      </c>
      <c r="D121" s="527">
        <f>C121-$K41</f>
        <v>98</v>
      </c>
      <c r="E121" s="527">
        <f t="shared" ref="E121:M121" si="28">D121-$K41</f>
        <v>96</v>
      </c>
      <c r="F121" s="527">
        <f t="shared" si="28"/>
        <v>94</v>
      </c>
      <c r="G121" s="527">
        <f t="shared" si="28"/>
        <v>92</v>
      </c>
      <c r="H121" s="527">
        <f t="shared" si="28"/>
        <v>90</v>
      </c>
      <c r="I121" s="527">
        <f t="shared" si="28"/>
        <v>88</v>
      </c>
      <c r="J121" s="527">
        <f t="shared" si="28"/>
        <v>86</v>
      </c>
      <c r="K121" s="527">
        <f t="shared" si="28"/>
        <v>84</v>
      </c>
      <c r="L121" s="527">
        <f t="shared" si="28"/>
        <v>82</v>
      </c>
      <c r="M121" s="528">
        <f t="shared" si="28"/>
        <v>80</v>
      </c>
      <c r="N121" s="1267"/>
      <c r="O121" s="1267"/>
      <c r="P121" s="2426"/>
      <c r="Q121" s="543"/>
    </row>
    <row r="122" spans="1:17" ht="15" thickTop="1">
      <c r="A122" s="583"/>
      <c r="B122" s="521" t="s">
        <v>2421</v>
      </c>
      <c r="C122" s="2737" t="s">
        <v>2862</v>
      </c>
      <c r="D122" s="2737" t="s">
        <v>2863</v>
      </c>
      <c r="E122" s="2737" t="s">
        <v>2864</v>
      </c>
      <c r="F122" s="2740" t="s">
        <v>2865</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97.5</v>
      </c>
      <c r="E123" s="527">
        <f t="shared" si="29"/>
        <v>95</v>
      </c>
      <c r="F123" s="527">
        <f t="shared" si="29"/>
        <v>92.5</v>
      </c>
      <c r="G123" s="527">
        <f t="shared" si="29"/>
        <v>90</v>
      </c>
      <c r="H123" s="527">
        <f t="shared" si="29"/>
        <v>87.5</v>
      </c>
      <c r="I123" s="527">
        <f t="shared" si="29"/>
        <v>85</v>
      </c>
      <c r="J123" s="527">
        <f t="shared" si="29"/>
        <v>82.5</v>
      </c>
      <c r="K123" s="527">
        <f t="shared" si="29"/>
        <v>80</v>
      </c>
      <c r="L123" s="527">
        <f t="shared" si="29"/>
        <v>77.5</v>
      </c>
      <c r="M123" s="528">
        <f t="shared" si="29"/>
        <v>75</v>
      </c>
      <c r="N123" s="1266"/>
      <c r="O123" s="1266"/>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948</v>
      </c>
      <c r="B8" s="1184" t="s">
        <v>947</v>
      </c>
      <c r="C8" s="1041"/>
    </row>
    <row r="9" spans="1:7">
      <c r="A9" s="1182"/>
      <c r="B9" s="1904"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5">
        <f>项目基本情况!B4</f>
        <v>0</v>
      </c>
      <c r="C12" s="1041"/>
    </row>
    <row r="13" spans="1:7">
      <c r="A13" s="1182"/>
      <c r="B13" s="1075"/>
      <c r="C13" s="1041"/>
    </row>
    <row r="14" spans="1:7">
      <c r="A14" s="1185" t="s">
        <v>948</v>
      </c>
      <c r="B14" s="1184" t="s">
        <v>950</v>
      </c>
      <c r="C14" s="1041"/>
    </row>
    <row r="15" spans="1:7">
      <c r="A15" s="1182"/>
      <c r="B15" s="1905" t="s">
        <v>779</v>
      </c>
      <c r="C15" s="1041"/>
    </row>
    <row r="16" spans="1:7">
      <c r="A16" s="1182"/>
      <c r="B16" s="1075"/>
      <c r="C16" s="1041"/>
    </row>
    <row r="17" spans="1:5">
      <c r="A17" s="1185" t="s">
        <v>948</v>
      </c>
      <c r="B17" s="1184" t="s">
        <v>951</v>
      </c>
      <c r="C17" s="1041"/>
    </row>
    <row r="18" spans="1:5" s="1045" customFormat="1">
      <c r="A18" s="1183"/>
      <c r="B18" s="1905" t="str">
        <f ca="1">CONCATENATE(项目基本情况!B3,"（注册号:",项目基本情况!C3,"）、",项目基本情况!D3,"（注册号:",项目基本情况!E3,")")</f>
        <v>欧红伟（注册号:1120000080）、崔锴（注册号:1120100036)</v>
      </c>
      <c r="C18" s="1044"/>
      <c r="E18" s="1044"/>
    </row>
    <row r="19" spans="1:5">
      <c r="A19" s="1182"/>
      <c r="B19" s="1075"/>
      <c r="C19" s="1041"/>
    </row>
    <row r="20" spans="1:5">
      <c r="A20" s="1185" t="s">
        <v>948</v>
      </c>
      <c r="B20" s="1184" t="s">
        <v>952</v>
      </c>
      <c r="C20" s="1041"/>
    </row>
    <row r="21" spans="1:5">
      <c r="A21" s="1182"/>
      <c r="B21" s="1905" t="str">
        <f>"康正预评字"&amp;项目基本情况!G1&amp;"号"</f>
        <v>康正预评字号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705" t="s">
        <v>2836</v>
      </c>
      <c r="E1" s="2706" t="s">
        <v>1253</v>
      </c>
      <c r="F1" s="2707"/>
      <c r="G1" s="2708" t="e">
        <f>MATCH(C1,'数据-取费表'!A18:A18,0)+5</f>
        <v>#N/A</v>
      </c>
      <c r="H1" s="730"/>
      <c r="I1" s="1210"/>
      <c r="J1" s="1210"/>
      <c r="K1" s="1211"/>
      <c r="L1" s="1210"/>
      <c r="M1" s="1210"/>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2020214</v>
      </c>
      <c r="C2" s="2334" t="str">
        <f>'数据-取费表'!B3</f>
        <v>元</v>
      </c>
      <c r="D2" s="1212"/>
      <c r="E2" s="1213"/>
      <c r="F2" s="1213"/>
      <c r="G2" s="1238"/>
      <c r="H2" s="728"/>
      <c r="I2" s="1214"/>
      <c r="J2" s="1214"/>
      <c r="K2" s="1215"/>
      <c r="L2" s="1214"/>
      <c r="M2" s="1214"/>
    </row>
    <row r="3" spans="1:37" ht="18" customHeight="1" thickBot="1">
      <c r="A3" s="310" t="s">
        <v>2001</v>
      </c>
      <c r="B3" s="765">
        <f ca="1">ROUND(IF('数据-取费表'!B28="租赁期内按合同租金",(C40+L47+J29)/F43,(C40+L47)/F43),0)</f>
        <v>4486</v>
      </c>
      <c r="C3" s="2334" t="s">
        <v>2091</v>
      </c>
      <c r="D3" s="1212"/>
      <c r="E3" s="1213"/>
      <c r="F3" s="1213"/>
      <c r="G3" s="1238"/>
      <c r="H3" s="311" t="s">
        <v>2092</v>
      </c>
      <c r="I3" s="1214"/>
      <c r="J3" s="1214"/>
      <c r="K3" s="1215"/>
      <c r="L3" s="1214"/>
      <c r="M3" s="1214"/>
    </row>
    <row r="4" spans="1:37" ht="18" customHeight="1">
      <c r="A4" s="312" t="s">
        <v>2093</v>
      </c>
      <c r="B4" s="313" t="s">
        <v>2094</v>
      </c>
      <c r="C4" s="313" t="s">
        <v>2095</v>
      </c>
      <c r="D4" s="313" t="s">
        <v>2096</v>
      </c>
      <c r="E4" s="314" t="s">
        <v>2097</v>
      </c>
      <c r="F4" s="315"/>
      <c r="G4" s="1236"/>
      <c r="H4" s="312" t="s">
        <v>2093</v>
      </c>
      <c r="I4" s="313" t="s">
        <v>2094</v>
      </c>
      <c r="J4" s="313" t="s">
        <v>2095</v>
      </c>
      <c r="K4" s="313" t="s">
        <v>2096</v>
      </c>
      <c r="L4" s="314" t="s">
        <v>2097</v>
      </c>
      <c r="M4" s="315"/>
    </row>
    <row r="5" spans="1:37" ht="18" customHeight="1">
      <c r="A5" s="316">
        <v>1</v>
      </c>
      <c r="B5" s="317" t="s">
        <v>2098</v>
      </c>
      <c r="C5" s="318">
        <f ca="1">C6+C10+C12</f>
        <v>162948</v>
      </c>
      <c r="D5" s="2335" t="s">
        <v>2099</v>
      </c>
      <c r="E5" s="1212"/>
      <c r="F5" s="1380"/>
      <c r="G5" s="1236"/>
      <c r="H5" s="316">
        <v>1</v>
      </c>
      <c r="I5" s="317" t="s">
        <v>2098</v>
      </c>
      <c r="J5" s="318">
        <f ca="1">J6+J10+J12</f>
        <v>0</v>
      </c>
      <c r="K5" s="2335" t="s">
        <v>2099</v>
      </c>
      <c r="L5" s="1212"/>
      <c r="M5" s="1380"/>
    </row>
    <row r="6" spans="1:37" ht="18" customHeight="1">
      <c r="A6" s="1381" t="s">
        <v>2100</v>
      </c>
      <c r="B6" s="2021" t="s">
        <v>2101</v>
      </c>
      <c r="C6" s="318">
        <f>ROUND(F6*F8*F7*(1-F9),0)</f>
        <v>162745</v>
      </c>
      <c r="D6" s="80" t="s">
        <v>2798</v>
      </c>
      <c r="E6" s="319" t="s">
        <v>2102</v>
      </c>
      <c r="F6" s="320">
        <f>'数据-取费表'!B29</f>
        <v>1.1000000000000001</v>
      </c>
      <c r="G6" s="1236"/>
      <c r="H6" s="1381" t="s">
        <v>2100</v>
      </c>
      <c r="I6" s="2021" t="s">
        <v>2101</v>
      </c>
      <c r="J6" s="318">
        <f>ROUND(M6*M8*M7*(1-M9),0)</f>
        <v>0</v>
      </c>
      <c r="K6" s="80" t="s">
        <v>2798</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450.38</v>
      </c>
      <c r="G7" s="1236"/>
      <c r="H7" s="321"/>
      <c r="I7" s="322"/>
      <c r="J7" s="323"/>
      <c r="K7" s="324"/>
      <c r="L7" s="319" t="s">
        <v>2103</v>
      </c>
      <c r="M7" s="320">
        <f>IF('数据-取费表'!B41="",IF(D1="仅计算典型户型",'数据-取费表'!E5,'数据-取费表'!B5),'数据-取费表'!B41)</f>
        <v>450.38</v>
      </c>
    </row>
    <row r="8" spans="1:37" ht="18" customHeight="1">
      <c r="A8" s="1444"/>
      <c r="B8" s="322"/>
      <c r="C8" s="323"/>
      <c r="D8" s="324"/>
      <c r="E8" s="319" t="s">
        <v>2104</v>
      </c>
      <c r="F8" s="320">
        <f>'数据-取费表'!B42</f>
        <v>365</v>
      </c>
      <c r="G8" s="1236"/>
      <c r="H8" s="321"/>
      <c r="I8" s="322"/>
      <c r="J8" s="323"/>
      <c r="K8" s="324"/>
      <c r="L8" s="319" t="s">
        <v>2105</v>
      </c>
      <c r="M8" s="320">
        <f>'数据-取费表'!B42</f>
        <v>365</v>
      </c>
    </row>
    <row r="9" spans="1:37" ht="18" customHeight="1">
      <c r="A9" s="1444"/>
      <c r="B9" s="322"/>
      <c r="C9" s="323"/>
      <c r="D9" s="328"/>
      <c r="E9" s="319" t="s">
        <v>2106</v>
      </c>
      <c r="F9" s="329">
        <f>'数据-取费表'!B32</f>
        <v>0.1</v>
      </c>
      <c r="G9" s="1236"/>
      <c r="H9" s="321"/>
      <c r="I9" s="322"/>
      <c r="J9" s="1383"/>
      <c r="K9" s="95"/>
      <c r="L9" s="330" t="s">
        <v>2106</v>
      </c>
      <c r="M9" s="329">
        <f>'数据-取费表'!B38</f>
        <v>0</v>
      </c>
    </row>
    <row r="10" spans="1:37" ht="18" customHeight="1">
      <c r="A10" s="1381" t="s">
        <v>2107</v>
      </c>
      <c r="B10" s="2336" t="s">
        <v>2108</v>
      </c>
      <c r="C10" s="1382">
        <f ca="1">ROUND(IF(F10="押一",C6/12*F11,IF(F10="押二",C6/12*2*F11,IF(F10="押三",C6/12*3*F11,C11*F11))),0)</f>
        <v>203</v>
      </c>
      <c r="D10" s="2337" t="s">
        <v>2806</v>
      </c>
      <c r="E10" s="330" t="s">
        <v>2109</v>
      </c>
      <c r="F10" s="2338" t="s">
        <v>2110</v>
      </c>
      <c r="G10" s="1236"/>
      <c r="H10" s="1381" t="s">
        <v>2107</v>
      </c>
      <c r="I10" s="2336" t="s">
        <v>2108</v>
      </c>
      <c r="J10" s="1382">
        <f ca="1">ROUND(IF(M10="押一",J6/12*M11,IF(M10="押二",J6/12*2*M11,IF(M10="押三",J6/12*3*M11,J11*M11))),0)</f>
        <v>0</v>
      </c>
      <c r="K10" s="80" t="s">
        <v>2806</v>
      </c>
      <c r="L10" s="330" t="s">
        <v>2109</v>
      </c>
      <c r="M10" s="2338"/>
    </row>
    <row r="11" spans="1:37" s="341" customFormat="1" ht="18" customHeight="1">
      <c r="A11" s="348"/>
      <c r="B11" s="2339" t="s">
        <v>2111</v>
      </c>
      <c r="C11" s="1415"/>
      <c r="D11" s="324"/>
      <c r="E11" s="330" t="s">
        <v>2112</v>
      </c>
      <c r="F11" s="331">
        <f ca="1">'数据-取费表'!B30</f>
        <v>1.4999999999999999E-2</v>
      </c>
      <c r="G11" s="1237"/>
      <c r="H11" s="325"/>
      <c r="I11" s="2339"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40" t="s">
        <v>2115</v>
      </c>
      <c r="C12" s="1422"/>
      <c r="D12" s="2341"/>
      <c r="E12" s="1428"/>
      <c r="F12" s="1423"/>
      <c r="G12" s="1236"/>
      <c r="H12" s="1421" t="s">
        <v>2114</v>
      </c>
      <c r="I12" s="2340" t="s">
        <v>2115</v>
      </c>
      <c r="J12" s="1422"/>
      <c r="K12" s="1438"/>
      <c r="L12" s="1428"/>
      <c r="M12" s="1439"/>
    </row>
    <row r="13" spans="1:37" s="341" customFormat="1" ht="18" customHeight="1" thickTop="1">
      <c r="A13" s="1417">
        <v>2</v>
      </c>
      <c r="B13" s="1418" t="s">
        <v>2116</v>
      </c>
      <c r="C13" s="327">
        <f ca="1">ROUND(C29*F13,0)</f>
        <v>1829752</v>
      </c>
      <c r="D13" s="1419" t="s">
        <v>2117</v>
      </c>
      <c r="E13" s="1419" t="s">
        <v>2118</v>
      </c>
      <c r="F13" s="1420">
        <f>'数据-取费表'!E20</f>
        <v>0.87</v>
      </c>
      <c r="G13" s="1237"/>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1576330</v>
      </c>
      <c r="D14" s="1885" t="s">
        <v>2121</v>
      </c>
      <c r="E14" s="1886"/>
      <c r="F14" s="978"/>
      <c r="G14" s="1237"/>
      <c r="H14" s="337" t="s">
        <v>2100</v>
      </c>
      <c r="I14" s="319" t="s">
        <v>2122</v>
      </c>
      <c r="J14" s="14">
        <f ca="1">C29</f>
        <v>2103163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47290</v>
      </c>
      <c r="D15" s="339" t="s">
        <v>2125</v>
      </c>
      <c r="E15" s="339" t="s">
        <v>2126</v>
      </c>
      <c r="F15" s="340">
        <f>'数据-取费表'!E21</f>
        <v>0.03</v>
      </c>
      <c r="G15" s="1236"/>
      <c r="H15" s="1427" t="s">
        <v>2127</v>
      </c>
      <c r="I15" s="1428" t="s">
        <v>2128</v>
      </c>
      <c r="J15" s="1440">
        <f>'数据-取费表'!B39</f>
        <v>0</v>
      </c>
      <c r="K15" s="1441"/>
      <c r="L15" s="1442"/>
      <c r="M15" s="1443"/>
    </row>
    <row r="16" spans="1:37" s="341" customFormat="1" ht="18" customHeight="1" thickTop="1">
      <c r="A16" s="337" t="s">
        <v>2129</v>
      </c>
      <c r="B16" s="319" t="s">
        <v>2130</v>
      </c>
      <c r="C16" s="14">
        <f>ROUND(C14*F16,0)</f>
        <v>0</v>
      </c>
      <c r="D16" s="319" t="s">
        <v>2125</v>
      </c>
      <c r="E16" s="319" t="s">
        <v>2126</v>
      </c>
      <c r="F16" s="342">
        <f>IF('数据-取费表'!B10="住宅",'数据-取费表'!E22,0)</f>
        <v>0</v>
      </c>
      <c r="G16" s="1237"/>
      <c r="H16" s="1417" t="s">
        <v>14</v>
      </c>
      <c r="I16" s="1418" t="s">
        <v>2131</v>
      </c>
      <c r="J16" s="327">
        <f ca="1">ROUND(J17+J22+J23+J24,0)</f>
        <v>49214</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90076</v>
      </c>
      <c r="D17" s="319" t="s">
        <v>2135</v>
      </c>
      <c r="E17" s="319" t="s">
        <v>2136</v>
      </c>
      <c r="F17" s="16">
        <f>'数据-取费表'!E23</f>
        <v>200</v>
      </c>
      <c r="G17" s="1237"/>
      <c r="H17" s="337" t="s">
        <v>2137</v>
      </c>
      <c r="I17" s="319" t="s">
        <v>2138</v>
      </c>
      <c r="J17" s="14">
        <f ca="1">ROUND(IF(项目基本情况!B7="自然人",J5*M17,J18+J19+J20),0)</f>
        <v>17667</v>
      </c>
      <c r="K17" s="1885" t="s">
        <v>2139</v>
      </c>
      <c r="L17" s="1890" t="s">
        <v>2140</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23645</v>
      </c>
      <c r="D18" s="319" t="s">
        <v>2125</v>
      </c>
      <c r="E18" s="319" t="s">
        <v>2126</v>
      </c>
      <c r="F18" s="342">
        <f>'数据-取费表'!E24</f>
        <v>1.4999999999999999E-2</v>
      </c>
      <c r="G18" s="1236"/>
      <c r="H18" s="337" t="s">
        <v>2143</v>
      </c>
      <c r="I18" s="319" t="s">
        <v>2144</v>
      </c>
      <c r="J18" s="14">
        <f ca="1">IF(项目基本情况!B7="自然人","——",ROUND(J5*M18/(1+'数据-取费表'!F30),0))</f>
        <v>0</v>
      </c>
      <c r="K18" s="1890" t="s">
        <v>2145</v>
      </c>
      <c r="L18" s="319" t="s">
        <v>2126</v>
      </c>
      <c r="M18" s="342">
        <f>'数据-取费表'!E29</f>
        <v>5.5500000000000008E-2</v>
      </c>
    </row>
    <row r="19" spans="1:37" s="341" customFormat="1" ht="18" customHeight="1">
      <c r="A19" s="337" t="s">
        <v>2137</v>
      </c>
      <c r="B19" s="319" t="s">
        <v>2146</v>
      </c>
      <c r="C19" s="14">
        <f>SUM(C14:C18)</f>
        <v>1737341</v>
      </c>
      <c r="D19" s="56" t="s">
        <v>2147</v>
      </c>
      <c r="E19" s="1895"/>
      <c r="F19" s="16"/>
      <c r="G19" s="1237"/>
      <c r="H19" s="337" t="s">
        <v>2123</v>
      </c>
      <c r="I19" s="319" t="s">
        <v>2148</v>
      </c>
      <c r="J19" s="14">
        <f ca="1">IF(项目基本情况!B7="自然人","——",IF(K19="按租金收入计税",ROUND(J5*M19,1),ROUND(C29*M19*0.7,1)))</f>
        <v>17666.599999999999</v>
      </c>
      <c r="K19" s="2011"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17373</v>
      </c>
      <c r="D20" s="344" t="s">
        <v>2151</v>
      </c>
      <c r="E20" s="319" t="s">
        <v>2152</v>
      </c>
      <c r="F20" s="342">
        <f>'数据-取费表'!E25</f>
        <v>0.01</v>
      </c>
      <c r="G20" s="1237"/>
      <c r="H20" s="337" t="s">
        <v>2129</v>
      </c>
      <c r="I20" s="80" t="s">
        <v>2153</v>
      </c>
      <c r="J20" s="15">
        <f>IF(项目基本情况!B7="自然人","——",ROUND(M20*M21,0))</f>
        <v>0</v>
      </c>
      <c r="K20" s="346" t="s">
        <v>2154</v>
      </c>
      <c r="L20" s="319" t="s">
        <v>2155</v>
      </c>
      <c r="M20" s="347">
        <f>'数据-取费表'!E40</f>
        <v>1.5</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0.01</v>
      </c>
      <c r="D21" s="344" t="s">
        <v>2158</v>
      </c>
      <c r="E21" s="319" t="s">
        <v>2159</v>
      </c>
      <c r="F21" s="342">
        <f>'数据-取费表'!E26</f>
        <v>0.01</v>
      </c>
      <c r="G21" s="1236"/>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5"/>
      <c r="F22" s="16"/>
      <c r="G22" s="1236"/>
      <c r="H22" s="337" t="s">
        <v>2127</v>
      </c>
      <c r="I22" s="319" t="s">
        <v>2163</v>
      </c>
      <c r="J22" s="14">
        <f ca="1">ROUND(J14*M22,0)</f>
        <v>31547</v>
      </c>
      <c r="K22" s="1890"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38165</v>
      </c>
      <c r="D23" s="2005" t="str">
        <f>IF(F23&lt;=1,"(建造成本+管理费用)×利率×(建设周期÷2)","(建造成本+管理费用)×((1+利率)^(建设周期÷2)-1)")</f>
        <v>(建造成本+管理费用)×利率×(建设周期÷2)</v>
      </c>
      <c r="E23" s="319" t="s">
        <v>2166</v>
      </c>
      <c r="F23" s="347">
        <f>'数据-取费表'!B21</f>
        <v>1</v>
      </c>
      <c r="G23" s="1236"/>
      <c r="H23" s="337" t="s">
        <v>2156</v>
      </c>
      <c r="I23" s="319" t="s">
        <v>2167</v>
      </c>
      <c r="J23" s="14">
        <f ca="1">ROUND(J13*M23,0)</f>
        <v>0</v>
      </c>
      <c r="K23" s="1890" t="s">
        <v>2168</v>
      </c>
      <c r="L23" s="319" t="s">
        <v>2169</v>
      </c>
      <c r="M23" s="351">
        <f>'数据-取费表'!B45</f>
        <v>1.5E-3</v>
      </c>
    </row>
    <row r="24" spans="1:37" s="341" customFormat="1" ht="18" customHeight="1" thickBot="1">
      <c r="A24" s="337" t="s">
        <v>2170</v>
      </c>
      <c r="B24" s="319" t="s">
        <v>2171</v>
      </c>
      <c r="C24" s="14">
        <f ca="1">ROUND(IF('数据-取费表'!B23&lt;=1,F21*F24*F23/2,F21*(POWER((1+F24),F23/2)-1)),4)</f>
        <v>2.0000000000000001E-4</v>
      </c>
      <c r="D24" s="2005" t="str">
        <f>IF(F23&lt;=1,"销售费用×利率×(建设周期÷2)","销售费用×((1+利率)^(建设周期÷2)-1)")</f>
        <v>销售费用×利率×(建设周期÷2)</v>
      </c>
      <c r="E24" s="319" t="s">
        <v>2172</v>
      </c>
      <c r="F24" s="352">
        <f ca="1">'数据-取费表'!E27</f>
        <v>4.3499999999999997E-2</v>
      </c>
      <c r="G24" s="1237"/>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5"/>
      <c r="F25" s="16"/>
      <c r="G25" s="1237"/>
      <c r="H25" s="1417" t="s">
        <v>22</v>
      </c>
      <c r="I25" s="1432" t="s">
        <v>2177</v>
      </c>
      <c r="J25" s="327">
        <f ca="1">J5-J16</f>
        <v>-49214</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175471</v>
      </c>
      <c r="D26" s="344" t="s">
        <v>2180</v>
      </c>
      <c r="E26" s="330" t="s">
        <v>2181</v>
      </c>
      <c r="F26" s="329">
        <f>'数据-取费表'!E28</f>
        <v>0.1</v>
      </c>
      <c r="G26" s="790"/>
      <c r="H26" s="316" t="s">
        <v>23</v>
      </c>
      <c r="I26" s="317" t="s">
        <v>2182</v>
      </c>
      <c r="J26" s="318">
        <f ca="1">IF(J5&lt;&gt;0,ROUND(J25*(1-((1+M28)/(1+M26))^M27)/(M26-M28),0),0)</f>
        <v>0</v>
      </c>
      <c r="K26" s="346" t="s">
        <v>2183</v>
      </c>
      <c r="L26" s="319" t="s">
        <v>2184</v>
      </c>
      <c r="M26" s="329">
        <f>'数据-取费表'!B16</f>
        <v>5.5E-2</v>
      </c>
    </row>
    <row r="27" spans="1:37" ht="18" customHeight="1">
      <c r="A27" s="337" t="s">
        <v>2185</v>
      </c>
      <c r="B27" s="319" t="s">
        <v>2186</v>
      </c>
      <c r="C27" s="14">
        <f>ROUND(F21*F26,4)</f>
        <v>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5.2900000000000003E-2</v>
      </c>
      <c r="D28" s="344" t="s">
        <v>2192</v>
      </c>
      <c r="E28" s="319" t="s">
        <v>2152</v>
      </c>
      <c r="F28" s="342">
        <f>'数据-取费表'!E29</f>
        <v>5.5500000000000008E-2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2103163</v>
      </c>
      <c r="D29" s="1430"/>
      <c r="E29" s="1428"/>
      <c r="F29" s="1431"/>
      <c r="G29" s="790"/>
      <c r="H29" s="356" t="s">
        <v>24</v>
      </c>
      <c r="I29" s="357" t="s">
        <v>2196</v>
      </c>
      <c r="J29" s="358">
        <f ca="1">ROUND(J26/(1+F40)^F41,0)</f>
        <v>0</v>
      </c>
      <c r="K29" s="359" t="s">
        <v>2197</v>
      </c>
      <c r="L29" s="360"/>
      <c r="M29" s="361">
        <f>IF(D1="仅计算典型户型",'数据-取费表'!E5,'数据-取费表'!B5)</f>
        <v>450.38</v>
      </c>
    </row>
    <row r="30" spans="1:37" ht="18" customHeight="1" thickTop="1">
      <c r="A30" s="1417" t="s">
        <v>14</v>
      </c>
      <c r="B30" s="1418" t="s">
        <v>2198</v>
      </c>
      <c r="C30" s="327">
        <f ca="1">ROUND(C31+C36+C37+C38,0)</f>
        <v>64088</v>
      </c>
      <c r="D30" s="1424" t="s">
        <v>2199</v>
      </c>
      <c r="E30" s="1425"/>
      <c r="F30" s="1426"/>
      <c r="G30" s="790"/>
      <c r="H30" s="1216"/>
      <c r="I30" s="1217"/>
      <c r="J30" s="1218"/>
      <c r="K30" s="1219"/>
      <c r="L30" s="1220"/>
      <c r="M30" s="1221"/>
    </row>
    <row r="31" spans="1:37" ht="18" customHeight="1">
      <c r="A31" s="337" t="s">
        <v>2100</v>
      </c>
      <c r="B31" s="319" t="s">
        <v>2138</v>
      </c>
      <c r="C31" s="14">
        <f ca="1">ROUND(IF(项目基本情况!B7="自然人",C5*F31,C32+C33+C34),1)</f>
        <v>28166.799999999999</v>
      </c>
      <c r="D31" s="1885" t="s">
        <v>2200</v>
      </c>
      <c r="E31" s="1890" t="s">
        <v>2201</v>
      </c>
      <c r="F31" s="343" t="str">
        <f>IF(项目基本情况!B7="企业","",IF('数据-取费表'!B10="住宅",5%,IF(F6*F7*F8/12/(1+'数据-取费表'!F30)&gt;20000,12%,7%)))</f>
        <v/>
      </c>
      <c r="G31" s="790"/>
      <c r="H31" s="1216"/>
      <c r="I31" s="1217"/>
      <c r="J31" s="1218"/>
      <c r="K31" s="1219"/>
      <c r="L31" s="1220"/>
      <c r="M31" s="1221"/>
    </row>
    <row r="32" spans="1:37" ht="18" customHeight="1">
      <c r="A32" s="337" t="s">
        <v>2119</v>
      </c>
      <c r="B32" s="319" t="s">
        <v>2202</v>
      </c>
      <c r="C32" s="14">
        <f ca="1">IF(项目基本情况!B7="自然人","——",ROUND(C5*F32/(1+'数据-取费表'!F30),0))</f>
        <v>8613</v>
      </c>
      <c r="D32" s="1890" t="s">
        <v>2203</v>
      </c>
      <c r="E32" s="319" t="s">
        <v>2152</v>
      </c>
      <c r="F32" s="352">
        <f>'数据-取费表'!E29</f>
        <v>5.5500000000000008E-2</v>
      </c>
      <c r="G32" s="790"/>
      <c r="H32" s="1222"/>
      <c r="I32" s="1223"/>
      <c r="J32" s="1224"/>
      <c r="K32" s="1225"/>
      <c r="L32" s="1226"/>
      <c r="M32" s="1227"/>
    </row>
    <row r="33" spans="1:18" ht="18" customHeight="1">
      <c r="A33" s="337" t="s">
        <v>2123</v>
      </c>
      <c r="B33" s="319" t="s">
        <v>2148</v>
      </c>
      <c r="C33" s="14">
        <f ca="1">IF(项目基本情况!B7="自然人","——",IF(D33="按租金收入计税",ROUND(C5*F33,1),IF(D33="按房产原值计税",ROUND(C29*F33*0.7,1),'数据-取费表'!B43)))</f>
        <v>19553.8</v>
      </c>
      <c r="D33" s="2011" t="s">
        <v>2882</v>
      </c>
      <c r="E33" s="319" t="s">
        <v>2126</v>
      </c>
      <c r="F33" s="342">
        <f>IF(D33="按票据","——",IF(D33="按租金收入计税",'数据-取费表'!E39,'数据-取费表'!E38))</f>
        <v>0.12</v>
      </c>
      <c r="G33" s="790"/>
      <c r="H33" s="1228"/>
      <c r="I33" s="363" t="s">
        <v>2204</v>
      </c>
      <c r="J33" s="364"/>
      <c r="K33" s="1229"/>
      <c r="L33" s="1228"/>
      <c r="M33" s="1228"/>
    </row>
    <row r="34" spans="1:18" ht="18" customHeight="1">
      <c r="A34" s="1381" t="s">
        <v>2129</v>
      </c>
      <c r="B34" s="80" t="s">
        <v>2153</v>
      </c>
      <c r="C34" s="15">
        <f>IF(项目基本情况!B7="自然人","——",ROUND(F34*F35,0))</f>
        <v>0</v>
      </c>
      <c r="D34" s="346" t="s">
        <v>2154</v>
      </c>
      <c r="E34" s="319" t="s">
        <v>2155</v>
      </c>
      <c r="F34" s="347">
        <f>'数据-取费表'!E40</f>
        <v>1.5</v>
      </c>
      <c r="G34" s="790"/>
      <c r="H34" s="1216"/>
      <c r="I34" s="365" t="s">
        <v>2205</v>
      </c>
      <c r="J34" s="366">
        <f ca="1">ROUND(C13*J35,0)</f>
        <v>155529</v>
      </c>
      <c r="K34" s="1230"/>
      <c r="L34" s="1231"/>
      <c r="M34" s="1231"/>
    </row>
    <row r="35" spans="1:18" ht="24.6" customHeight="1">
      <c r="A35" s="1385"/>
      <c r="B35" s="328"/>
      <c r="C35" s="19"/>
      <c r="D35" s="349"/>
      <c r="E35" s="319" t="s">
        <v>2160</v>
      </c>
      <c r="F35" s="320">
        <f>IF(D1="仅计算典型户型",'数据-取费表'!E6,'数据-取费表'!B6)</f>
        <v>0</v>
      </c>
      <c r="G35" s="790"/>
      <c r="H35" s="1216"/>
      <c r="I35" s="367" t="s">
        <v>2206</v>
      </c>
      <c r="J35" s="368">
        <f>'数据-取费表'!B17</f>
        <v>8.5000000000000006E-2</v>
      </c>
      <c r="K35" s="1229"/>
      <c r="L35" s="1228"/>
      <c r="M35" s="1228"/>
    </row>
    <row r="36" spans="1:18" ht="18" customHeight="1">
      <c r="A36" s="1384" t="s">
        <v>2107</v>
      </c>
      <c r="B36" s="319" t="s">
        <v>2207</v>
      </c>
      <c r="C36" s="14">
        <f ca="1">ROUND(C29*F36,0)</f>
        <v>31547</v>
      </c>
      <c r="D36" s="1890" t="s">
        <v>2208</v>
      </c>
      <c r="E36" s="319" t="s">
        <v>2152</v>
      </c>
      <c r="F36" s="350">
        <f>'数据-取费表'!B44</f>
        <v>1.4999999999999999E-2</v>
      </c>
      <c r="G36" s="790"/>
      <c r="H36" s="1228"/>
      <c r="I36" s="369" t="s">
        <v>2209</v>
      </c>
      <c r="J36" s="370"/>
      <c r="K36" s="1232"/>
      <c r="L36" s="1228"/>
      <c r="M36" s="1228"/>
    </row>
    <row r="37" spans="1:18" ht="18" customHeight="1">
      <c r="A37" s="337" t="s">
        <v>2156</v>
      </c>
      <c r="B37" s="319" t="s">
        <v>2167</v>
      </c>
      <c r="C37" s="14">
        <f ca="1">ROUND(C13*F37,0)</f>
        <v>2745</v>
      </c>
      <c r="D37" s="1890" t="s">
        <v>2168</v>
      </c>
      <c r="E37" s="319" t="s">
        <v>2169</v>
      </c>
      <c r="F37" s="351">
        <f>'数据-取费表'!B45</f>
        <v>1.5E-3</v>
      </c>
      <c r="G37" s="790"/>
      <c r="H37" s="1228"/>
      <c r="I37" s="216" t="s">
        <v>2210</v>
      </c>
      <c r="J37" s="371"/>
      <c r="K37" s="1232"/>
      <c r="L37" s="1228"/>
      <c r="M37" s="1228"/>
    </row>
    <row r="38" spans="1:18" ht="18" customHeight="1" thickBot="1">
      <c r="A38" s="1427" t="s">
        <v>2161</v>
      </c>
      <c r="B38" s="1428" t="s">
        <v>2150</v>
      </c>
      <c r="C38" s="1429">
        <f ca="1">ROUND(C5*F38,0)</f>
        <v>1629</v>
      </c>
      <c r="D38" s="1430" t="s">
        <v>2173</v>
      </c>
      <c r="E38" s="1428" t="s">
        <v>2169</v>
      </c>
      <c r="F38" s="1423">
        <f>'数据-取费表'!B46</f>
        <v>0.01</v>
      </c>
      <c r="G38" s="790"/>
      <c r="H38" s="1228"/>
      <c r="I38" s="365" t="s">
        <v>2211</v>
      </c>
      <c r="J38" s="220">
        <f ca="1">ROUND(J34/C39,3)</f>
        <v>1.573</v>
      </c>
      <c r="K38" s="1233"/>
      <c r="L38" s="1228"/>
      <c r="M38" s="1228"/>
    </row>
    <row r="39" spans="1:18" ht="18" customHeight="1" thickTop="1">
      <c r="A39" s="1417" t="s">
        <v>22</v>
      </c>
      <c r="B39" s="1432" t="s">
        <v>2212</v>
      </c>
      <c r="C39" s="327">
        <f ca="1">C5-C30</f>
        <v>98860</v>
      </c>
      <c r="D39" s="1433" t="s">
        <v>2213</v>
      </c>
      <c r="E39" s="1434"/>
      <c r="F39" s="1435"/>
      <c r="G39" s="790"/>
      <c r="H39" s="1228"/>
      <c r="I39" s="365" t="s">
        <v>2214</v>
      </c>
      <c r="J39" s="220">
        <f ca="1">1-J38</f>
        <v>-0.57299999999999995</v>
      </c>
      <c r="K39" s="1233"/>
      <c r="L39" s="1228"/>
      <c r="M39" s="1228"/>
    </row>
    <row r="40" spans="1:18" s="790" customFormat="1" ht="18" customHeight="1">
      <c r="A40" s="316" t="s">
        <v>23</v>
      </c>
      <c r="B40" s="317" t="s">
        <v>2215</v>
      </c>
      <c r="C40" s="318">
        <f ca="1">ROUND(C39*(1-((1+F42)/(1+F40))^F41)/(F40-F42),0)</f>
        <v>2020214</v>
      </c>
      <c r="D40" s="346" t="s">
        <v>2183</v>
      </c>
      <c r="E40" s="319" t="s">
        <v>2184</v>
      </c>
      <c r="F40" s="329">
        <f>'数据-取费表'!B16</f>
        <v>5.5E-2</v>
      </c>
      <c r="H40" s="1234"/>
      <c r="I40" s="216" t="s">
        <v>2216</v>
      </c>
      <c r="J40" s="217"/>
      <c r="K40" s="1233"/>
      <c r="L40" s="1234"/>
      <c r="M40" s="1234"/>
      <c r="Q40" s="794"/>
    </row>
    <row r="41" spans="1:18" s="790" customFormat="1" ht="18" customHeight="1">
      <c r="A41" s="321"/>
      <c r="B41" s="322"/>
      <c r="C41" s="323"/>
      <c r="D41" s="354" t="s">
        <v>2217</v>
      </c>
      <c r="E41" s="1822" t="s">
        <v>2835</v>
      </c>
      <c r="F41" s="355">
        <f>IF('数据-取费表'!B28="租赁期内按合同租金",'数据-取费表'!B34,IF(E41="收益年期(n)",'数据-取费表'!B33,'数据-取费表'!B13))</f>
        <v>29.82</v>
      </c>
      <c r="H41" s="1235"/>
      <c r="I41" s="219" t="s">
        <v>2088</v>
      </c>
      <c r="J41" s="220">
        <f ca="1">ROUND(C13/C40,3)</f>
        <v>0.90600000000000003</v>
      </c>
      <c r="K41" s="1232"/>
      <c r="L41" s="1235"/>
      <c r="M41" s="1235"/>
      <c r="Q41" s="794"/>
    </row>
    <row r="42" spans="1:18" s="790" customFormat="1" ht="18" customHeight="1">
      <c r="A42" s="325"/>
      <c r="B42" s="326"/>
      <c r="C42" s="327"/>
      <c r="D42" s="349"/>
      <c r="E42" s="319" t="s">
        <v>2193</v>
      </c>
      <c r="F42" s="329">
        <f>'数据-取费表'!B31</f>
        <v>0.03</v>
      </c>
      <c r="H42" s="1235"/>
      <c r="I42" s="219" t="s">
        <v>2089</v>
      </c>
      <c r="J42" s="221">
        <f ca="1">1-J41</f>
        <v>9.3999999999999972E-2</v>
      </c>
      <c r="K42" s="1232"/>
      <c r="L42" s="1235"/>
      <c r="M42" s="1235"/>
      <c r="Q42" s="794"/>
    </row>
    <row r="43" spans="1:18" s="790" customFormat="1" ht="18" customHeight="1" thickBot="1">
      <c r="A43" s="356" t="s">
        <v>24</v>
      </c>
      <c r="B43" s="357" t="s">
        <v>2218</v>
      </c>
      <c r="C43" s="358">
        <f ca="1">ROUND(C40/F43,0)</f>
        <v>4486</v>
      </c>
      <c r="D43" s="359" t="s">
        <v>2219</v>
      </c>
      <c r="E43" s="360" t="s">
        <v>2220</v>
      </c>
      <c r="F43" s="361">
        <f>IF(D1="仅计算典型户型",'数据-取费表'!E5,'数据-取费表'!B5)</f>
        <v>450.38</v>
      </c>
      <c r="G43" s="792"/>
      <c r="H43" s="1235"/>
      <c r="I43" s="1235"/>
      <c r="J43" s="1235"/>
      <c r="K43" s="1232"/>
      <c r="L43" s="1235"/>
      <c r="M43" s="1235"/>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2020214</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42" t="s">
        <v>2230</v>
      </c>
      <c r="C47" s="1301">
        <f ca="1">IF(C2="元",C69-C40,ROUND((C69-C40)/10000,0))</f>
        <v>-5078771</v>
      </c>
      <c r="D47" s="2343" t="str">
        <f>C2</f>
        <v>元</v>
      </c>
      <c r="E47" s="775"/>
      <c r="F47" s="775"/>
      <c r="I47" s="2344" t="s">
        <v>2231</v>
      </c>
      <c r="J47" s="1340"/>
      <c r="K47" s="1341"/>
      <c r="L47" s="1354" t="str">
        <f>IF(M48="住宅",0,IF(L49&gt;J52,L61,J61))</f>
        <v>0</v>
      </c>
      <c r="O47" s="1368" t="s">
        <v>959</v>
      </c>
      <c r="P47" s="1365" t="s">
        <v>2232</v>
      </c>
      <c r="Q47" s="1366">
        <f ca="1">C29</f>
        <v>2103163</v>
      </c>
      <c r="R47" s="1367" t="s">
        <v>2227</v>
      </c>
    </row>
    <row r="48" spans="1:18" s="790" customFormat="1" ht="15.75" thickBot="1">
      <c r="A48" s="312" t="s">
        <v>2233</v>
      </c>
      <c r="B48" s="313" t="s">
        <v>2234</v>
      </c>
      <c r="C48" s="313" t="s">
        <v>2235</v>
      </c>
      <c r="D48" s="313" t="s">
        <v>2236</v>
      </c>
      <c r="E48" s="1295" t="s">
        <v>2237</v>
      </c>
      <c r="F48" s="1296"/>
      <c r="I48" s="2345" t="s">
        <v>2238</v>
      </c>
      <c r="J48" s="2346" t="s">
        <v>2828</v>
      </c>
      <c r="K48" s="2347" t="s">
        <v>2239</v>
      </c>
      <c r="L48" s="1342">
        <f>'数据-取费表'!B11</f>
        <v>40</v>
      </c>
      <c r="M48" s="1355" t="str">
        <f>IF('数据-取费表'!B10="住宅","住宅","非住宅")</f>
        <v>非住宅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8" t="s">
        <v>2242</v>
      </c>
      <c r="J49" s="2349" t="s">
        <v>2829</v>
      </c>
      <c r="K49" s="2350" t="s">
        <v>2243</v>
      </c>
      <c r="L49" s="1126">
        <f>'数据-取费表'!B13</f>
        <v>29.82</v>
      </c>
      <c r="O49" s="1368" t="s">
        <v>961</v>
      </c>
      <c r="P49" s="1365" t="s">
        <v>2244</v>
      </c>
      <c r="Q49" s="1369">
        <f>J53</f>
        <v>0</v>
      </c>
      <c r="R49" s="1367"/>
    </row>
    <row r="50" spans="1:18" s="790" customFormat="1" ht="15.75" thickBot="1">
      <c r="A50" s="345" t="s">
        <v>2100</v>
      </c>
      <c r="B50" s="2021" t="s">
        <v>2245</v>
      </c>
      <c r="C50" s="318">
        <f>ROUND(F50*F52*F51*(1-F53),0)</f>
        <v>0</v>
      </c>
      <c r="D50" s="93" t="s">
        <v>2799</v>
      </c>
      <c r="E50" s="2351" t="s">
        <v>2246</v>
      </c>
      <c r="F50" s="1297"/>
      <c r="I50" s="2348" t="s">
        <v>2247</v>
      </c>
      <c r="J50" s="1126">
        <f>'数据-取费表'!B26</f>
        <v>2010</v>
      </c>
      <c r="K50" s="2352" t="s">
        <v>2248</v>
      </c>
      <c r="L50" s="1343"/>
      <c r="O50" s="1368" t="s">
        <v>962</v>
      </c>
      <c r="P50" s="1365" t="s">
        <v>2249</v>
      </c>
      <c r="Q50" s="1366">
        <f>J54</f>
        <v>29.82</v>
      </c>
      <c r="R50" s="1367" t="s">
        <v>2250</v>
      </c>
    </row>
    <row r="51" spans="1:18" s="790" customFormat="1" ht="15.75" thickBot="1">
      <c r="A51" s="321"/>
      <c r="B51" s="322"/>
      <c r="C51" s="323"/>
      <c r="D51" s="324"/>
      <c r="E51" s="339" t="s">
        <v>2103</v>
      </c>
      <c r="F51" s="1294">
        <f>F7</f>
        <v>450.38</v>
      </c>
      <c r="I51" s="2348" t="s">
        <v>2251</v>
      </c>
      <c r="J51" s="1344">
        <f>SUMPRODUCT((I64:I66=J48)*(J63:L63=J49)*(J64:L66))</f>
        <v>60</v>
      </c>
      <c r="K51" s="2352" t="s">
        <v>2252</v>
      </c>
      <c r="L51" s="1343"/>
      <c r="O51" s="1364" t="s">
        <v>963</v>
      </c>
      <c r="P51" s="1365" t="str">
        <f>IF(C2="元","收益价值(元)","收益价值(万元)")</f>
        <v>收益价值(元)</v>
      </c>
      <c r="Q51" s="1366">
        <f ca="1">ROUND(IF(C2="元",Q45+Q46,(Q45+Q46)/10000),0)</f>
        <v>2020214</v>
      </c>
      <c r="R51" s="1367" t="s">
        <v>964</v>
      </c>
    </row>
    <row r="52" spans="1:18" s="790" customFormat="1" ht="16.5" thickBot="1">
      <c r="A52" s="321"/>
      <c r="B52" s="322"/>
      <c r="C52" s="323"/>
      <c r="D52" s="324"/>
      <c r="E52" s="319" t="s">
        <v>2105</v>
      </c>
      <c r="F52" s="320">
        <f>F8</f>
        <v>365</v>
      </c>
      <c r="I52" s="2353" t="s">
        <v>2253</v>
      </c>
      <c r="J52" s="1345">
        <f>IF(J50="",J51,J50+J51-YEAR('数据-取费表'!B2))</f>
        <v>52</v>
      </c>
      <c r="K52" s="2354" t="s">
        <v>2254</v>
      </c>
      <c r="L52" s="1346">
        <f ca="1">ROUND(-PV('数据-取费表'!B15,L49,(C40-C13*J35)),0)</f>
        <v>28588665</v>
      </c>
      <c r="O52" s="1358" t="s">
        <v>2255</v>
      </c>
      <c r="P52" s="1359"/>
      <c r="Q52" s="1355"/>
      <c r="R52" s="1359"/>
    </row>
    <row r="53" spans="1:18" s="790" customFormat="1" ht="15.75" thickBot="1">
      <c r="A53" s="325"/>
      <c r="B53" s="326"/>
      <c r="C53" s="327"/>
      <c r="D53" s="328"/>
      <c r="E53" s="319" t="s">
        <v>2106</v>
      </c>
      <c r="F53" s="1353"/>
      <c r="I53" s="2355" t="s">
        <v>2256</v>
      </c>
      <c r="J53" s="1347"/>
      <c r="K53" s="2355" t="s">
        <v>2257</v>
      </c>
      <c r="L53" s="1347"/>
      <c r="O53" s="1360" t="s">
        <v>2222</v>
      </c>
      <c r="P53" s="1361" t="s">
        <v>2223</v>
      </c>
      <c r="Q53" s="1362" t="s">
        <v>2224</v>
      </c>
      <c r="R53" s="1363" t="s">
        <v>2225</v>
      </c>
    </row>
    <row r="54" spans="1:18" s="790" customFormat="1" ht="29.25" customHeight="1" thickBot="1">
      <c r="A54" s="1381" t="s">
        <v>2107</v>
      </c>
      <c r="B54" s="2336" t="s">
        <v>2108</v>
      </c>
      <c r="C54" s="1382">
        <f ca="1">ROUND(IF(F54="押一",C50/12*F11,IF(F54="押二",C50/12*2*F11,IF(F54="押三",C50/12*3*F11,C55*F11))),0)</f>
        <v>0</v>
      </c>
      <c r="D54" s="2337" t="s">
        <v>2807</v>
      </c>
      <c r="E54" s="330" t="s">
        <v>2109</v>
      </c>
      <c r="F54" s="2338"/>
      <c r="I54" s="2356" t="s">
        <v>2258</v>
      </c>
      <c r="J54" s="1348">
        <f>IF(M48="住宅",J52,IF(E1="——",MIN(J52,L49),IF(E1="在建（套用方法）",MIN(J52,L49-'数据-取费表'!B25),IF(E1="土地（套用方法）",MIN(J52,L49-'数据-取费表'!B21)))))</f>
        <v>29.82</v>
      </c>
      <c r="K54" s="3023" t="s">
        <v>2797</v>
      </c>
      <c r="L54" s="3024"/>
      <c r="O54" s="1364" t="s">
        <v>957</v>
      </c>
      <c r="P54" s="1365" t="s">
        <v>2226</v>
      </c>
      <c r="Q54" s="1366">
        <f ca="1">C40+J29</f>
        <v>2020214</v>
      </c>
      <c r="R54" s="1367" t="s">
        <v>2227</v>
      </c>
    </row>
    <row r="55" spans="1:18" s="790" customFormat="1" ht="20.25" thickBot="1">
      <c r="A55" s="1381"/>
      <c r="B55" s="2357" t="s">
        <v>2113</v>
      </c>
      <c r="C55" s="1415"/>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4" t="s">
        <v>958</v>
      </c>
      <c r="P55" s="1365" t="s">
        <v>2259</v>
      </c>
      <c r="Q55" s="1366">
        <f>L61</f>
        <v>0</v>
      </c>
      <c r="R55" s="1367" t="s">
        <v>2260</v>
      </c>
    </row>
    <row r="56" spans="1:18" s="790" customFormat="1" ht="20.25" thickBot="1">
      <c r="A56" s="1421" t="s">
        <v>2114</v>
      </c>
      <c r="B56" s="2340" t="s">
        <v>2115</v>
      </c>
      <c r="C56" s="1422"/>
      <c r="D56" s="1438"/>
      <c r="E56" s="2360"/>
      <c r="F56" s="1498"/>
      <c r="I56" s="2361" t="s">
        <v>2261</v>
      </c>
      <c r="J56" s="1868" t="e">
        <f>ROUND(IF(J48="钢混",J58/J51,1-(1-2%)*(J51-J58)/J51),3)</f>
        <v>#VALUE!</v>
      </c>
      <c r="K56" s="2362" t="s">
        <v>2262</v>
      </c>
      <c r="L56" s="1349"/>
      <c r="O56" s="1368" t="s">
        <v>959</v>
      </c>
      <c r="P56" s="1365" t="s">
        <v>2263</v>
      </c>
      <c r="Q56" s="1366">
        <f>IF(L56="比较法",L50,IF(L56="基准地价",L51,0))</f>
        <v>0</v>
      </c>
      <c r="R56" s="1367" t="s">
        <v>2227</v>
      </c>
    </row>
    <row r="57" spans="1:18" s="790" customFormat="1" ht="44.25" thickTop="1" thickBot="1">
      <c r="A57" s="1417">
        <v>2</v>
      </c>
      <c r="B57" s="1418" t="s">
        <v>2116</v>
      </c>
      <c r="C57" s="1497">
        <f ca="1">C13</f>
        <v>1829752</v>
      </c>
      <c r="D57" s="1292"/>
      <c r="E57" s="1293"/>
      <c r="F57" s="1300"/>
      <c r="I57" s="2363" t="s">
        <v>2264</v>
      </c>
      <c r="J57" s="1352" t="s">
        <v>2818</v>
      </c>
      <c r="K57" s="2348" t="s">
        <v>2265</v>
      </c>
      <c r="L57" s="1126" t="str">
        <f>IF(L49&lt;J52,"——",L49-J52)</f>
        <v>——</v>
      </c>
      <c r="O57" s="1368" t="s">
        <v>960</v>
      </c>
      <c r="P57" s="1365" t="s">
        <v>2266</v>
      </c>
      <c r="Q57" s="1369">
        <f>L53</f>
        <v>0</v>
      </c>
      <c r="R57" s="1367"/>
    </row>
    <row r="58" spans="1:18" s="790" customFormat="1" ht="29.25" thickBot="1">
      <c r="A58" s="1299"/>
      <c r="B58" s="319" t="s">
        <v>2195</v>
      </c>
      <c r="C58" s="188">
        <f ca="1">C29</f>
        <v>2103163</v>
      </c>
      <c r="D58" s="1292"/>
      <c r="E58" s="1293"/>
      <c r="F58" s="1300"/>
      <c r="I58" s="2364" t="s">
        <v>2267</v>
      </c>
      <c r="J58" s="1351" t="str">
        <f>IF(OR(M48="住宅",J52&lt;L49,J57="是"),"——",J52-L49)</f>
        <v>——</v>
      </c>
      <c r="K58" s="2348" t="s">
        <v>2268</v>
      </c>
      <c r="L58" s="1126" t="str">
        <f>IF(L49&lt;J52,"——",IF(L56="比较法",L50,IF(L56="基准地价",L51,L52)))</f>
        <v>——</v>
      </c>
      <c r="O58" s="1368" t="s">
        <v>961</v>
      </c>
      <c r="P58" s="1365" t="s">
        <v>2269</v>
      </c>
      <c r="Q58" s="1366" t="e">
        <f>L59</f>
        <v>#DIV/0!</v>
      </c>
      <c r="R58" s="1367" t="s">
        <v>2270</v>
      </c>
    </row>
    <row r="59" spans="1:18" s="790" customFormat="1" ht="29.25" thickBot="1">
      <c r="A59" s="332" t="s">
        <v>14</v>
      </c>
      <c r="B59" s="333" t="s">
        <v>2198</v>
      </c>
      <c r="C59" s="334">
        <f ca="1">ROUND(C60+C65+C66+C67,0)</f>
        <v>210958</v>
      </c>
      <c r="D59" s="12" t="s">
        <v>2199</v>
      </c>
      <c r="E59" s="1895"/>
      <c r="F59" s="16"/>
      <c r="I59" s="2364" t="s">
        <v>2271</v>
      </c>
      <c r="J59" s="1867" t="e">
        <f>IF(J56&lt;0.4,0.4,J56)</f>
        <v>#VALUE!</v>
      </c>
      <c r="K59" s="2354" t="s">
        <v>2272</v>
      </c>
      <c r="L59" s="1126" t="e">
        <f>ROUND(POWER(1+L53,L48-L49)*(POWER(1+L53,L49)-1)/(POWER(1+L53,L48)-1),4)</f>
        <v>#DIV/0!</v>
      </c>
      <c r="O59" s="1368" t="s">
        <v>962</v>
      </c>
      <c r="P59" s="1365" t="str">
        <f>K60</f>
        <v>建筑物剩余耐用年限下的土地年期修正系数Kn</v>
      </c>
      <c r="Q59" s="1366" t="e">
        <f>L60</f>
        <v>#DIV/0!</v>
      </c>
      <c r="R59" s="1367" t="s">
        <v>2273</v>
      </c>
    </row>
    <row r="60" spans="1:18" s="790" customFormat="1" ht="29.25" thickBot="1">
      <c r="A60" s="337" t="s">
        <v>15</v>
      </c>
      <c r="B60" s="319" t="s">
        <v>2138</v>
      </c>
      <c r="C60" s="14">
        <f ca="1">ROUND(IF(项目基本情况!B7="自然人",C49*F60,C61+C62+C63),1)</f>
        <v>176665.7</v>
      </c>
      <c r="D60" s="1885" t="s">
        <v>2200</v>
      </c>
      <c r="E60" s="1890" t="s">
        <v>2201</v>
      </c>
      <c r="F60" s="343" t="str">
        <f>IF(项目基本情况!B7="企业","",IF('数据-取费表'!B10="住宅",5%,IF(F50*F51*F52/12/(1+'数据-取费表'!F30)&gt;20000,12%,7%)))</f>
        <v/>
      </c>
      <c r="I60" s="2364" t="s">
        <v>2274</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2020214</v>
      </c>
      <c r="R60" s="1367" t="s">
        <v>964</v>
      </c>
    </row>
    <row r="61" spans="1:18" s="790" customFormat="1" ht="16.5" thickBot="1">
      <c r="A61" s="337" t="s">
        <v>16</v>
      </c>
      <c r="B61" s="319" t="s">
        <v>2202</v>
      </c>
      <c r="C61" s="14">
        <f ca="1">IF(项目基本情况!B7="自然人","——",ROUND(C49*F61/(1+'数据-取费表'!F30),0))</f>
        <v>0</v>
      </c>
      <c r="D61" s="1890" t="s">
        <v>2203</v>
      </c>
      <c r="E61" s="319" t="s">
        <v>2152</v>
      </c>
      <c r="F61" s="352">
        <f t="shared" ref="F61:F67" si="0">F32</f>
        <v>5.5500000000000008E-2</v>
      </c>
      <c r="I61" s="2365" t="s">
        <v>2275</v>
      </c>
      <c r="J61" s="1350" t="str">
        <f>IF(OR(M48="住宅",J52&lt;L49,J57="是"),"0",ROUND(J60/(1+J53)^J54,0))</f>
        <v>0</v>
      </c>
      <c r="K61" s="2366"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176665.7</v>
      </c>
      <c r="D62" s="2011" t="s">
        <v>2149</v>
      </c>
      <c r="E62" s="319" t="s">
        <v>2152</v>
      </c>
      <c r="F62" s="342">
        <f t="shared" si="0"/>
        <v>0.12</v>
      </c>
      <c r="O62" s="1360" t="s">
        <v>2222</v>
      </c>
      <c r="P62" s="1361" t="s">
        <v>2223</v>
      </c>
      <c r="Q62" s="1362" t="s">
        <v>2224</v>
      </c>
      <c r="R62" s="1363" t="s">
        <v>2225</v>
      </c>
    </row>
    <row r="63" spans="1:18" s="790" customFormat="1" ht="15.75" thickBot="1">
      <c r="A63" s="345" t="s">
        <v>18</v>
      </c>
      <c r="B63" s="80" t="s">
        <v>2279</v>
      </c>
      <c r="C63" s="15">
        <f>IF(项目基本情况!B7="自然人","——",ROUND(F63*F64,0))</f>
        <v>0</v>
      </c>
      <c r="D63" s="346" t="s">
        <v>2280</v>
      </c>
      <c r="E63" s="319" t="s">
        <v>2281</v>
      </c>
      <c r="F63" s="347">
        <f t="shared" si="0"/>
        <v>1.5</v>
      </c>
      <c r="I63" s="2367" t="s">
        <v>2282</v>
      </c>
      <c r="J63" s="1871" t="s">
        <v>2283</v>
      </c>
      <c r="K63" s="1871" t="s">
        <v>2284</v>
      </c>
      <c r="L63" s="1871" t="s">
        <v>2285</v>
      </c>
      <c r="M63" s="1870" t="s">
        <v>2286</v>
      </c>
      <c r="O63" s="1364" t="s">
        <v>957</v>
      </c>
      <c r="P63" s="1365" t="s">
        <v>2226</v>
      </c>
      <c r="Q63" s="1366">
        <f ca="1">C40+J29</f>
        <v>2020214</v>
      </c>
      <c r="R63" s="1367" t="s">
        <v>2227</v>
      </c>
    </row>
    <row r="64" spans="1:18" s="790" customFormat="1" ht="20.25" thickBot="1">
      <c r="A64" s="348"/>
      <c r="B64" s="328"/>
      <c r="C64" s="19"/>
      <c r="D64" s="349"/>
      <c r="E64" s="319" t="s">
        <v>2287</v>
      </c>
      <c r="F64" s="320">
        <f t="shared" si="0"/>
        <v>0</v>
      </c>
      <c r="I64" s="2367" t="s">
        <v>2288</v>
      </c>
      <c r="J64" s="1871">
        <v>70</v>
      </c>
      <c r="K64" s="1871">
        <v>50</v>
      </c>
      <c r="L64" s="1871">
        <v>80</v>
      </c>
      <c r="M64" s="1869">
        <v>0.02</v>
      </c>
      <c r="O64" s="1364" t="s">
        <v>958</v>
      </c>
      <c r="P64" s="1365" t="s">
        <v>2259</v>
      </c>
      <c r="Q64" s="1366">
        <f>L61</f>
        <v>0</v>
      </c>
      <c r="R64" s="1367" t="s">
        <v>2260</v>
      </c>
    </row>
    <row r="65" spans="1:18" s="790" customFormat="1" ht="23.25" thickBot="1">
      <c r="A65" s="337" t="s">
        <v>19</v>
      </c>
      <c r="B65" s="319" t="s">
        <v>2207</v>
      </c>
      <c r="C65" s="14">
        <f ca="1">ROUND(C58*F65,0)</f>
        <v>31547</v>
      </c>
      <c r="D65" s="1890" t="s">
        <v>2208</v>
      </c>
      <c r="E65" s="319" t="s">
        <v>2152</v>
      </c>
      <c r="F65" s="350">
        <f t="shared" si="0"/>
        <v>1.4999999999999999E-2</v>
      </c>
      <c r="I65" s="2367" t="s">
        <v>2289</v>
      </c>
      <c r="J65" s="1871">
        <v>50</v>
      </c>
      <c r="K65" s="1871">
        <v>35</v>
      </c>
      <c r="L65" s="1871">
        <v>60</v>
      </c>
      <c r="M65" s="1870">
        <v>0</v>
      </c>
      <c r="O65" s="1368" t="s">
        <v>959</v>
      </c>
      <c r="P65" s="1365" t="s">
        <v>2263</v>
      </c>
      <c r="Q65" s="1370">
        <f ca="1">L52</f>
        <v>28588665</v>
      </c>
      <c r="R65" s="1371" t="s">
        <v>2290</v>
      </c>
    </row>
    <row r="66" spans="1:18" s="790" customFormat="1" ht="20.25" thickBot="1">
      <c r="A66" s="337" t="s">
        <v>20</v>
      </c>
      <c r="B66" s="319" t="s">
        <v>2167</v>
      </c>
      <c r="C66" s="14">
        <f ca="1">ROUND(C57*F66,0)</f>
        <v>2745</v>
      </c>
      <c r="D66" s="1890" t="s">
        <v>2168</v>
      </c>
      <c r="E66" s="319" t="s">
        <v>2169</v>
      </c>
      <c r="F66" s="351">
        <f t="shared" si="0"/>
        <v>1.5E-3</v>
      </c>
      <c r="I66" s="2367" t="s">
        <v>2291</v>
      </c>
      <c r="J66" s="1871">
        <v>40</v>
      </c>
      <c r="K66" s="1871">
        <v>30</v>
      </c>
      <c r="L66" s="1871">
        <v>50</v>
      </c>
      <c r="M66" s="1869">
        <v>0.02</v>
      </c>
      <c r="O66" s="1368" t="s">
        <v>960</v>
      </c>
      <c r="P66" s="1372" t="s">
        <v>2292</v>
      </c>
      <c r="Q66" s="1366">
        <f ca="1">ROUND(Q67-Q68*Q69,0)</f>
        <v>-56669</v>
      </c>
      <c r="R66" s="1367"/>
    </row>
    <row r="67" spans="1:18" s="790" customFormat="1" ht="15.75" thickBot="1">
      <c r="A67" s="337" t="s">
        <v>21</v>
      </c>
      <c r="B67" s="319" t="s">
        <v>2150</v>
      </c>
      <c r="C67" s="14">
        <f ca="1">ROUND(C49*F67,0)</f>
        <v>0</v>
      </c>
      <c r="D67" s="1890" t="s">
        <v>2173</v>
      </c>
      <c r="E67" s="319" t="s">
        <v>2169</v>
      </c>
      <c r="F67" s="329">
        <f t="shared" si="0"/>
        <v>0.01</v>
      </c>
      <c r="O67" s="1368" t="s">
        <v>965</v>
      </c>
      <c r="P67" s="1372" t="s">
        <v>2293</v>
      </c>
      <c r="Q67" s="1366">
        <f ca="1">C39</f>
        <v>98860</v>
      </c>
      <c r="R67" s="1367" t="s">
        <v>2227</v>
      </c>
    </row>
    <row r="68" spans="1:18" ht="15.75" thickBot="1">
      <c r="A68" s="332" t="s">
        <v>22</v>
      </c>
      <c r="B68" s="89" t="s">
        <v>2177</v>
      </c>
      <c r="C68" s="334">
        <f ca="1">C49-C59</f>
        <v>-210958</v>
      </c>
      <c r="D68" s="1885" t="s">
        <v>2178</v>
      </c>
      <c r="E68" s="1889"/>
      <c r="F68" s="353"/>
      <c r="H68" s="790"/>
      <c r="I68" s="790"/>
      <c r="J68" s="790"/>
      <c r="K68" s="790"/>
      <c r="L68" s="790"/>
      <c r="M68" s="790"/>
      <c r="O68" s="1368" t="s">
        <v>966</v>
      </c>
      <c r="P68" s="1372" t="s">
        <v>2294</v>
      </c>
      <c r="Q68" s="1366">
        <f ca="1">C13</f>
        <v>1829752</v>
      </c>
      <c r="R68" s="1367" t="s">
        <v>2227</v>
      </c>
    </row>
    <row r="69" spans="1:18" ht="15.75" thickBot="1">
      <c r="A69" s="316" t="s">
        <v>23</v>
      </c>
      <c r="B69" s="317" t="s">
        <v>2215</v>
      </c>
      <c r="C69" s="318">
        <f ca="1">ROUND(C68*(1-((1+F71)/(1+F69))^F70)/(F69-F71),0)</f>
        <v>-3058557</v>
      </c>
      <c r="D69" s="346" t="s">
        <v>2183</v>
      </c>
      <c r="E69" s="319" t="s">
        <v>2184</v>
      </c>
      <c r="F69" s="329">
        <f>F40</f>
        <v>5.5E-2</v>
      </c>
      <c r="H69" s="790"/>
      <c r="I69" s="790"/>
      <c r="J69" s="790"/>
      <c r="K69" s="790"/>
      <c r="L69" s="790"/>
      <c r="M69" s="790"/>
      <c r="O69" s="1368" t="s">
        <v>967</v>
      </c>
      <c r="P69" s="1372" t="s">
        <v>2295</v>
      </c>
      <c r="Q69" s="1369">
        <f>J35</f>
        <v>8.5000000000000006E-2</v>
      </c>
      <c r="R69" s="1367"/>
    </row>
    <row r="70" spans="1:18" ht="15.75" thickBot="1">
      <c r="A70" s="321"/>
      <c r="B70" s="322"/>
      <c r="C70" s="323"/>
      <c r="D70" s="354" t="s">
        <v>2217</v>
      </c>
      <c r="E70" s="319" t="s">
        <v>2189</v>
      </c>
      <c r="F70" s="355">
        <f>F41</f>
        <v>29.82</v>
      </c>
      <c r="H70" s="790"/>
      <c r="I70" s="790"/>
      <c r="J70" s="790"/>
      <c r="K70" s="790"/>
      <c r="L70" s="790"/>
      <c r="M70" s="790"/>
      <c r="O70" s="1368" t="s">
        <v>961</v>
      </c>
      <c r="P70" s="1365" t="s">
        <v>2266</v>
      </c>
      <c r="Q70" s="1369">
        <f>L53</f>
        <v>0</v>
      </c>
      <c r="R70" s="1367"/>
    </row>
    <row r="71" spans="1:18" ht="20.25" thickBot="1">
      <c r="A71" s="325"/>
      <c r="B71" s="326"/>
      <c r="C71" s="327"/>
      <c r="D71" s="349"/>
      <c r="E71" s="319" t="s">
        <v>2193</v>
      </c>
      <c r="F71" s="1353"/>
      <c r="H71" s="790"/>
      <c r="M71" s="790"/>
      <c r="O71" s="1368" t="s">
        <v>962</v>
      </c>
      <c r="P71" s="1365" t="s">
        <v>2269</v>
      </c>
      <c r="Q71" s="1366" t="e">
        <f>L59</f>
        <v>#DIV/0!</v>
      </c>
      <c r="R71" s="1367" t="s">
        <v>2270</v>
      </c>
    </row>
    <row r="72" spans="1:18" ht="15.75" thickBot="1">
      <c r="A72" s="356" t="s">
        <v>24</v>
      </c>
      <c r="B72" s="357" t="s">
        <v>2218</v>
      </c>
      <c r="C72" s="358">
        <f ca="1">ROUND(C69/F72,0)</f>
        <v>-6791</v>
      </c>
      <c r="D72" s="359" t="s">
        <v>2219</v>
      </c>
      <c r="E72" s="360" t="s">
        <v>2220</v>
      </c>
      <c r="F72" s="361">
        <f>F43</f>
        <v>450.38</v>
      </c>
      <c r="O72" s="1368" t="s">
        <v>968</v>
      </c>
      <c r="P72" s="1365" t="str">
        <f>K60</f>
        <v>建筑物剩余耐用年限下的土地年期修正系数Kn</v>
      </c>
      <c r="Q72" s="1366" t="e">
        <f>L60</f>
        <v>#DIV/0!</v>
      </c>
      <c r="R72" s="1367" t="s">
        <v>2273</v>
      </c>
    </row>
    <row r="73" spans="1:18" ht="15.75" thickBot="1">
      <c r="A73" s="790"/>
      <c r="B73" s="794"/>
      <c r="C73" s="794"/>
      <c r="D73" s="790"/>
      <c r="E73" s="790"/>
      <c r="F73" s="790"/>
      <c r="O73" s="1364" t="s">
        <v>963</v>
      </c>
      <c r="P73" s="1365" t="str">
        <f>IF(C2="元","收益价值(元)","收益价值(万元)")</f>
        <v>收益价值(元)</v>
      </c>
      <c r="Q73" s="1366">
        <f ca="1">ROUND(IF(C2="元",Q63+Q64,(Q63+Q64)/10000),0)</f>
        <v>2020214</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1" t="s">
        <v>1024</v>
      </c>
      <c r="B1" s="3042"/>
      <c r="C1" s="3043"/>
      <c r="D1" s="3044">
        <f>SUM(I10,I15,I20,I21,I23)</f>
        <v>0</v>
      </c>
      <c r="E1" s="3044"/>
      <c r="F1" s="3044"/>
      <c r="G1" s="3044"/>
      <c r="H1" s="3044"/>
      <c r="I1" s="3045"/>
    </row>
    <row r="2" spans="1:9">
      <c r="A2" s="3031" t="s">
        <v>1025</v>
      </c>
      <c r="B2" s="3032" t="s">
        <v>974</v>
      </c>
      <c r="C2" s="3032"/>
      <c r="D2" s="1386" t="s">
        <v>975</v>
      </c>
      <c r="E2" s="1386" t="s">
        <v>976</v>
      </c>
      <c r="F2" s="1386" t="s">
        <v>977</v>
      </c>
      <c r="G2" s="1386" t="s">
        <v>978</v>
      </c>
      <c r="H2" s="1386" t="s">
        <v>979</v>
      </c>
      <c r="I2" s="1387" t="s">
        <v>980</v>
      </c>
    </row>
    <row r="3" spans="1:9">
      <c r="A3" s="3031"/>
      <c r="B3" s="3032" t="s">
        <v>981</v>
      </c>
      <c r="C3" s="3032"/>
      <c r="D3" s="1388"/>
      <c r="E3" s="1386"/>
      <c r="F3" s="1389"/>
      <c r="G3" s="1389"/>
      <c r="H3" s="1390"/>
      <c r="I3" s="1391">
        <f>ROUND(D3*E3*F3*G3*H3/10000,0)</f>
        <v>0</v>
      </c>
    </row>
    <row r="4" spans="1:9">
      <c r="A4" s="3031"/>
      <c r="B4" s="3032" t="s">
        <v>982</v>
      </c>
      <c r="C4" s="3032"/>
      <c r="D4" s="1388"/>
      <c r="E4" s="1386"/>
      <c r="F4" s="1389"/>
      <c r="G4" s="1389"/>
      <c r="H4" s="1390"/>
      <c r="I4" s="1391">
        <f t="shared" ref="I4:I9" si="0">ROUND(D4*E4*F4*G4*H4/10000,0)</f>
        <v>0</v>
      </c>
    </row>
    <row r="5" spans="1:9">
      <c r="A5" s="3031"/>
      <c r="B5" s="3032" t="s">
        <v>983</v>
      </c>
      <c r="C5" s="3032"/>
      <c r="D5" s="1388"/>
      <c r="E5" s="1386"/>
      <c r="F5" s="1389"/>
      <c r="G5" s="1389"/>
      <c r="H5" s="1390"/>
      <c r="I5" s="1391">
        <f t="shared" si="0"/>
        <v>0</v>
      </c>
    </row>
    <row r="6" spans="1:9">
      <c r="A6" s="3031"/>
      <c r="B6" s="3032" t="s">
        <v>984</v>
      </c>
      <c r="C6" s="3032"/>
      <c r="D6" s="1388"/>
      <c r="E6" s="1386"/>
      <c r="F6" s="1389"/>
      <c r="G6" s="1389"/>
      <c r="H6" s="1390"/>
      <c r="I6" s="1391">
        <f t="shared" si="0"/>
        <v>0</v>
      </c>
    </row>
    <row r="7" spans="1:9">
      <c r="A7" s="3031"/>
      <c r="B7" s="3032" t="s">
        <v>985</v>
      </c>
      <c r="C7" s="3032"/>
      <c r="D7" s="1388"/>
      <c r="E7" s="1386"/>
      <c r="F7" s="1389"/>
      <c r="G7" s="1389"/>
      <c r="H7" s="1390"/>
      <c r="I7" s="1391">
        <f t="shared" si="0"/>
        <v>0</v>
      </c>
    </row>
    <row r="8" spans="1:9">
      <c r="A8" s="3031"/>
      <c r="B8" s="3032" t="s">
        <v>986</v>
      </c>
      <c r="C8" s="3032"/>
      <c r="D8" s="1388"/>
      <c r="E8" s="1386"/>
      <c r="F8" s="1389"/>
      <c r="G8" s="1389"/>
      <c r="H8" s="1390"/>
      <c r="I8" s="1391">
        <f t="shared" si="0"/>
        <v>0</v>
      </c>
    </row>
    <row r="9" spans="1:9">
      <c r="A9" s="3031"/>
      <c r="B9" s="3032" t="s">
        <v>987</v>
      </c>
      <c r="C9" s="3032"/>
      <c r="D9" s="1388"/>
      <c r="E9" s="1386"/>
      <c r="F9" s="1389"/>
      <c r="G9" s="1389"/>
      <c r="H9" s="1390"/>
      <c r="I9" s="1391">
        <f t="shared" si="0"/>
        <v>0</v>
      </c>
    </row>
    <row r="10" spans="1:9">
      <c r="A10" s="3031"/>
      <c r="B10" s="3033" t="s">
        <v>988</v>
      </c>
      <c r="C10" s="3033"/>
      <c r="D10" s="1392">
        <v>527</v>
      </c>
      <c r="E10" s="1392" t="e">
        <f>ROUND(D1*10000/D10/H9,0)</f>
        <v>#DIV/0!</v>
      </c>
      <c r="F10" s="1393"/>
      <c r="G10" s="1393"/>
      <c r="H10" s="1394"/>
      <c r="I10" s="1395">
        <f>SUM(I3:I9)</f>
        <v>0</v>
      </c>
    </row>
    <row r="11" spans="1:9" ht="14.25">
      <c r="A11" s="3031" t="s">
        <v>1026</v>
      </c>
      <c r="B11" s="3032" t="s">
        <v>989</v>
      </c>
      <c r="C11" s="3032"/>
      <c r="D11" s="1388" t="s">
        <v>990</v>
      </c>
      <c r="E11" s="1388" t="s">
        <v>991</v>
      </c>
      <c r="F11" s="1389" t="s">
        <v>992</v>
      </c>
      <c r="G11" s="1389" t="s">
        <v>979</v>
      </c>
      <c r="H11" s="1396" t="s">
        <v>993</v>
      </c>
      <c r="I11" s="1387" t="s">
        <v>980</v>
      </c>
    </row>
    <row r="12" spans="1:9">
      <c r="A12" s="3031"/>
      <c r="B12" s="3032" t="s">
        <v>994</v>
      </c>
      <c r="C12" s="3032"/>
      <c r="D12" s="1388"/>
      <c r="E12" s="1388"/>
      <c r="F12" s="1389"/>
      <c r="G12" s="1390"/>
      <c r="H12" s="1397"/>
      <c r="I12" s="1387">
        <f>ROUND(D12*E12*F12*G12/10000,0)</f>
        <v>0</v>
      </c>
    </row>
    <row r="13" spans="1:9">
      <c r="A13" s="3031"/>
      <c r="B13" s="3032" t="s">
        <v>995</v>
      </c>
      <c r="C13" s="3032"/>
      <c r="D13" s="1388"/>
      <c r="E13" s="1388"/>
      <c r="F13" s="1389"/>
      <c r="G13" s="1390"/>
      <c r="H13" s="1397"/>
      <c r="I13" s="1387">
        <f>ROUND(D13*E13*F13*G13/10000,0)</f>
        <v>0</v>
      </c>
    </row>
    <row r="14" spans="1:9">
      <c r="A14" s="3031"/>
      <c r="B14" s="3032" t="s">
        <v>996</v>
      </c>
      <c r="C14" s="3032"/>
      <c r="D14" s="1388"/>
      <c r="E14" s="1388"/>
      <c r="F14" s="1389"/>
      <c r="G14" s="1390"/>
      <c r="H14" s="1397"/>
      <c r="I14" s="1387">
        <f>ROUND(D14*E14*F14*G14/10000,0)</f>
        <v>0</v>
      </c>
    </row>
    <row r="15" spans="1:9">
      <c r="A15" s="3031"/>
      <c r="B15" s="3033" t="s">
        <v>988</v>
      </c>
      <c r="C15" s="3033"/>
      <c r="D15" s="1392"/>
      <c r="E15" s="1392">
        <f>SUM(E12:E14)</f>
        <v>0</v>
      </c>
      <c r="F15" s="1393"/>
      <c r="G15" s="1390"/>
      <c r="H15" s="1397"/>
      <c r="I15" s="1398">
        <f>SUM(I12:I14)</f>
        <v>0</v>
      </c>
    </row>
    <row r="16" spans="1:9" ht="24">
      <c r="A16" s="3031" t="s">
        <v>1027</v>
      </c>
      <c r="B16" s="3032" t="s">
        <v>997</v>
      </c>
      <c r="C16" s="3032"/>
      <c r="D16" s="1388" t="s">
        <v>975</v>
      </c>
      <c r="E16" s="1399" t="s">
        <v>998</v>
      </c>
      <c r="F16" s="1389" t="s">
        <v>999</v>
      </c>
      <c r="G16" s="1390" t="s">
        <v>979</v>
      </c>
      <c r="H16" s="1396" t="s">
        <v>993</v>
      </c>
      <c r="I16" s="1387" t="s">
        <v>980</v>
      </c>
    </row>
    <row r="17" spans="1:9" ht="14.25">
      <c r="A17" s="3031"/>
      <c r="B17" s="3032" t="s">
        <v>1000</v>
      </c>
      <c r="C17" s="3032"/>
      <c r="D17" s="1388"/>
      <c r="E17" s="1388"/>
      <c r="F17" s="1389"/>
      <c r="G17" s="1390"/>
      <c r="H17" s="1400"/>
      <c r="I17" s="1401">
        <f>ROUND(D17*E17*F17*G17/10000,0)</f>
        <v>0</v>
      </c>
    </row>
    <row r="18" spans="1:9" ht="14.25">
      <c r="A18" s="3031"/>
      <c r="B18" s="3032" t="s">
        <v>1001</v>
      </c>
      <c r="C18" s="3032"/>
      <c r="D18" s="1388"/>
      <c r="E18" s="1388"/>
      <c r="F18" s="1389"/>
      <c r="G18" s="1390"/>
      <c r="H18" s="1400"/>
      <c r="I18" s="1401">
        <f>ROUND(D18*E18*F18*G18/10000,0)</f>
        <v>0</v>
      </c>
    </row>
    <row r="19" spans="1:9" ht="14.25">
      <c r="A19" s="3031"/>
      <c r="B19" s="3032" t="s">
        <v>1002</v>
      </c>
      <c r="C19" s="3032"/>
      <c r="D19" s="1388"/>
      <c r="E19" s="1388"/>
      <c r="F19" s="1389"/>
      <c r="G19" s="1390"/>
      <c r="H19" s="1400"/>
      <c r="I19" s="1401">
        <f>ROUND(D19*E19*F19*G19/10000,0)</f>
        <v>0</v>
      </c>
    </row>
    <row r="20" spans="1:9">
      <c r="A20" s="3031"/>
      <c r="B20" s="3033" t="s">
        <v>988</v>
      </c>
      <c r="C20" s="3033"/>
      <c r="D20" s="1392">
        <f>SUM(D17:D19)</f>
        <v>0</v>
      </c>
      <c r="E20" s="1392"/>
      <c r="F20" s="1393"/>
      <c r="G20" s="1390"/>
      <c r="H20" s="1397"/>
      <c r="I20" s="1398">
        <f>SUM(I17:I19)</f>
        <v>0</v>
      </c>
    </row>
    <row r="21" spans="1:9">
      <c r="A21" s="3031" t="s">
        <v>1028</v>
      </c>
      <c r="B21" s="3034"/>
      <c r="C21" s="3034"/>
      <c r="D21" s="3034"/>
      <c r="E21" s="3034"/>
      <c r="F21" s="3034"/>
      <c r="G21" s="3034"/>
      <c r="H21" s="1402">
        <v>0.1</v>
      </c>
      <c r="I21" s="1395">
        <f>ROUND(I10*H21,0)</f>
        <v>0</v>
      </c>
    </row>
    <row r="22" spans="1:9" ht="14.25">
      <c r="A22" s="3035" t="s">
        <v>1029</v>
      </c>
      <c r="B22" s="3036"/>
      <c r="C22" s="3037"/>
      <c r="D22" s="1403" t="s">
        <v>1003</v>
      </c>
      <c r="E22" s="1403" t="s">
        <v>1004</v>
      </c>
      <c r="F22" s="1404" t="s">
        <v>979</v>
      </c>
      <c r="G22" s="1404" t="s">
        <v>1005</v>
      </c>
      <c r="H22" s="1396" t="s">
        <v>993</v>
      </c>
      <c r="I22" s="1387" t="s">
        <v>980</v>
      </c>
    </row>
    <row r="23" spans="1:9" ht="14.25" thickBot="1">
      <c r="A23" s="3038"/>
      <c r="B23" s="3039"/>
      <c r="C23" s="3040"/>
      <c r="D23" s="1405"/>
      <c r="E23" s="1405"/>
      <c r="F23" s="1405"/>
      <c r="G23" s="1406"/>
      <c r="H23" s="1407"/>
      <c r="I23" s="1408">
        <f>ROUND(E23*D23*F23*(1-G23)/10000,0)</f>
        <v>0</v>
      </c>
    </row>
    <row r="26" spans="1:9">
      <c r="A26" s="1409" t="s">
        <v>1006</v>
      </c>
      <c r="B26" s="1409"/>
      <c r="C26" s="1409"/>
      <c r="D26" s="1409"/>
      <c r="E26" s="3028">
        <f>C27-C30-C31-C32</f>
        <v>0</v>
      </c>
      <c r="F26" s="3028"/>
      <c r="G26" s="3028"/>
      <c r="H26" s="1826" t="s">
        <v>1219</v>
      </c>
    </row>
    <row r="27" spans="1:9">
      <c r="A27" s="1410">
        <v>1</v>
      </c>
      <c r="B27" s="1411" t="s">
        <v>1007</v>
      </c>
      <c r="C27" s="1411">
        <f>C28+C29</f>
        <v>0</v>
      </c>
      <c r="D27" s="1411"/>
      <c r="E27" s="3029"/>
      <c r="F27" s="3029"/>
      <c r="G27" s="3029"/>
    </row>
    <row r="28" spans="1:9">
      <c r="A28" s="1412" t="s">
        <v>1008</v>
      </c>
      <c r="B28" s="1411" t="s">
        <v>1009</v>
      </c>
      <c r="C28" s="1411"/>
      <c r="D28" s="1411"/>
      <c r="E28" s="3029"/>
      <c r="F28" s="3029"/>
      <c r="G28" s="3029"/>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30"/>
      <c r="F32" s="3030"/>
      <c r="G32" s="3030"/>
    </row>
    <row r="33" spans="1:7" hidden="1">
      <c r="A33" s="3025" t="s">
        <v>1018</v>
      </c>
      <c r="B33" s="3026"/>
      <c r="C33" s="3026"/>
      <c r="D33" s="3027"/>
      <c r="E33" s="3028"/>
      <c r="F33" s="3028"/>
      <c r="G33" s="3028"/>
    </row>
    <row r="34" spans="1:7" hidden="1">
      <c r="A34" s="1414">
        <v>1</v>
      </c>
      <c r="B34" s="1411" t="s">
        <v>1019</v>
      </c>
      <c r="C34" s="1411"/>
      <c r="D34" s="1411"/>
      <c r="E34" s="3029"/>
      <c r="F34" s="3029"/>
      <c r="G34" s="3029"/>
    </row>
    <row r="35" spans="1:7" hidden="1">
      <c r="A35" s="1414">
        <v>2</v>
      </c>
      <c r="B35" s="1411" t="s">
        <v>1020</v>
      </c>
      <c r="C35" s="1411"/>
      <c r="D35" s="1411"/>
      <c r="E35" s="3029"/>
      <c r="F35" s="3029"/>
      <c r="G35" s="3029"/>
    </row>
    <row r="36" spans="1:7" hidden="1">
      <c r="A36" s="1414">
        <v>3</v>
      </c>
      <c r="B36" s="1411" t="s">
        <v>1021</v>
      </c>
      <c r="C36" s="1411"/>
      <c r="D36" s="1411"/>
      <c r="E36" s="3029"/>
      <c r="F36" s="3029"/>
      <c r="G36" s="3029"/>
    </row>
    <row r="37" spans="1:7" hidden="1">
      <c r="A37" s="1414">
        <v>4</v>
      </c>
      <c r="B37" s="1411" t="s">
        <v>1022</v>
      </c>
      <c r="C37" s="1411"/>
      <c r="D37" s="1411"/>
      <c r="E37" s="3029"/>
      <c r="F37" s="3029"/>
      <c r="G37" s="3029"/>
    </row>
    <row r="38" spans="1:7" hidden="1">
      <c r="A38" s="3025" t="s">
        <v>1023</v>
      </c>
      <c r="B38" s="3026"/>
      <c r="C38" s="3026"/>
      <c r="D38" s="3027"/>
      <c r="E38" s="3028"/>
      <c r="F38" s="3028"/>
      <c r="G38" s="30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I10" sqref="I1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2330</v>
      </c>
      <c r="B1" s="1731" t="s">
        <v>2331</v>
      </c>
      <c r="C1" s="1723" t="s">
        <v>2824</v>
      </c>
      <c r="D1" s="2380"/>
      <c r="E1" s="2381" t="s">
        <v>2825</v>
      </c>
      <c r="F1" s="1737" t="s">
        <v>2332</v>
      </c>
      <c r="G1" s="1736"/>
      <c r="H1" s="1736"/>
      <c r="I1" s="1736"/>
      <c r="J1" s="1736"/>
      <c r="K1" s="1738"/>
      <c r="L1" s="1730"/>
      <c r="M1" s="1731"/>
      <c r="N1" s="1731"/>
      <c r="O1" s="1731"/>
      <c r="P1" s="2382"/>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13548782</v>
      </c>
      <c r="C2" s="163" t="str">
        <f>'数据-取费表'!B3</f>
        <v>元</v>
      </c>
      <c r="D2" s="2383" t="s">
        <v>1253</v>
      </c>
      <c r="E2" s="1840" t="e">
        <f ca="1">SUMIF(INDIRECT("'"&amp;G2&amp;"'"&amp;"!A:A"),"承租人权益价值",INDIRECT("'"&amp;G2&amp;"'"&amp;"!c:c"))</f>
        <v>#REF!</v>
      </c>
      <c r="F2" s="2384" t="str">
        <f>C2</f>
        <v>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2001</v>
      </c>
      <c r="B3" s="378">
        <f>ROUND(IF(D2="——",C49,IF(C2="万元",B2*10000/D3,B2/D3)),0)</f>
        <v>30083</v>
      </c>
      <c r="C3" s="379" t="s">
        <v>2333</v>
      </c>
      <c r="D3" s="378">
        <f>IF(C1="仅计算典型户型",'数据-取费表'!E5,'数据-取费表'!B5)</f>
        <v>450.38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5"/>
    </row>
    <row r="4" spans="1:29" ht="15">
      <c r="A4" s="380" t="s">
        <v>2334</v>
      </c>
      <c r="B4" s="381"/>
      <c r="C4" s="3002" t="s">
        <v>2335</v>
      </c>
      <c r="D4" s="3003"/>
      <c r="E4" s="3004" t="s">
        <v>2336</v>
      </c>
      <c r="F4" s="3005"/>
      <c r="G4" s="3002" t="s">
        <v>2337</v>
      </c>
      <c r="H4" s="3003"/>
      <c r="I4" s="3002" t="s">
        <v>2338</v>
      </c>
      <c r="J4" s="3003"/>
      <c r="K4" s="23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2999" t="s">
        <v>2337</v>
      </c>
      <c r="AC4" s="2999" t="s">
        <v>2338</v>
      </c>
    </row>
    <row r="5" spans="1:29" ht="15">
      <c r="A5" s="383"/>
      <c r="B5" s="384"/>
      <c r="C5" s="3015" t="s">
        <v>2341</v>
      </c>
      <c r="D5" s="3016"/>
      <c r="E5" s="3013" t="s">
        <v>2827</v>
      </c>
      <c r="F5" s="3014"/>
      <c r="G5" s="3015" t="str">
        <f>E5</f>
        <v>云秀花园</v>
      </c>
      <c r="H5" s="3016"/>
      <c r="I5" s="3015" t="str">
        <f>E5</f>
        <v>云秀花园</v>
      </c>
      <c r="J5" s="3016"/>
      <c r="K5" s="2395"/>
      <c r="L5" s="1241"/>
      <c r="M5" s="1242"/>
      <c r="N5" s="1242"/>
      <c r="O5" s="1242"/>
      <c r="P5" s="3008"/>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2395" t="s">
        <v>2346</v>
      </c>
      <c r="L6" s="1241"/>
      <c r="M6" s="1242"/>
      <c r="N6" s="1242"/>
      <c r="O6" s="1242"/>
      <c r="P6" s="3010"/>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391">
        <v>43225</v>
      </c>
      <c r="F7" s="392">
        <f>SUMIF(58:58,YEAR(E7)&amp;"-"&amp;MONTH(E7),59:59)</f>
        <v>100</v>
      </c>
      <c r="G7" s="391">
        <v>43238</v>
      </c>
      <c r="H7" s="390">
        <f>SUMIF(58:58,YEAR(G7)&amp;"-"&amp;MONTH(G7),59:59)</f>
        <v>100</v>
      </c>
      <c r="I7" s="391">
        <v>43229</v>
      </c>
      <c r="J7" s="390">
        <f>SUMIF(58:58,YEAR(I7)&amp;"-"&amp;MONTH(I7),59:59)</f>
        <v>100</v>
      </c>
      <c r="K7" s="2396"/>
      <c r="L7" s="1243"/>
      <c r="M7" s="1244"/>
      <c r="N7" s="1244"/>
      <c r="O7" s="1244"/>
      <c r="P7" s="2986" t="s">
        <v>2348</v>
      </c>
      <c r="Q7" s="2994"/>
      <c r="R7" s="748" t="s">
        <v>34</v>
      </c>
      <c r="S7" s="749">
        <f t="shared" ref="S7:S15" si="0">F7</f>
        <v>100</v>
      </c>
      <c r="T7" s="748" t="s">
        <v>34</v>
      </c>
      <c r="U7" s="749">
        <f t="shared" ref="U7:U15" si="1">H7</f>
        <v>100</v>
      </c>
      <c r="V7" s="748" t="s">
        <v>34</v>
      </c>
      <c r="W7" s="749">
        <f t="shared" ref="W7:W15" si="2">J7</f>
        <v>100</v>
      </c>
      <c r="X7" s="750"/>
      <c r="Y7" s="2986" t="s">
        <v>2348</v>
      </c>
      <c r="Z7" s="2987"/>
      <c r="AA7" s="751">
        <f>D7/F7</f>
        <v>1</v>
      </c>
      <c r="AB7" s="751">
        <f>D7/H7</f>
        <v>1</v>
      </c>
      <c r="AC7" s="751">
        <f>D7/J7</f>
        <v>1</v>
      </c>
    </row>
    <row r="8" spans="1:29" s="35" customFormat="1" ht="15.75" thickBot="1">
      <c r="A8" s="387" t="s">
        <v>2349</v>
      </c>
      <c r="B8" s="388"/>
      <c r="C8" s="394" t="s">
        <v>2350</v>
      </c>
      <c r="D8" s="390">
        <v>100</v>
      </c>
      <c r="E8" s="2397" t="s">
        <v>2826</v>
      </c>
      <c r="F8" s="392">
        <f>SUMIF(61:61,E8,62:62)-SUMIF(61:61,C8,62:62)+100</f>
        <v>100</v>
      </c>
      <c r="G8" s="394" t="s">
        <v>2826</v>
      </c>
      <c r="H8" s="390">
        <f>SUMIF(61:61,G8,62:62)-SUMIF(61:61,C8,62:62)+100</f>
        <v>100</v>
      </c>
      <c r="I8" s="2397" t="s">
        <v>2826</v>
      </c>
      <c r="J8" s="390">
        <f>SUMIF(61:61,I8,62:62)-SUMIF(61:61,C8,62:62)+100</f>
        <v>100</v>
      </c>
      <c r="K8" s="2396"/>
      <c r="L8" s="1243"/>
      <c r="M8" s="1244"/>
      <c r="N8" s="1244"/>
      <c r="O8" s="1244"/>
      <c r="P8" s="2986" t="s">
        <v>2351</v>
      </c>
      <c r="Q8" s="2987"/>
      <c r="R8" s="748" t="s">
        <v>34</v>
      </c>
      <c r="S8" s="749">
        <f t="shared" si="0"/>
        <v>100</v>
      </c>
      <c r="T8" s="748" t="s">
        <v>34</v>
      </c>
      <c r="U8" s="749">
        <f t="shared" si="1"/>
        <v>100</v>
      </c>
      <c r="V8" s="748" t="s">
        <v>34</v>
      </c>
      <c r="W8" s="749">
        <f t="shared" si="2"/>
        <v>100</v>
      </c>
      <c r="X8" s="750"/>
      <c r="Y8" s="2986" t="s">
        <v>2351</v>
      </c>
      <c r="Z8" s="2987"/>
      <c r="AA8" s="751">
        <f t="shared" ref="AA8:AA46" si="3">D8/F8</f>
        <v>1</v>
      </c>
      <c r="AB8" s="751">
        <f t="shared" ref="AB8:AB46" si="4">D8/H8</f>
        <v>1</v>
      </c>
      <c r="AC8" s="751">
        <f t="shared" ref="AC8:AC46" si="5">D8/J8</f>
        <v>1</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6"/>
      <c r="L9" s="1243"/>
      <c r="M9" s="1244"/>
      <c r="N9" s="1244"/>
      <c r="O9" s="1244"/>
      <c r="P9" s="3022"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22"/>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22"/>
      <c r="Q11" s="1884" t="str">
        <f t="shared" si="6"/>
        <v>容积率</v>
      </c>
      <c r="R11" s="748" t="s">
        <v>28</v>
      </c>
      <c r="S11" s="749">
        <f t="shared" si="0"/>
        <v>100</v>
      </c>
      <c r="T11" s="748" t="s">
        <v>28</v>
      </c>
      <c r="U11" s="749">
        <f t="shared" si="1"/>
        <v>100</v>
      </c>
      <c r="V11" s="748" t="s">
        <v>28</v>
      </c>
      <c r="W11" s="749">
        <f t="shared" si="2"/>
        <v>100</v>
      </c>
      <c r="X11" s="750"/>
      <c r="Y11" s="2837"/>
      <c r="Z11" s="23" t="str">
        <f t="shared" si="7"/>
        <v>容积率</v>
      </c>
      <c r="AA11" s="751">
        <f t="shared" si="3"/>
        <v>1</v>
      </c>
      <c r="AB11" s="751">
        <f t="shared" si="4"/>
        <v>1</v>
      </c>
      <c r="AC11" s="751">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22"/>
      <c r="Q12" s="1884">
        <f t="shared" si="6"/>
        <v>111</v>
      </c>
      <c r="R12" s="748" t="s">
        <v>28</v>
      </c>
      <c r="S12" s="749">
        <f t="shared" si="0"/>
        <v>100</v>
      </c>
      <c r="T12" s="748" t="s">
        <v>28</v>
      </c>
      <c r="U12" s="749">
        <f t="shared" si="1"/>
        <v>100</v>
      </c>
      <c r="V12" s="748" t="s">
        <v>28</v>
      </c>
      <c r="W12" s="749">
        <f t="shared" si="2"/>
        <v>100</v>
      </c>
      <c r="X12" s="750"/>
      <c r="Y12" s="2837"/>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22"/>
      <c r="Q13" s="1884">
        <f t="shared" si="6"/>
        <v>111</v>
      </c>
      <c r="R13" s="748" t="s">
        <v>28</v>
      </c>
      <c r="S13" s="749">
        <f t="shared" si="0"/>
        <v>100</v>
      </c>
      <c r="T13" s="748" t="s">
        <v>28</v>
      </c>
      <c r="U13" s="749">
        <f t="shared" si="1"/>
        <v>100</v>
      </c>
      <c r="V13" s="748" t="s">
        <v>28</v>
      </c>
      <c r="W13" s="749">
        <f t="shared" si="2"/>
        <v>100</v>
      </c>
      <c r="X13" s="750"/>
      <c r="Y13" s="2837"/>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22"/>
      <c r="Q14" s="1884">
        <f t="shared" si="6"/>
        <v>111</v>
      </c>
      <c r="R14" s="748" t="s">
        <v>28</v>
      </c>
      <c r="S14" s="749">
        <f t="shared" si="0"/>
        <v>100</v>
      </c>
      <c r="T14" s="748" t="s">
        <v>28</v>
      </c>
      <c r="U14" s="749">
        <f t="shared" si="1"/>
        <v>100</v>
      </c>
      <c r="V14" s="748" t="s">
        <v>28</v>
      </c>
      <c r="W14" s="749">
        <f t="shared" si="2"/>
        <v>100</v>
      </c>
      <c r="X14" s="750"/>
      <c r="Y14" s="2837"/>
      <c r="Z14" s="23">
        <f t="shared" si="7"/>
        <v>111</v>
      </c>
      <c r="AA14" s="751">
        <f t="shared" si="3"/>
        <v>1</v>
      </c>
      <c r="AB14" s="751">
        <f t="shared" si="4"/>
        <v>1</v>
      </c>
      <c r="AC14" s="751">
        <f t="shared" si="5"/>
        <v>1</v>
      </c>
    </row>
    <row r="15" spans="1:29" ht="99.75">
      <c r="A15" s="419" t="s">
        <v>2358</v>
      </c>
      <c r="B15" s="26" t="s">
        <v>1730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95" t="s">
        <v>2359</v>
      </c>
      <c r="Q15" s="1896" t="str">
        <f t="shared" si="6"/>
        <v>居住社区成熟度</v>
      </c>
      <c r="R15" s="752" t="s">
        <v>28</v>
      </c>
      <c r="S15" s="753">
        <f t="shared" si="0"/>
        <v>100</v>
      </c>
      <c r="T15" s="752" t="s">
        <v>28</v>
      </c>
      <c r="U15" s="753">
        <f t="shared" si="1"/>
        <v>100</v>
      </c>
      <c r="V15" s="752" t="s">
        <v>28</v>
      </c>
      <c r="W15" s="753">
        <f t="shared" si="2"/>
        <v>100</v>
      </c>
      <c r="X15" s="1897"/>
      <c r="Y15" s="2997" t="s">
        <v>2359</v>
      </c>
      <c r="Z15" s="1899" t="str">
        <f t="shared" si="7"/>
        <v>居住社区成熟度</v>
      </c>
      <c r="AA15" s="1900">
        <f t="shared" si="3"/>
        <v>1</v>
      </c>
      <c r="AB15" s="1900">
        <f t="shared" si="4"/>
        <v>1</v>
      </c>
      <c r="AC15" s="1900">
        <f t="shared" si="5"/>
        <v>1</v>
      </c>
    </row>
    <row r="16" spans="1:29" ht="15">
      <c r="A16" s="408"/>
      <c r="B16" s="425"/>
      <c r="C16" s="426"/>
      <c r="D16" s="427"/>
      <c r="E16" s="428"/>
      <c r="F16" s="429"/>
      <c r="G16" s="2403"/>
      <c r="H16" s="430"/>
      <c r="I16" s="428"/>
      <c r="J16" s="427"/>
      <c r="K16" s="2404"/>
      <c r="L16" s="1251"/>
      <c r="M16" s="1242"/>
      <c r="N16" s="1242"/>
      <c r="O16" s="1242"/>
      <c r="P16" s="2996"/>
      <c r="Q16" s="1896"/>
      <c r="R16" s="752"/>
      <c r="S16" s="753"/>
      <c r="T16" s="752"/>
      <c r="U16" s="753"/>
      <c r="V16" s="752"/>
      <c r="W16" s="753"/>
      <c r="X16" s="1897"/>
      <c r="Y16" s="2998"/>
      <c r="Z16" s="1899"/>
      <c r="AA16" s="1900">
        <v>1</v>
      </c>
      <c r="AB16" s="1900">
        <v>1</v>
      </c>
      <c r="AC16" s="1900">
        <v>1</v>
      </c>
    </row>
    <row r="17" spans="1:29" ht="85.5">
      <c r="A17" s="408"/>
      <c r="B17" s="431" t="s">
        <v>1742</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96"/>
      <c r="Q17" s="1896" t="str">
        <f>B17</f>
        <v>交通便捷度</v>
      </c>
      <c r="R17" s="752" t="s">
        <v>28</v>
      </c>
      <c r="S17" s="753">
        <f>F17</f>
        <v>100</v>
      </c>
      <c r="T17" s="752" t="s">
        <v>28</v>
      </c>
      <c r="U17" s="753">
        <f>H17</f>
        <v>100</v>
      </c>
      <c r="V17" s="752" t="s">
        <v>28</v>
      </c>
      <c r="W17" s="753">
        <f>J17</f>
        <v>100</v>
      </c>
      <c r="X17" s="1897"/>
      <c r="Y17" s="2998"/>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2404"/>
      <c r="L18" s="1251"/>
      <c r="M18" s="1242"/>
      <c r="N18" s="1242"/>
      <c r="O18" s="1242"/>
      <c r="P18" s="2996"/>
      <c r="Q18" s="1896"/>
      <c r="R18" s="752"/>
      <c r="S18" s="753"/>
      <c r="T18" s="752"/>
      <c r="U18" s="753"/>
      <c r="V18" s="752"/>
      <c r="W18" s="753"/>
      <c r="X18" s="1897"/>
      <c r="Y18" s="2998"/>
      <c r="Z18" s="1899"/>
      <c r="AA18" s="1900">
        <v>1</v>
      </c>
      <c r="AB18" s="1900">
        <v>1</v>
      </c>
      <c r="AC18" s="1900">
        <v>1</v>
      </c>
    </row>
    <row r="19" spans="1:29" ht="42.75">
      <c r="A19" s="408"/>
      <c r="B19" s="431" t="s">
        <v>1740</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96"/>
      <c r="Q19" s="1896" t="str">
        <f>B19</f>
        <v>公共配套设施</v>
      </c>
      <c r="R19" s="752" t="s">
        <v>28</v>
      </c>
      <c r="S19" s="753">
        <f>F19</f>
        <v>100</v>
      </c>
      <c r="T19" s="752" t="s">
        <v>28</v>
      </c>
      <c r="U19" s="753">
        <f>H19</f>
        <v>100</v>
      </c>
      <c r="V19" s="752" t="s">
        <v>28</v>
      </c>
      <c r="W19" s="753">
        <f>J19</f>
        <v>100</v>
      </c>
      <c r="X19" s="1897"/>
      <c r="Y19" s="2998"/>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2404"/>
      <c r="L20" s="1251"/>
      <c r="M20" s="1242"/>
      <c r="N20" s="1242"/>
      <c r="O20" s="1242"/>
      <c r="P20" s="2996"/>
      <c r="Q20" s="1896"/>
      <c r="R20" s="752"/>
      <c r="S20" s="753"/>
      <c r="T20" s="752"/>
      <c r="U20" s="753"/>
      <c r="V20" s="752"/>
      <c r="W20" s="753"/>
      <c r="X20" s="1897"/>
      <c r="Y20" s="2998"/>
      <c r="Z20" s="1899"/>
      <c r="AA20" s="1900">
        <v>1</v>
      </c>
      <c r="AB20" s="1900">
        <v>1</v>
      </c>
      <c r="AC20" s="1900">
        <v>1</v>
      </c>
    </row>
    <row r="21" spans="1:29" ht="28.5">
      <c r="A21" s="408"/>
      <c r="B21" s="2407" t="s">
        <v>1743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96"/>
      <c r="Q21" s="1896" t="str">
        <f>B21</f>
        <v>基础设施水平</v>
      </c>
      <c r="R21" s="752" t="s">
        <v>28</v>
      </c>
      <c r="S21" s="753">
        <f>F21</f>
        <v>100</v>
      </c>
      <c r="T21" s="752" t="s">
        <v>28</v>
      </c>
      <c r="U21" s="753">
        <f>H21</f>
        <v>100</v>
      </c>
      <c r="V21" s="752" t="s">
        <v>28</v>
      </c>
      <c r="W21" s="753">
        <f>J21</f>
        <v>100</v>
      </c>
      <c r="X21" s="1897"/>
      <c r="Y21" s="2998"/>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2408"/>
      <c r="L22" s="1251"/>
      <c r="M22" s="1242"/>
      <c r="N22" s="1242"/>
      <c r="O22" s="1242"/>
      <c r="P22" s="2996"/>
      <c r="Q22" s="1896"/>
      <c r="R22" s="752"/>
      <c r="S22" s="753"/>
      <c r="T22" s="752"/>
      <c r="U22" s="753"/>
      <c r="V22" s="752"/>
      <c r="W22" s="753"/>
      <c r="X22" s="1897"/>
      <c r="Y22" s="2998"/>
      <c r="Z22" s="1899"/>
      <c r="AA22" s="1900">
        <v>1</v>
      </c>
      <c r="AB22" s="1900">
        <v>1</v>
      </c>
      <c r="AC22" s="1900">
        <v>1</v>
      </c>
    </row>
    <row r="23" spans="1:29" ht="57">
      <c r="A23" s="408"/>
      <c r="B23" s="431" t="s">
        <v>1747</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96"/>
      <c r="Q23" s="1896" t="str">
        <f>B23</f>
        <v>自然及人文环境</v>
      </c>
      <c r="R23" s="752" t="s">
        <v>28</v>
      </c>
      <c r="S23" s="753">
        <f>F23</f>
        <v>100</v>
      </c>
      <c r="T23" s="752" t="s">
        <v>28</v>
      </c>
      <c r="U23" s="753">
        <f>H23</f>
        <v>100</v>
      </c>
      <c r="V23" s="752" t="s">
        <v>28</v>
      </c>
      <c r="W23" s="753">
        <f>J23</f>
        <v>100</v>
      </c>
      <c r="X23" s="1897"/>
      <c r="Y23" s="2998"/>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2404"/>
      <c r="L24" s="1251"/>
      <c r="M24" s="1242"/>
      <c r="N24" s="1242"/>
      <c r="O24" s="1242"/>
      <c r="P24" s="2996"/>
      <c r="Q24" s="1896"/>
      <c r="R24" s="752"/>
      <c r="S24" s="753"/>
      <c r="T24" s="752"/>
      <c r="U24" s="753"/>
      <c r="V24" s="752"/>
      <c r="W24" s="753"/>
      <c r="X24" s="1897"/>
      <c r="Y24" s="2998"/>
      <c r="Z24" s="1899"/>
      <c r="AA24" s="1900">
        <v>1</v>
      </c>
      <c r="AB24" s="1900">
        <v>1</v>
      </c>
      <c r="AC24" s="1900">
        <v>1</v>
      </c>
    </row>
    <row r="25" spans="1:29" ht="15">
      <c r="A25" s="408"/>
      <c r="B25" s="402" t="s">
        <v>2360</v>
      </c>
      <c r="C25" s="441"/>
      <c r="D25" s="415">
        <v>100</v>
      </c>
      <c r="E25" s="2409"/>
      <c r="F25" s="442">
        <f>SUMIF(86:86,E25,87:87)-SUMIF(86:86,C25,87:87)+100</f>
        <v>100</v>
      </c>
      <c r="G25" s="2410"/>
      <c r="H25" s="415">
        <f>SUMIF(86:86,G25,87:87)-SUMIF(86:86,C25,87:87)+100</f>
        <v>100</v>
      </c>
      <c r="I25" s="2409"/>
      <c r="J25" s="415">
        <f>SUMIF(86:86,I25,87:87)-SUMIF(86:86,C25,87:87)+100</f>
        <v>100</v>
      </c>
      <c r="K25" s="406"/>
      <c r="L25" s="1251"/>
      <c r="M25" s="1242"/>
      <c r="N25" s="1242"/>
      <c r="O25" s="1242"/>
      <c r="P25" s="2996"/>
      <c r="Q25" s="1896" t="str">
        <f t="shared" ref="Q25:Q46" si="11">B25</f>
        <v>楼层-1</v>
      </c>
      <c r="R25" s="752" t="s">
        <v>28</v>
      </c>
      <c r="S25" s="753">
        <f>F25</f>
        <v>100</v>
      </c>
      <c r="T25" s="752" t="s">
        <v>28</v>
      </c>
      <c r="U25" s="753">
        <f>H25</f>
        <v>100</v>
      </c>
      <c r="V25" s="752" t="s">
        <v>28</v>
      </c>
      <c r="W25" s="753">
        <f>J25</f>
        <v>100</v>
      </c>
      <c r="X25" s="1897"/>
      <c r="Y25" s="2998"/>
      <c r="Z25" s="1899" t="str">
        <f>Q25</f>
        <v>楼层-1</v>
      </c>
      <c r="AA25" s="1900">
        <f t="shared" si="3"/>
        <v>1</v>
      </c>
      <c r="AB25" s="1900">
        <f t="shared" si="4"/>
        <v>1</v>
      </c>
      <c r="AC25" s="1900">
        <f t="shared" si="5"/>
        <v>1</v>
      </c>
    </row>
    <row r="26" spans="1:29" ht="15">
      <c r="A26" s="408"/>
      <c r="B26" s="402" t="s">
        <v>2361</v>
      </c>
      <c r="C26" s="441"/>
      <c r="D26" s="415">
        <v>100</v>
      </c>
      <c r="E26" s="2409"/>
      <c r="F26" s="442">
        <f>SUMIF(88:88,E26,89:89)-SUMIF(88:88,C26,89:89)+100</f>
        <v>100</v>
      </c>
      <c r="G26" s="2410"/>
      <c r="H26" s="415">
        <f>SUMIF(88:88,G26,89:89)-SUMIF(88:88,C26,89:89)+100</f>
        <v>100</v>
      </c>
      <c r="I26" s="2409"/>
      <c r="J26" s="415">
        <f>SUMIF(88:88,I26,89:89)-SUMIF(88:88,C26,89:89)+100</f>
        <v>100</v>
      </c>
      <c r="K26" s="406"/>
      <c r="L26" s="1251"/>
      <c r="M26" s="1242"/>
      <c r="N26" s="1242"/>
      <c r="O26" s="1242"/>
      <c r="P26" s="2996"/>
      <c r="Q26" s="1896" t="str">
        <f t="shared" si="11"/>
        <v>朝向</v>
      </c>
      <c r="R26" s="752" t="s">
        <v>28</v>
      </c>
      <c r="S26" s="753">
        <f>F26</f>
        <v>100</v>
      </c>
      <c r="T26" s="752" t="s">
        <v>28</v>
      </c>
      <c r="U26" s="753">
        <f>H26</f>
        <v>100</v>
      </c>
      <c r="V26" s="752" t="s">
        <v>28</v>
      </c>
      <c r="W26" s="753">
        <f>J26</f>
        <v>100</v>
      </c>
      <c r="X26" s="1897"/>
      <c r="Y26" s="2998"/>
      <c r="Z26" s="1899" t="str">
        <f>Q26</f>
        <v>朝向</v>
      </c>
      <c r="AA26" s="1900">
        <f t="shared" si="3"/>
        <v>1</v>
      </c>
      <c r="AB26" s="1900">
        <f t="shared" si="4"/>
        <v>1</v>
      </c>
      <c r="AC26" s="1900">
        <f t="shared" si="5"/>
        <v>1</v>
      </c>
    </row>
    <row r="27" spans="1:29" s="35" customFormat="1" ht="15">
      <c r="A27" s="411"/>
      <c r="B27" s="2398" t="s">
        <v>2362</v>
      </c>
      <c r="C27" s="412"/>
      <c r="D27" s="443">
        <v>100</v>
      </c>
      <c r="E27" s="444"/>
      <c r="F27" s="445">
        <f>SUMIF(90:90,E27,91:91)-SUMIF(90:90,C27,91:91)+100</f>
        <v>100</v>
      </c>
      <c r="G27" s="446"/>
      <c r="H27" s="443">
        <f>SUMIF(90:90,G27,91:91)-SUMIF(90:90,C27,91:91)+100</f>
        <v>100</v>
      </c>
      <c r="I27" s="444"/>
      <c r="J27" s="443">
        <f>SUMIF(90:90,I27,91:91)-SUMIF(90:90,C27,91:91)+100</f>
        <v>100</v>
      </c>
      <c r="K27" s="2399"/>
      <c r="L27" s="1243"/>
      <c r="M27" s="1244"/>
      <c r="N27" s="1244"/>
      <c r="O27" s="1244"/>
      <c r="P27" s="2996"/>
      <c r="Q27" s="1884" t="str">
        <f t="shared" si="11"/>
        <v>道路级别</v>
      </c>
      <c r="R27" s="748" t="s">
        <v>28</v>
      </c>
      <c r="S27" s="749">
        <f>F27</f>
        <v>100</v>
      </c>
      <c r="T27" s="748" t="s">
        <v>28</v>
      </c>
      <c r="U27" s="749">
        <f>H27</f>
        <v>100</v>
      </c>
      <c r="V27" s="748" t="s">
        <v>28</v>
      </c>
      <c r="W27" s="749">
        <f>J27</f>
        <v>100</v>
      </c>
      <c r="X27" s="750"/>
      <c r="Y27" s="2998"/>
      <c r="Z27" s="23" t="str">
        <f>Q27</f>
        <v>道路级别</v>
      </c>
      <c r="AA27" s="1900">
        <f>D27/F27</f>
        <v>1</v>
      </c>
      <c r="AB27" s="1900">
        <f>D27/H27</f>
        <v>1</v>
      </c>
      <c r="AC27" s="1900">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1"/>
      <c r="M28" s="1242"/>
      <c r="N28" s="1242"/>
      <c r="O28" s="1242"/>
      <c r="P28" s="2996"/>
      <c r="Q28" s="1896">
        <f t="shared" si="11"/>
        <v>111</v>
      </c>
      <c r="R28" s="752" t="s">
        <v>28</v>
      </c>
      <c r="S28" s="753">
        <f t="shared" ref="S28:S46" si="12">F28</f>
        <v>100</v>
      </c>
      <c r="T28" s="752" t="s">
        <v>28</v>
      </c>
      <c r="U28" s="753">
        <f t="shared" ref="U28:U46" si="13">H28</f>
        <v>100</v>
      </c>
      <c r="V28" s="752" t="s">
        <v>28</v>
      </c>
      <c r="W28" s="753">
        <f t="shared" ref="W28:W46" si="14">J28</f>
        <v>100</v>
      </c>
      <c r="X28" s="1897"/>
      <c r="Y28" s="2998"/>
      <c r="Z28" s="1899">
        <f t="shared" ref="Z28:Z46" si="15">Q28</f>
        <v>111</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1"/>
      <c r="M29" s="1242"/>
      <c r="N29" s="1242"/>
      <c r="O29" s="1242"/>
      <c r="P29" s="2996"/>
      <c r="Q29" s="1896">
        <f t="shared" si="11"/>
        <v>111</v>
      </c>
      <c r="R29" s="752" t="s">
        <v>28</v>
      </c>
      <c r="S29" s="753">
        <f t="shared" si="12"/>
        <v>100</v>
      </c>
      <c r="T29" s="752" t="s">
        <v>28</v>
      </c>
      <c r="U29" s="753">
        <f t="shared" si="13"/>
        <v>100</v>
      </c>
      <c r="V29" s="752" t="s">
        <v>28</v>
      </c>
      <c r="W29" s="753">
        <f t="shared" si="14"/>
        <v>100</v>
      </c>
      <c r="X29" s="1897"/>
      <c r="Y29" s="2998"/>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2996"/>
      <c r="Q30" s="1896">
        <f t="shared" si="11"/>
        <v>111</v>
      </c>
      <c r="R30" s="752" t="s">
        <v>28</v>
      </c>
      <c r="S30" s="753">
        <f t="shared" si="12"/>
        <v>100</v>
      </c>
      <c r="T30" s="752" t="s">
        <v>28</v>
      </c>
      <c r="U30" s="753">
        <f t="shared" si="13"/>
        <v>100</v>
      </c>
      <c r="V30" s="752" t="s">
        <v>28</v>
      </c>
      <c r="W30" s="753">
        <f t="shared" si="14"/>
        <v>100</v>
      </c>
      <c r="X30" s="1897"/>
      <c r="Y30" s="2998"/>
      <c r="Z30" s="1899">
        <f t="shared" si="15"/>
        <v>111</v>
      </c>
      <c r="AA30" s="1900">
        <f t="shared" si="3"/>
        <v>1</v>
      </c>
      <c r="AB30" s="1900">
        <f t="shared" si="4"/>
        <v>1</v>
      </c>
      <c r="AC30" s="1900">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2996"/>
      <c r="Q31" s="1896">
        <f t="shared" si="11"/>
        <v>111</v>
      </c>
      <c r="R31" s="752" t="s">
        <v>28</v>
      </c>
      <c r="S31" s="753">
        <f t="shared" si="12"/>
        <v>100</v>
      </c>
      <c r="T31" s="752" t="s">
        <v>28</v>
      </c>
      <c r="U31" s="753">
        <f t="shared" si="13"/>
        <v>100</v>
      </c>
      <c r="V31" s="752" t="s">
        <v>28</v>
      </c>
      <c r="W31" s="753">
        <f t="shared" si="14"/>
        <v>100</v>
      </c>
      <c r="X31" s="1897"/>
      <c r="Y31" s="2998"/>
      <c r="Z31" s="1899">
        <f t="shared" si="15"/>
        <v>111</v>
      </c>
      <c r="AA31" s="1900">
        <f t="shared" si="3"/>
        <v>1</v>
      </c>
      <c r="AB31" s="1900">
        <f t="shared" si="4"/>
        <v>1</v>
      </c>
      <c r="AC31" s="1900">
        <f t="shared" si="5"/>
        <v>1</v>
      </c>
    </row>
    <row r="32" spans="1:29" ht="15">
      <c r="A32" s="419" t="s">
        <v>2363</v>
      </c>
      <c r="B32" s="28" t="s">
        <v>2364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1"/>
      <c r="M32" s="1242"/>
      <c r="N32" s="1242"/>
      <c r="O32" s="1242"/>
      <c r="P32" s="2981" t="s">
        <v>2365</v>
      </c>
      <c r="Q32" s="1896" t="str">
        <f t="shared" si="11"/>
        <v>建筑类型</v>
      </c>
      <c r="R32" s="752" t="s">
        <v>28</v>
      </c>
      <c r="S32" s="753">
        <f t="shared" si="12"/>
        <v>100</v>
      </c>
      <c r="T32" s="752" t="s">
        <v>28</v>
      </c>
      <c r="U32" s="753">
        <f t="shared" si="13"/>
        <v>100</v>
      </c>
      <c r="V32" s="752" t="s">
        <v>28</v>
      </c>
      <c r="W32" s="753">
        <f t="shared" si="14"/>
        <v>100</v>
      </c>
      <c r="X32" s="1897"/>
      <c r="Y32" s="2984" t="s">
        <v>2365</v>
      </c>
      <c r="Z32" s="1899" t="str">
        <f t="shared" si="15"/>
        <v>建筑类型</v>
      </c>
      <c r="AA32" s="1900">
        <f t="shared" si="3"/>
        <v>1</v>
      </c>
      <c r="AB32" s="1900">
        <f t="shared" si="4"/>
        <v>1</v>
      </c>
      <c r="AC32" s="1900">
        <f t="shared" si="5"/>
        <v>1</v>
      </c>
    </row>
    <row r="33" spans="1:29" s="452" customFormat="1" ht="15">
      <c r="A33" s="449"/>
      <c r="B33" s="402" t="s">
        <v>2366</v>
      </c>
      <c r="C33" s="450">
        <f>'数据-取费表'!E5</f>
        <v>450.38</v>
      </c>
      <c r="D33" s="52">
        <v>100</v>
      </c>
      <c r="E33" s="410">
        <v>220</v>
      </c>
      <c r="F33" s="405">
        <f>LOOKUP(E33,103:103,104:104)-LOOKUP(C33,103:103,104:104)+100</f>
        <v>104</v>
      </c>
      <c r="G33" s="409">
        <v>240</v>
      </c>
      <c r="H33" s="52">
        <f>LOOKUP(G33,103:103,104:104)-LOOKUP(C33,103:103,104:104)+100</f>
        <v>104</v>
      </c>
      <c r="I33" s="410">
        <v>220</v>
      </c>
      <c r="J33" s="52">
        <f>LOOKUP(I33,103:103,104:104)-LOOKUP(C33,103:103,104:104)+100</f>
        <v>104</v>
      </c>
      <c r="K33" s="2399"/>
      <c r="L33" s="1249"/>
      <c r="M33" s="1252"/>
      <c r="N33" s="1252"/>
      <c r="O33" s="1252"/>
      <c r="P33" s="2982"/>
      <c r="Q33" s="754" t="str">
        <f t="shared" si="11"/>
        <v>项目建筑规模</v>
      </c>
      <c r="R33" s="755" t="s">
        <v>28</v>
      </c>
      <c r="S33" s="756">
        <f t="shared" si="12"/>
        <v>104</v>
      </c>
      <c r="T33" s="755" t="s">
        <v>28</v>
      </c>
      <c r="U33" s="756">
        <f t="shared" si="13"/>
        <v>104</v>
      </c>
      <c r="V33" s="755" t="s">
        <v>28</v>
      </c>
      <c r="W33" s="756">
        <f t="shared" si="14"/>
        <v>104</v>
      </c>
      <c r="X33" s="757"/>
      <c r="Y33" s="2984"/>
      <c r="Z33" s="758" t="str">
        <f t="shared" si="15"/>
        <v>项目建筑规模</v>
      </c>
      <c r="AA33" s="1900">
        <f t="shared" si="3"/>
        <v>0.96153846153846156</v>
      </c>
      <c r="AB33" s="1900">
        <f t="shared" si="4"/>
        <v>0.96153846153846156</v>
      </c>
      <c r="AC33" s="1900">
        <f t="shared" si="5"/>
        <v>0.96153846153846156</v>
      </c>
    </row>
    <row r="34" spans="1:29" ht="15">
      <c r="A34" s="453"/>
      <c r="B34" s="402" t="s">
        <v>2367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1"/>
      <c r="M34" s="1242"/>
      <c r="N34" s="1242"/>
      <c r="O34" s="1242"/>
      <c r="P34" s="2982"/>
      <c r="Q34" s="1896" t="str">
        <f t="shared" si="11"/>
        <v>建筑结构</v>
      </c>
      <c r="R34" s="752" t="s">
        <v>28</v>
      </c>
      <c r="S34" s="753">
        <f t="shared" si="12"/>
        <v>100</v>
      </c>
      <c r="T34" s="752" t="s">
        <v>28</v>
      </c>
      <c r="U34" s="753">
        <f t="shared" si="13"/>
        <v>100</v>
      </c>
      <c r="V34" s="752" t="s">
        <v>28</v>
      </c>
      <c r="W34" s="753">
        <f t="shared" si="14"/>
        <v>100</v>
      </c>
      <c r="X34" s="1897"/>
      <c r="Y34" s="2984"/>
      <c r="Z34" s="1899" t="str">
        <f t="shared" si="15"/>
        <v>建筑结构</v>
      </c>
      <c r="AA34" s="1900">
        <f t="shared" si="3"/>
        <v>1</v>
      </c>
      <c r="AB34" s="1900">
        <f t="shared" si="4"/>
        <v>1</v>
      </c>
      <c r="AC34" s="1900">
        <f t="shared" si="5"/>
        <v>1</v>
      </c>
    </row>
    <row r="35" spans="1:29" ht="15">
      <c r="A35" s="453"/>
      <c r="B35" s="402" t="s">
        <v>2368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1"/>
      <c r="M35" s="1242"/>
      <c r="N35" s="1242"/>
      <c r="O35" s="1242"/>
      <c r="P35" s="2982"/>
      <c r="Q35" s="1896" t="str">
        <f t="shared" si="11"/>
        <v>建筑品质</v>
      </c>
      <c r="R35" s="752" t="s">
        <v>28</v>
      </c>
      <c r="S35" s="753">
        <f t="shared" si="12"/>
        <v>100</v>
      </c>
      <c r="T35" s="752" t="s">
        <v>28</v>
      </c>
      <c r="U35" s="753">
        <f t="shared" si="13"/>
        <v>100</v>
      </c>
      <c r="V35" s="752" t="s">
        <v>28</v>
      </c>
      <c r="W35" s="753">
        <f t="shared" si="14"/>
        <v>100</v>
      </c>
      <c r="X35" s="1897"/>
      <c r="Y35" s="2984"/>
      <c r="Z35" s="1899" t="str">
        <f t="shared" si="15"/>
        <v>建筑品质</v>
      </c>
      <c r="AA35" s="1900">
        <f t="shared" si="3"/>
        <v>1</v>
      </c>
      <c r="AB35" s="1900">
        <f t="shared" si="4"/>
        <v>1</v>
      </c>
      <c r="AC35" s="1900">
        <f t="shared" si="5"/>
        <v>1</v>
      </c>
    </row>
    <row r="36" spans="1:29" ht="15">
      <c r="A36" s="453"/>
      <c r="B36" s="402" t="s">
        <v>2369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1"/>
      <c r="M36" s="1242"/>
      <c r="N36" s="1242"/>
      <c r="O36" s="1242"/>
      <c r="P36" s="2982"/>
      <c r="Q36" s="1896" t="str">
        <f t="shared" si="11"/>
        <v>公共部分装修</v>
      </c>
      <c r="R36" s="752" t="s">
        <v>28</v>
      </c>
      <c r="S36" s="753">
        <f t="shared" si="12"/>
        <v>100</v>
      </c>
      <c r="T36" s="752" t="s">
        <v>28</v>
      </c>
      <c r="U36" s="753">
        <f t="shared" si="13"/>
        <v>100</v>
      </c>
      <c r="V36" s="752" t="s">
        <v>28</v>
      </c>
      <c r="W36" s="753">
        <f t="shared" si="14"/>
        <v>100</v>
      </c>
      <c r="X36" s="1897"/>
      <c r="Y36" s="2984"/>
      <c r="Z36" s="1899" t="str">
        <f t="shared" si="15"/>
        <v>公共部分装修</v>
      </c>
      <c r="AA36" s="1900">
        <f t="shared" si="3"/>
        <v>1</v>
      </c>
      <c r="AB36" s="1900">
        <f t="shared" si="4"/>
        <v>1</v>
      </c>
      <c r="AC36" s="1900">
        <f t="shared" si="5"/>
        <v>1</v>
      </c>
    </row>
    <row r="37" spans="1:29" s="35" customFormat="1" ht="15">
      <c r="A37" s="454"/>
      <c r="B37" s="402" t="s">
        <v>2370</v>
      </c>
      <c r="C37" s="455">
        <f>'数据-取费表'!E20</f>
        <v>0.87</v>
      </c>
      <c r="D37" s="52">
        <v>100</v>
      </c>
      <c r="E37" s="456">
        <f>C37</f>
        <v>0.87</v>
      </c>
      <c r="F37" s="405">
        <f>LOOKUP(E37,112:112,113:113)-LOOKUP(C37,112:112,113:113)+100</f>
        <v>100</v>
      </c>
      <c r="G37" s="457">
        <f>C37</f>
        <v>0.87</v>
      </c>
      <c r="H37" s="52">
        <f>LOOKUP(G37,112:112,113:113)-LOOKUP(C37,112:112,113:113)+100</f>
        <v>100</v>
      </c>
      <c r="I37" s="456">
        <f>C37</f>
        <v>0.87</v>
      </c>
      <c r="J37" s="52">
        <f>LOOKUP(I37,112:112,113:113)-LOOKUP(C37,112:112,113:113)+100</f>
        <v>100</v>
      </c>
      <c r="K37" s="406"/>
      <c r="L37" s="1243"/>
      <c r="M37" s="1244"/>
      <c r="N37" s="1244"/>
      <c r="O37" s="1244"/>
      <c r="P37" s="2982"/>
      <c r="Q37" s="1884" t="str">
        <f t="shared" si="11"/>
        <v>成新度</v>
      </c>
      <c r="R37" s="748" t="s">
        <v>28</v>
      </c>
      <c r="S37" s="749">
        <f t="shared" si="12"/>
        <v>100</v>
      </c>
      <c r="T37" s="748" t="s">
        <v>28</v>
      </c>
      <c r="U37" s="749">
        <f t="shared" si="13"/>
        <v>100</v>
      </c>
      <c r="V37" s="748" t="s">
        <v>28</v>
      </c>
      <c r="W37" s="749">
        <f t="shared" si="14"/>
        <v>100</v>
      </c>
      <c r="X37" s="750"/>
      <c r="Y37" s="2984"/>
      <c r="Z37" s="23" t="str">
        <f t="shared" si="15"/>
        <v>成新度</v>
      </c>
      <c r="AA37" s="751">
        <f t="shared" si="3"/>
        <v>1</v>
      </c>
      <c r="AB37" s="751">
        <f t="shared" si="4"/>
        <v>1</v>
      </c>
      <c r="AC37" s="751">
        <f t="shared" si="5"/>
        <v>1</v>
      </c>
    </row>
    <row r="38" spans="1:29" ht="15">
      <c r="A38" s="453"/>
      <c r="B38" s="402" t="s">
        <v>2371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1"/>
      <c r="M38" s="1242"/>
      <c r="N38" s="1242"/>
      <c r="O38" s="1242"/>
      <c r="P38" s="2982" t="s">
        <v>2365</v>
      </c>
      <c r="Q38" s="1896" t="str">
        <f t="shared" si="11"/>
        <v>物业管理</v>
      </c>
      <c r="R38" s="752" t="s">
        <v>28</v>
      </c>
      <c r="S38" s="753">
        <f t="shared" si="12"/>
        <v>100</v>
      </c>
      <c r="T38" s="752" t="s">
        <v>28</v>
      </c>
      <c r="U38" s="753">
        <f t="shared" si="13"/>
        <v>100</v>
      </c>
      <c r="V38" s="752" t="s">
        <v>28</v>
      </c>
      <c r="W38" s="753">
        <f t="shared" si="14"/>
        <v>100</v>
      </c>
      <c r="X38" s="1897"/>
      <c r="Y38" s="2984" t="s">
        <v>2365</v>
      </c>
      <c r="Z38" s="1899" t="str">
        <f t="shared" si="15"/>
        <v>物业管理</v>
      </c>
      <c r="AA38" s="1900">
        <f t="shared" si="3"/>
        <v>1</v>
      </c>
      <c r="AB38" s="1900">
        <f t="shared" si="4"/>
        <v>1</v>
      </c>
      <c r="AC38" s="1900">
        <f t="shared" si="5"/>
        <v>1</v>
      </c>
    </row>
    <row r="39" spans="1:29" ht="15">
      <c r="A39" s="453"/>
      <c r="B39" s="402" t="s">
        <v>2372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1"/>
      <c r="M39" s="1242"/>
      <c r="N39" s="1242"/>
      <c r="O39" s="1242"/>
      <c r="P39" s="2982"/>
      <c r="Q39" s="1896" t="str">
        <f t="shared" si="11"/>
        <v>市政基础设施</v>
      </c>
      <c r="R39" s="752" t="s">
        <v>28</v>
      </c>
      <c r="S39" s="753">
        <f t="shared" si="12"/>
        <v>100</v>
      </c>
      <c r="T39" s="752" t="s">
        <v>28</v>
      </c>
      <c r="U39" s="753">
        <f t="shared" si="13"/>
        <v>100</v>
      </c>
      <c r="V39" s="752" t="s">
        <v>28</v>
      </c>
      <c r="W39" s="753">
        <f t="shared" si="14"/>
        <v>100</v>
      </c>
      <c r="X39" s="1897"/>
      <c r="Y39" s="2984"/>
      <c r="Z39" s="1899" t="str">
        <f t="shared" si="15"/>
        <v>市政基础设施</v>
      </c>
      <c r="AA39" s="1900">
        <f t="shared" si="3"/>
        <v>1</v>
      </c>
      <c r="AB39" s="1900">
        <f t="shared" si="4"/>
        <v>1</v>
      </c>
      <c r="AC39" s="1900">
        <f t="shared" si="5"/>
        <v>1</v>
      </c>
    </row>
    <row r="40" spans="1:29" ht="15">
      <c r="A40" s="453"/>
      <c r="B40" s="402" t="s">
        <v>2373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1"/>
      <c r="M40" s="1242"/>
      <c r="N40" s="1242"/>
      <c r="O40" s="1242"/>
      <c r="P40" s="2982"/>
      <c r="Q40" s="1896" t="str">
        <f t="shared" si="11"/>
        <v>房型</v>
      </c>
      <c r="R40" s="752" t="s">
        <v>28</v>
      </c>
      <c r="S40" s="753">
        <f t="shared" si="12"/>
        <v>100</v>
      </c>
      <c r="T40" s="752" t="s">
        <v>28</v>
      </c>
      <c r="U40" s="753">
        <f t="shared" si="13"/>
        <v>100</v>
      </c>
      <c r="V40" s="752" t="s">
        <v>28</v>
      </c>
      <c r="W40" s="753">
        <f t="shared" si="14"/>
        <v>100</v>
      </c>
      <c r="X40" s="1897"/>
      <c r="Y40" s="2984"/>
      <c r="Z40" s="1899" t="str">
        <f t="shared" si="15"/>
        <v>房型</v>
      </c>
      <c r="AA40" s="1900">
        <f t="shared" si="3"/>
        <v>1</v>
      </c>
      <c r="AB40" s="1900">
        <f t="shared" si="4"/>
        <v>1</v>
      </c>
      <c r="AC40" s="1900">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2982"/>
      <c r="Q41" s="754" t="str">
        <f t="shared" si="11"/>
        <v>单套/主力户型建筑面积</v>
      </c>
      <c r="R41" s="755" t="s">
        <v>28</v>
      </c>
      <c r="S41" s="756">
        <f t="shared" si="12"/>
        <v>100</v>
      </c>
      <c r="T41" s="755" t="s">
        <v>28</v>
      </c>
      <c r="U41" s="756">
        <f t="shared" si="13"/>
        <v>100</v>
      </c>
      <c r="V41" s="755" t="s">
        <v>28</v>
      </c>
      <c r="W41" s="756">
        <f t="shared" si="14"/>
        <v>100</v>
      </c>
      <c r="X41" s="757"/>
      <c r="Y41" s="2984"/>
      <c r="Z41" s="758" t="str">
        <f t="shared" si="15"/>
        <v>单套/主力户型建筑面积</v>
      </c>
      <c r="AA41" s="1900">
        <f t="shared" si="3"/>
        <v>1</v>
      </c>
      <c r="AB41" s="1900">
        <f t="shared" si="4"/>
        <v>1</v>
      </c>
      <c r="AC41" s="1900">
        <f t="shared" si="5"/>
        <v>1</v>
      </c>
    </row>
    <row r="42" spans="1:29" ht="15">
      <c r="A42" s="453"/>
      <c r="B42" s="402" t="s">
        <v>2375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1"/>
      <c r="M42" s="1242"/>
      <c r="N42" s="1242"/>
      <c r="O42" s="1242"/>
      <c r="P42" s="2982"/>
      <c r="Q42" s="1896" t="str">
        <f t="shared" si="11"/>
        <v>内部装修</v>
      </c>
      <c r="R42" s="752" t="s">
        <v>28</v>
      </c>
      <c r="S42" s="753">
        <f t="shared" si="12"/>
        <v>100</v>
      </c>
      <c r="T42" s="752" t="s">
        <v>28</v>
      </c>
      <c r="U42" s="753">
        <f t="shared" si="13"/>
        <v>100</v>
      </c>
      <c r="V42" s="752" t="s">
        <v>28</v>
      </c>
      <c r="W42" s="753">
        <f t="shared" si="14"/>
        <v>100</v>
      </c>
      <c r="X42" s="1897"/>
      <c r="Y42" s="2984"/>
      <c r="Z42" s="1899" t="str">
        <f t="shared" si="15"/>
        <v>内部装修</v>
      </c>
      <c r="AA42" s="1900">
        <f t="shared" si="3"/>
        <v>1</v>
      </c>
      <c r="AB42" s="1900">
        <f t="shared" si="4"/>
        <v>1</v>
      </c>
      <c r="AC42" s="1900">
        <f t="shared" si="5"/>
        <v>1</v>
      </c>
    </row>
    <row r="43" spans="1:29" ht="15">
      <c r="A43" s="453"/>
      <c r="B43" s="402" t="s">
        <v>2376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1"/>
      <c r="M43" s="1242"/>
      <c r="N43" s="1242"/>
      <c r="O43" s="1242"/>
      <c r="P43" s="2982"/>
      <c r="Q43" s="1896" t="str">
        <f t="shared" si="11"/>
        <v>内部装修维护情况</v>
      </c>
      <c r="R43" s="752" t="s">
        <v>28</v>
      </c>
      <c r="S43" s="753">
        <f t="shared" si="12"/>
        <v>100</v>
      </c>
      <c r="T43" s="752" t="s">
        <v>28</v>
      </c>
      <c r="U43" s="753">
        <f t="shared" si="13"/>
        <v>100</v>
      </c>
      <c r="V43" s="752" t="s">
        <v>28</v>
      </c>
      <c r="W43" s="753">
        <f t="shared" si="14"/>
        <v>100</v>
      </c>
      <c r="X43" s="1897"/>
      <c r="Y43" s="2984"/>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3"/>
      <c r="M44" s="1244"/>
      <c r="N44" s="1244"/>
      <c r="O44" s="1244"/>
      <c r="P44" s="2982"/>
      <c r="Q44" s="1884">
        <f t="shared" si="11"/>
        <v>111</v>
      </c>
      <c r="R44" s="748" t="s">
        <v>28</v>
      </c>
      <c r="S44" s="749">
        <f t="shared" si="12"/>
        <v>100</v>
      </c>
      <c r="T44" s="748" t="s">
        <v>28</v>
      </c>
      <c r="U44" s="749">
        <f t="shared" si="13"/>
        <v>100</v>
      </c>
      <c r="V44" s="748" t="s">
        <v>28</v>
      </c>
      <c r="W44" s="749">
        <f t="shared" si="14"/>
        <v>100</v>
      </c>
      <c r="X44" s="750"/>
      <c r="Y44" s="2984"/>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2982"/>
      <c r="Q45" s="1896">
        <f t="shared" si="11"/>
        <v>111</v>
      </c>
      <c r="R45" s="752" t="s">
        <v>28</v>
      </c>
      <c r="S45" s="753">
        <f t="shared" si="12"/>
        <v>100</v>
      </c>
      <c r="T45" s="752" t="s">
        <v>28</v>
      </c>
      <c r="U45" s="753">
        <f t="shared" si="13"/>
        <v>100</v>
      </c>
      <c r="V45" s="752" t="s">
        <v>28</v>
      </c>
      <c r="W45" s="753">
        <f t="shared" si="14"/>
        <v>100</v>
      </c>
      <c r="X45" s="1897"/>
      <c r="Y45" s="2984"/>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2983"/>
      <c r="Q46" s="1896">
        <f t="shared" si="11"/>
        <v>111</v>
      </c>
      <c r="R46" s="752" t="s">
        <v>27</v>
      </c>
      <c r="S46" s="753">
        <f t="shared" si="12"/>
        <v>100</v>
      </c>
      <c r="T46" s="752" t="s">
        <v>27</v>
      </c>
      <c r="U46" s="753">
        <f t="shared" si="13"/>
        <v>100</v>
      </c>
      <c r="V46" s="752" t="s">
        <v>27</v>
      </c>
      <c r="W46" s="753">
        <f t="shared" si="14"/>
        <v>100</v>
      </c>
      <c r="X46" s="1897"/>
      <c r="Y46" s="2985"/>
      <c r="Z46" s="1899">
        <f t="shared" si="15"/>
        <v>111</v>
      </c>
      <c r="AA46" s="1900">
        <f t="shared" si="3"/>
        <v>1</v>
      </c>
      <c r="AB46" s="1900">
        <f t="shared" si="4"/>
        <v>1</v>
      </c>
      <c r="AC46" s="1900">
        <f t="shared" si="5"/>
        <v>1</v>
      </c>
    </row>
    <row r="47" spans="1:29" ht="15">
      <c r="A47" s="460" t="s">
        <v>2377</v>
      </c>
      <c r="B47" s="461"/>
      <c r="C47" s="1499" t="s">
        <v>26</v>
      </c>
      <c r="D47" s="1500"/>
      <c r="E47" s="1501">
        <f>ROUND(31818*J56,0)</f>
        <v>28636</v>
      </c>
      <c r="F47" s="1502"/>
      <c r="G47" s="1503">
        <f>ROUND(36559*J56,0)</f>
        <v>32903</v>
      </c>
      <c r="H47" s="1504"/>
      <c r="I47" s="1501">
        <f>ROUND(35909*J56,0)</f>
        <v>32318</v>
      </c>
      <c r="J47" s="1504"/>
      <c r="K47" s="2416"/>
      <c r="L47" s="1254"/>
      <c r="M47" s="1255"/>
      <c r="N47" s="1242"/>
      <c r="O47" s="1255"/>
      <c r="P47" s="2976" t="str">
        <f>A47</f>
        <v>成交单价（元/平方米）</v>
      </c>
      <c r="Q47" s="2976"/>
      <c r="R47" s="2977">
        <f>E47</f>
        <v>28636</v>
      </c>
      <c r="S47" s="2977"/>
      <c r="T47" s="2977">
        <f>G47</f>
        <v>32903</v>
      </c>
      <c r="U47" s="2977"/>
      <c r="V47" s="2977">
        <f>I47</f>
        <v>32318</v>
      </c>
      <c r="W47" s="2977"/>
      <c r="X47" s="737"/>
      <c r="Y47" s="759"/>
      <c r="Z47" s="737"/>
      <c r="AA47" s="737"/>
      <c r="AB47" s="737"/>
      <c r="AC47" s="737"/>
    </row>
    <row r="48" spans="1:29" ht="15.75" thickBot="1">
      <c r="A48" s="467" t="s">
        <v>2378</v>
      </c>
      <c r="B48" s="468"/>
      <c r="C48" s="1505">
        <f>R49</f>
        <v>30083</v>
      </c>
      <c r="D48" s="1506"/>
      <c r="E48" s="1507">
        <f>R48</f>
        <v>27535</v>
      </c>
      <c r="F48" s="1507"/>
      <c r="G48" s="1505">
        <f>T48</f>
        <v>31638</v>
      </c>
      <c r="H48" s="1506"/>
      <c r="I48" s="1507">
        <f>V48</f>
        <v>31075</v>
      </c>
      <c r="J48" s="1506"/>
      <c r="K48" s="2417"/>
      <c r="L48" s="1254"/>
      <c r="M48" s="1255"/>
      <c r="N48" s="1255"/>
      <c r="O48" s="1255"/>
      <c r="P48" s="2976" t="str">
        <f>A48</f>
        <v>比较价值（元/平方米）</v>
      </c>
      <c r="Q48" s="2976"/>
      <c r="R48" s="2977">
        <f>IF(E1="售价",ROUND(PRODUCT(R47,AA7:AA46),0),ROUND(PRODUCT(R47,AA7:AA46),1))</f>
        <v>27535</v>
      </c>
      <c r="S48" s="2977"/>
      <c r="T48" s="3046">
        <f>IF(E1="售价",ROUND(PRODUCT(T47,AB7:AB46),0),ROUND(PRODUCT(T47,AB7:AB46),1))</f>
        <v>31638</v>
      </c>
      <c r="U48" s="3047"/>
      <c r="V48" s="2977">
        <f>IF(E1="售价",ROUND(PRODUCT(V47,AC7:AC46),0),ROUND(PRODUCT(V47,AC7:AC46),1))</f>
        <v>31075</v>
      </c>
      <c r="W48" s="2977"/>
      <c r="X48" s="737"/>
      <c r="Y48" s="737"/>
      <c r="Z48" s="737"/>
      <c r="AA48" s="737"/>
      <c r="AB48" s="737"/>
      <c r="AC48" s="737"/>
    </row>
    <row r="49" spans="1:29" ht="15.75" thickBot="1">
      <c r="A49" s="473" t="s">
        <v>2379</v>
      </c>
      <c r="B49" s="474"/>
      <c r="C49" s="1508">
        <f>R49</f>
        <v>30083</v>
      </c>
      <c r="D49" s="1509"/>
      <c r="E49" s="1509"/>
      <c r="F49" s="1509"/>
      <c r="G49" s="1509"/>
      <c r="H49" s="1509"/>
      <c r="I49" s="1509"/>
      <c r="J49" s="1509"/>
      <c r="K49" s="2418"/>
      <c r="L49" s="1254"/>
      <c r="M49" s="1255"/>
      <c r="N49" s="1255"/>
      <c r="O49" s="1255"/>
      <c r="P49" s="2978" t="str">
        <f>A49</f>
        <v>估价对象XX用房的比较价值（楼面单价，元/平方米）</v>
      </c>
      <c r="Q49" s="2979"/>
      <c r="R49" s="2980">
        <f>IF(E1="售价",ROUND(AVERAGE(R48:V48),0),ROUND(AVERAGE(R48:V48),1))</f>
        <v>30083</v>
      </c>
      <c r="S49" s="2980"/>
      <c r="T49" s="2980"/>
      <c r="U49" s="2980"/>
      <c r="V49" s="2980"/>
      <c r="W49" s="2980"/>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3.9985473034319874E-2</v>
      </c>
      <c r="F52" s="481" t="str">
        <f>IF(OR(E52&gt;=0.3,E52&lt;=-0.3),"超过30%","")</f>
        <v/>
      </c>
      <c r="G52" s="480">
        <f>IF(G47&lt;G48,G48/G47-1,G47/G48-1)</f>
        <v>3.9983564068525101E-2</v>
      </c>
      <c r="H52" s="481" t="str">
        <f>IF(OR(G52&gt;=0.3,G52&lt;=-0.3),"超过30%","")</f>
        <v/>
      </c>
      <c r="I52" s="480">
        <f>IF(I47&lt;I48,I48/I47-1,I47/I48-1)</f>
        <v>4.0000000000000036E-2</v>
      </c>
      <c r="J52" s="481" t="str">
        <f>IF(OR(I52&gt;=0.3,I52&lt;=-0.3),"超过30%","")</f>
        <v/>
      </c>
      <c r="K52" s="1260"/>
      <c r="L52" s="1256"/>
      <c r="M52" s="1255"/>
      <c r="N52" s="1255"/>
      <c r="O52" s="1255"/>
    </row>
    <row r="53" spans="1:29" ht="13.5" customHeight="1">
      <c r="A53" s="1255"/>
      <c r="B53" s="1255"/>
      <c r="C53" s="478" t="s">
        <v>2381</v>
      </c>
      <c r="D53" s="482"/>
      <c r="E53" s="480">
        <f>IF(E48&lt;G48,G48/E48-1,E48/G48-1)</f>
        <v>0.14901035046304711</v>
      </c>
      <c r="F53" s="481" t="str">
        <f>IF(OR(E53&gt;=0.2,E53&lt;=-0.2),"超过20%","")</f>
        <v/>
      </c>
      <c r="G53" s="480">
        <f>IF(G48&lt;I48,I48/G48-1,G48/I48-1)</f>
        <v>1.8117457763475509E-2</v>
      </c>
      <c r="H53" s="481" t="str">
        <f>IF(OR(G53&gt;=0.2,G53&lt;=-0.2),"超过20%","")</f>
        <v/>
      </c>
      <c r="I53" s="480">
        <f>IF(I48&lt;E48,E48/I48-1,I48/E48-1)</f>
        <v>0.12856364626838568</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v>0.9</v>
      </c>
      <c r="K56" s="1260"/>
      <c r="L56" s="1256"/>
      <c r="M56" s="1255"/>
      <c r="N56" s="1255"/>
      <c r="O56" s="1255"/>
    </row>
    <row r="57" spans="1:29" ht="21.75" thickBot="1">
      <c r="A57" s="741" t="s">
        <v>2383</v>
      </c>
      <c r="B57" s="737"/>
      <c r="C57" s="742"/>
      <c r="D57" s="742"/>
      <c r="E57" s="742"/>
      <c r="F57" s="743"/>
      <c r="G57" s="743"/>
      <c r="H57" s="742"/>
      <c r="I57" s="742"/>
      <c r="J57" s="742"/>
      <c r="K57" s="744"/>
      <c r="L57" s="745"/>
      <c r="M57" s="742"/>
      <c r="N57" s="742"/>
      <c r="O57" s="742"/>
      <c r="P57" s="2421"/>
      <c r="Q57" s="485"/>
    </row>
    <row r="58" spans="1:29" s="489" customFormat="1" ht="15">
      <c r="A58" s="486" t="s">
        <v>2384</v>
      </c>
      <c r="B58" s="487"/>
      <c r="C58" s="1675" t="str">
        <f>YEAR(C7)&amp;"-"&amp;MONTH(C7)</f>
        <v>2018-6</v>
      </c>
      <c r="D58" s="1676">
        <f>EDATE(C58,-1)</f>
        <v>43221</v>
      </c>
      <c r="E58" s="1676">
        <f t="shared" ref="E58:O58" si="16">EDATE(D58,-1)</f>
        <v>43191</v>
      </c>
      <c r="F58" s="1676">
        <f t="shared" si="16"/>
        <v>43160</v>
      </c>
      <c r="G58" s="1676">
        <f t="shared" si="16"/>
        <v>43132</v>
      </c>
      <c r="H58" s="1676">
        <f t="shared" si="16"/>
        <v>43101</v>
      </c>
      <c r="I58" s="1676">
        <f t="shared" si="16"/>
        <v>43070</v>
      </c>
      <c r="J58" s="1676">
        <f t="shared" si="16"/>
        <v>43040</v>
      </c>
      <c r="K58" s="1676">
        <f t="shared" si="16"/>
        <v>43009</v>
      </c>
      <c r="L58" s="1676">
        <f t="shared" si="16"/>
        <v>42979</v>
      </c>
      <c r="M58" s="1676">
        <f t="shared" si="16"/>
        <v>42948</v>
      </c>
      <c r="N58" s="1676">
        <f t="shared" si="16"/>
        <v>42917</v>
      </c>
      <c r="O58" s="1676">
        <f t="shared" si="16"/>
        <v>42887</v>
      </c>
      <c r="P58" s="2422"/>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3"/>
    </row>
    <row r="60" spans="1:29" s="35" customFormat="1" ht="15.75" thickBot="1">
      <c r="A60" s="496" t="s">
        <v>2385</v>
      </c>
      <c r="B60" s="497"/>
      <c r="C60" s="498"/>
      <c r="D60" s="499"/>
      <c r="E60" s="499"/>
      <c r="F60" s="499"/>
      <c r="G60" s="499"/>
      <c r="H60" s="499"/>
      <c r="I60" s="499"/>
      <c r="J60" s="499"/>
      <c r="K60" s="499"/>
      <c r="L60" s="499"/>
      <c r="M60" s="500"/>
      <c r="N60" s="499"/>
      <c r="O60" s="500"/>
      <c r="P60" s="2423"/>
      <c r="Q60" s="485"/>
    </row>
    <row r="61" spans="1:29" s="35" customFormat="1" ht="15">
      <c r="A61" s="502" t="s">
        <v>2386</v>
      </c>
      <c r="B61" s="491"/>
      <c r="C61" s="503" t="s">
        <v>2387</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2388</v>
      </c>
      <c r="B63" s="509" t="s">
        <v>2353</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2357</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0</v>
      </c>
      <c r="D68" s="532">
        <v>1</v>
      </c>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1743</v>
      </c>
      <c r="C82" s="522" t="s">
        <v>2404</v>
      </c>
      <c r="D82" s="522" t="s">
        <v>2405</v>
      </c>
      <c r="E82" s="522" t="s">
        <v>2406</v>
      </c>
      <c r="F82" s="522" t="s">
        <v>2407</v>
      </c>
      <c r="G82" s="522" t="s">
        <v>2408</v>
      </c>
      <c r="H82" s="522"/>
      <c r="I82" s="522"/>
      <c r="J82" s="522"/>
      <c r="K82" s="522"/>
      <c r="L82" s="522"/>
      <c r="M82" s="1464"/>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2410</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2411</v>
      </c>
      <c r="C88" s="537"/>
      <c r="D88" s="537"/>
      <c r="E88" s="537"/>
      <c r="F88" s="2430"/>
      <c r="G88" s="537"/>
      <c r="H88" s="537"/>
      <c r="I88" s="537"/>
      <c r="J88" s="537"/>
      <c r="K88" s="537"/>
      <c r="L88" s="537"/>
      <c r="M88" s="565"/>
      <c r="N88" s="1264"/>
      <c r="O88" s="1264"/>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5"/>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6"/>
      <c r="Q90" s="543"/>
    </row>
    <row r="91" spans="1:17" s="452" customFormat="1" ht="15.75" thickBot="1">
      <c r="A91" s="536"/>
      <c r="B91" s="526"/>
      <c r="C91" s="544"/>
      <c r="D91" s="544"/>
      <c r="E91" s="544"/>
      <c r="F91" s="544"/>
      <c r="G91" s="544"/>
      <c r="H91" s="546"/>
      <c r="I91" s="546"/>
      <c r="J91" s="546"/>
      <c r="K91" s="546"/>
      <c r="L91" s="546"/>
      <c r="M91" s="547"/>
      <c r="N91" s="1267"/>
      <c r="O91" s="1267"/>
      <c r="P91" s="2426"/>
      <c r="Q91" s="543"/>
    </row>
    <row r="92" spans="1:17" ht="15.75" thickTop="1">
      <c r="A92" s="516"/>
      <c r="B92" s="521">
        <f>B28</f>
        <v>111</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2363</v>
      </c>
      <c r="B100" s="509" t="s">
        <v>2412</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5"/>
      <c r="Q101" s="485"/>
    </row>
    <row r="102" spans="1:17" ht="15.75" thickTop="1">
      <c r="A102" s="516"/>
      <c r="B102" s="521" t="s">
        <v>2413</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7"/>
      <c r="O103" s="1267"/>
      <c r="P103" s="2426"/>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6"/>
      <c r="O104" s="1266"/>
      <c r="P104" s="2426"/>
      <c r="Q104" s="543"/>
    </row>
    <row r="105" spans="1:17" ht="15" thickTop="1">
      <c r="A105" s="583"/>
      <c r="B105" s="521" t="s">
        <v>2414</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5"/>
      <c r="Q106" s="485"/>
    </row>
    <row r="107" spans="1:17" ht="15" thickTop="1">
      <c r="A107" s="583"/>
      <c r="B107" s="521" t="s">
        <v>2415</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2416</v>
      </c>
      <c r="C109" s="537"/>
      <c r="D109" s="537"/>
      <c r="E109" s="537"/>
      <c r="F109" s="567"/>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2418</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2419</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2420</v>
      </c>
      <c r="C118" s="567"/>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2421</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5"/>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2423</v>
      </c>
    </row>
    <row r="137" spans="1:17" ht="15">
      <c r="B137" s="2433" t="s">
        <v>2424</v>
      </c>
      <c r="C137" s="2434"/>
      <c r="D137" s="2434"/>
      <c r="E137" s="2434"/>
      <c r="F137" s="2434"/>
      <c r="G137" s="2435"/>
      <c r="H137" s="2436"/>
      <c r="I137" s="2437" t="s">
        <v>2425</v>
      </c>
      <c r="J137" s="2434"/>
      <c r="K137" s="2438"/>
    </row>
    <row r="138" spans="1:17" ht="15">
      <c r="B138" s="2439"/>
      <c r="C138" s="62" t="s">
        <v>2426</v>
      </c>
      <c r="D138" s="62" t="s">
        <v>2427</v>
      </c>
      <c r="E138" s="2440" t="s">
        <v>2428</v>
      </c>
      <c r="F138" s="2441" t="s">
        <v>2429</v>
      </c>
      <c r="G138" s="62" t="s">
        <v>2427</v>
      </c>
      <c r="H138" s="63" t="s">
        <v>2428</v>
      </c>
      <c r="I138" s="2442"/>
      <c r="J138" s="62" t="s">
        <v>2430</v>
      </c>
      <c r="K138" s="63" t="s">
        <v>2431</v>
      </c>
    </row>
    <row r="139" spans="1:17" ht="15">
      <c r="B139" s="1123">
        <v>6</v>
      </c>
      <c r="C139" s="1131">
        <v>96</v>
      </c>
      <c r="D139" s="2443" t="s">
        <v>2432</v>
      </c>
      <c r="E139" s="1132">
        <v>100</v>
      </c>
      <c r="F139" s="1133">
        <v>102.5</v>
      </c>
      <c r="G139" s="2443" t="s">
        <v>2432</v>
      </c>
      <c r="H139" s="1134">
        <v>105</v>
      </c>
      <c r="I139" s="2444" t="s">
        <v>2433</v>
      </c>
      <c r="J139" s="1131">
        <v>20</v>
      </c>
      <c r="K139" s="1125">
        <f>C145/(J139-2)</f>
        <v>4.0555555555555553E-3</v>
      </c>
    </row>
    <row r="140" spans="1:17" ht="15">
      <c r="B140" s="1124">
        <v>5</v>
      </c>
      <c r="C140" s="1135">
        <v>100</v>
      </c>
      <c r="D140" s="1135"/>
      <c r="E140" s="1136"/>
      <c r="F140" s="1137">
        <v>102</v>
      </c>
      <c r="G140" s="1135"/>
      <c r="H140" s="1138"/>
      <c r="I140" s="2445" t="s">
        <v>2434</v>
      </c>
      <c r="J140" s="217">
        <f>ROUNDUP((J139-1)/2,0)</f>
        <v>10</v>
      </c>
      <c r="K140" s="1126">
        <v>100</v>
      </c>
    </row>
    <row r="141" spans="1:17" ht="15">
      <c r="B141" s="1124">
        <v>4</v>
      </c>
      <c r="C141" s="1135">
        <v>102</v>
      </c>
      <c r="D141" s="1135"/>
      <c r="E141" s="1136"/>
      <c r="F141" s="1137">
        <v>101.5</v>
      </c>
      <c r="G141" s="1135"/>
      <c r="H141" s="1138"/>
      <c r="I141" s="2445" t="s">
        <v>2435</v>
      </c>
      <c r="J141" s="217">
        <v>1</v>
      </c>
      <c r="K141" s="1127">
        <f>ROUND(100+(J141-J140)*K139*100,1)</f>
        <v>96.4</v>
      </c>
    </row>
    <row r="142" spans="1:17" ht="15">
      <c r="B142" s="1124">
        <v>3</v>
      </c>
      <c r="C142" s="1135">
        <v>103</v>
      </c>
      <c r="D142" s="1135"/>
      <c r="E142" s="1136"/>
      <c r="F142" s="1137">
        <v>101</v>
      </c>
      <c r="G142" s="1135"/>
      <c r="H142" s="1138"/>
      <c r="I142" s="2445" t="s">
        <v>2436</v>
      </c>
      <c r="J142" s="217">
        <f>J139</f>
        <v>20</v>
      </c>
      <c r="K142" s="1140">
        <v>95</v>
      </c>
    </row>
    <row r="143" spans="1:17" ht="15">
      <c r="B143" s="1124">
        <v>2</v>
      </c>
      <c r="C143" s="1135">
        <v>100</v>
      </c>
      <c r="D143" s="1135"/>
      <c r="E143" s="1136"/>
      <c r="F143" s="1137">
        <v>100.5</v>
      </c>
      <c r="G143" s="1135"/>
      <c r="H143" s="1138"/>
      <c r="I143" s="2445" t="s">
        <v>2437</v>
      </c>
      <c r="J143" s="1135">
        <v>15</v>
      </c>
      <c r="K143" s="1127">
        <f>ROUND(100+(J143-J140)*K139*100,1)</f>
        <v>102</v>
      </c>
    </row>
    <row r="144" spans="1:17" ht="15">
      <c r="B144" s="1124">
        <v>1</v>
      </c>
      <c r="C144" s="1135">
        <v>98</v>
      </c>
      <c r="D144" s="2446" t="s">
        <v>2438</v>
      </c>
      <c r="E144" s="1136">
        <v>102</v>
      </c>
      <c r="F144" s="1139">
        <v>100</v>
      </c>
      <c r="G144" s="2446" t="s">
        <v>2438</v>
      </c>
      <c r="H144" s="1138">
        <v>105</v>
      </c>
      <c r="I144" s="2445" t="s">
        <v>2437</v>
      </c>
      <c r="J144" s="1135">
        <v>18</v>
      </c>
      <c r="K144" s="1127">
        <f>ROUND(100+(J144-J140)*K139*100,1)</f>
        <v>103.2</v>
      </c>
    </row>
    <row r="145" spans="2:11" ht="15.75" thickBot="1">
      <c r="B145" s="2447" t="s">
        <v>2439</v>
      </c>
      <c r="C145" s="1129">
        <f>ROUND(MAX(C139:C144)/MIN(C139:C144)-1,3)</f>
        <v>7.2999999999999995E-2</v>
      </c>
      <c r="D145" s="1130"/>
      <c r="E145" s="1130"/>
      <c r="F145" s="2448" t="s">
        <v>2440</v>
      </c>
      <c r="G145" s="2449"/>
      <c r="H145" s="2450"/>
      <c r="I145" s="2451" t="s">
        <v>2437</v>
      </c>
      <c r="J145" s="1141">
        <v>8</v>
      </c>
      <c r="K145" s="1128">
        <f>ROUND(100+(J145-J140)*K139*100,1)</f>
        <v>99.2</v>
      </c>
    </row>
    <row r="147" spans="2:11">
      <c r="B147" s="2432" t="s">
        <v>2441</v>
      </c>
    </row>
    <row r="148" spans="2:11">
      <c r="B148" s="2432"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29" sqref="D29"/>
    </sheetView>
  </sheetViews>
  <sheetFormatPr defaultRowHeight="12.75"/>
  <cols>
    <col min="1" max="1" width="12.375" style="55" customWidth="1"/>
    <col min="2" max="2" width="9.25" style="17" customWidth="1"/>
    <col min="3" max="3" width="7.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3"/>
    <col min="23" max="23" width="9" style="797"/>
    <col min="24" max="25" width="9" style="1313"/>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10"/>
      <c r="V1" s="1310"/>
      <c r="X1" s="1310"/>
      <c r="Y1" s="1310"/>
    </row>
    <row r="2" spans="1:44" ht="15.75">
      <c r="A2" s="165" t="s">
        <v>2297</v>
      </c>
      <c r="B2" s="334">
        <f>B23</f>
        <v>0</v>
      </c>
      <c r="C2" s="1181" t="str">
        <f>C23</f>
        <v>元</v>
      </c>
      <c r="D2" s="84"/>
      <c r="E2" s="84"/>
      <c r="F2" s="84"/>
      <c r="G2" s="84"/>
      <c r="H2" s="84"/>
      <c r="I2" s="84"/>
      <c r="J2" s="84"/>
      <c r="K2" s="84"/>
      <c r="L2" s="84"/>
      <c r="M2" s="84"/>
      <c r="N2" s="84"/>
      <c r="O2" s="84"/>
      <c r="P2" s="84"/>
      <c r="Q2" s="84"/>
      <c r="R2" s="768"/>
      <c r="S2" s="54"/>
      <c r="T2" s="54"/>
      <c r="U2" s="1310"/>
      <c r="V2" s="1310"/>
      <c r="X2" s="1310"/>
      <c r="Y2" s="1310"/>
    </row>
    <row r="3" spans="1:44" ht="15.75">
      <c r="A3" s="167" t="s">
        <v>2298</v>
      </c>
      <c r="B3" s="334">
        <f>B24</f>
        <v>0</v>
      </c>
      <c r="C3" s="1181" t="s">
        <v>2299</v>
      </c>
      <c r="D3" s="84"/>
      <c r="E3" s="84"/>
      <c r="F3" s="84"/>
      <c r="G3" s="84"/>
      <c r="H3" s="84"/>
      <c r="I3" s="84"/>
      <c r="J3" s="84"/>
      <c r="K3" s="84"/>
      <c r="L3" s="84"/>
      <c r="M3" s="84"/>
      <c r="N3" s="84"/>
      <c r="O3" s="84"/>
      <c r="P3" s="84"/>
      <c r="Q3" s="84"/>
      <c r="R3" s="768"/>
      <c r="S3" s="54"/>
      <c r="T3" s="54"/>
      <c r="U3" s="1310"/>
      <c r="V3" s="1310"/>
      <c r="X3" s="1310"/>
      <c r="Y3" s="1310"/>
    </row>
    <row r="4" spans="1:44" ht="14.25" customHeight="1" thickBot="1">
      <c r="A4" s="70"/>
      <c r="B4" s="678" t="s">
        <v>2300</v>
      </c>
      <c r="C4" s="3052" t="s">
        <v>2301</v>
      </c>
      <c r="D4" s="3053"/>
      <c r="E4" s="3053"/>
      <c r="F4" s="3053"/>
      <c r="G4" s="3053"/>
      <c r="H4" s="3053"/>
      <c r="I4" s="3053"/>
      <c r="J4" s="3053"/>
      <c r="K4" s="3053"/>
      <c r="L4" s="3053"/>
      <c r="M4" s="3053"/>
      <c r="N4" s="3053"/>
      <c r="O4" s="3053"/>
      <c r="P4" s="3053"/>
      <c r="Q4" s="3053"/>
      <c r="R4" s="3053"/>
      <c r="S4" s="3054"/>
      <c r="T4" s="678" t="s">
        <v>2302</v>
      </c>
      <c r="U4" s="1310"/>
      <c r="V4" s="1310"/>
      <c r="X4" s="1310"/>
      <c r="Y4" s="1310"/>
    </row>
    <row r="5" spans="1:44" s="692" customFormat="1" ht="38.25">
      <c r="A5" s="1320"/>
      <c r="B5" s="687" t="s">
        <v>2303</v>
      </c>
      <c r="C5" s="688" t="str">
        <f t="shared" ref="C5:L5" si="0">C6&amp;"(含)"&amp;"-"&amp;D6</f>
        <v>0(含)-300</v>
      </c>
      <c r="D5" s="689" t="str">
        <f t="shared" si="0"/>
        <v>300(含)-600</v>
      </c>
      <c r="E5" s="689" t="str">
        <f t="shared" si="0"/>
        <v>600(含)-900</v>
      </c>
      <c r="F5" s="689" t="str">
        <f t="shared" si="0"/>
        <v>900(含)-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1"/>
      <c r="B6" s="693"/>
      <c r="C6" s="579">
        <v>0</v>
      </c>
      <c r="D6" s="579">
        <v>300</v>
      </c>
      <c r="E6" s="579">
        <v>600</v>
      </c>
      <c r="F6" s="579">
        <v>900</v>
      </c>
      <c r="G6" s="694"/>
      <c r="H6" s="694"/>
      <c r="I6" s="694"/>
      <c r="J6" s="695"/>
      <c r="K6" s="695"/>
      <c r="L6" s="696"/>
      <c r="M6" s="1144"/>
      <c r="N6" s="1146"/>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2"/>
      <c r="B7" s="1161"/>
      <c r="C7" s="544">
        <v>100</v>
      </c>
      <c r="D7" s="518">
        <v>99</v>
      </c>
      <c r="E7" s="518">
        <v>98</v>
      </c>
      <c r="F7" s="518">
        <v>97</v>
      </c>
      <c r="G7" s="1163"/>
      <c r="H7" s="1163"/>
      <c r="I7" s="1163"/>
      <c r="J7" s="1163"/>
      <c r="K7" s="1163"/>
      <c r="L7" s="1163"/>
      <c r="M7" s="1164"/>
      <c r="N7" s="1165"/>
      <c r="O7" s="1163"/>
      <c r="P7" s="1163"/>
      <c r="Q7" s="1163"/>
      <c r="R7" s="1163"/>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ht="13.5" thickTop="1">
      <c r="A8" s="1323"/>
      <c r="B8" s="1174" t="s">
        <v>2304</v>
      </c>
      <c r="C8" s="1166"/>
      <c r="D8" s="1167"/>
      <c r="E8" s="1167"/>
      <c r="F8" s="1167"/>
      <c r="G8" s="1167"/>
      <c r="H8" s="1167"/>
      <c r="I8" s="1167"/>
      <c r="J8" s="1167"/>
      <c r="K8" s="1167"/>
      <c r="L8" s="1168"/>
      <c r="M8" s="1169"/>
      <c r="N8" s="1169"/>
      <c r="O8" s="1167"/>
      <c r="P8" s="1167"/>
      <c r="Q8" s="1167"/>
      <c r="R8" s="1167"/>
      <c r="S8" s="1199"/>
      <c r="T8" s="1170"/>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5" t="s">
        <v>2305</v>
      </c>
      <c r="C10" s="1151"/>
      <c r="D10" s="1152"/>
      <c r="E10" s="1152"/>
      <c r="F10" s="1152"/>
      <c r="G10" s="1152"/>
      <c r="H10" s="1152"/>
      <c r="I10" s="1152"/>
      <c r="J10" s="1152"/>
      <c r="K10" s="1152"/>
      <c r="L10" s="1152"/>
      <c r="M10" s="1154"/>
      <c r="N10" s="1145"/>
      <c r="O10" s="1147"/>
      <c r="P10" s="1148"/>
      <c r="Q10" s="1149"/>
      <c r="R10" s="1150"/>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1.25" customHeight="1"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3"/>
      <c r="B12" s="1155" t="s">
        <v>2306</v>
      </c>
      <c r="C12" s="1151"/>
      <c r="D12" s="1152"/>
      <c r="E12" s="1152"/>
      <c r="F12" s="1152"/>
      <c r="G12" s="1152"/>
      <c r="H12" s="1152"/>
      <c r="I12" s="1152"/>
      <c r="J12" s="1152"/>
      <c r="K12" s="1152"/>
      <c r="L12" s="1153"/>
      <c r="M12" s="1154"/>
      <c r="N12" s="1145"/>
      <c r="O12" s="1147"/>
      <c r="P12" s="1148"/>
      <c r="Q12" s="1149"/>
      <c r="R12" s="1150"/>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3"/>
      <c r="B14" s="1174" t="s">
        <v>2307</v>
      </c>
      <c r="C14" s="1166"/>
      <c r="D14" s="1167"/>
      <c r="E14" s="1167"/>
      <c r="F14" s="1167"/>
      <c r="G14" s="1167"/>
      <c r="H14" s="1167"/>
      <c r="I14" s="1167"/>
      <c r="J14" s="1167"/>
      <c r="K14" s="1167"/>
      <c r="L14" s="1167"/>
      <c r="M14" s="1169"/>
      <c r="N14" s="1175"/>
      <c r="O14" s="1176"/>
      <c r="P14" s="1177"/>
      <c r="Q14" s="1178"/>
      <c r="R14" s="1179"/>
      <c r="S14" s="1203"/>
      <c r="T14" s="1170"/>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3"/>
      <c r="B16" s="1174" t="s">
        <v>2308</v>
      </c>
      <c r="C16" s="1166"/>
      <c r="D16" s="1167"/>
      <c r="E16" s="1167"/>
      <c r="F16" s="1167"/>
      <c r="G16" s="1167"/>
      <c r="H16" s="1167"/>
      <c r="I16" s="1167"/>
      <c r="J16" s="1167"/>
      <c r="K16" s="1167"/>
      <c r="L16" s="1167"/>
      <c r="M16" s="1169"/>
      <c r="N16" s="1175"/>
      <c r="O16" s="1176"/>
      <c r="P16" s="1177"/>
      <c r="Q16" s="1178"/>
      <c r="R16" s="1179"/>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3"/>
      <c r="B18" s="1174" t="s">
        <v>2309</v>
      </c>
      <c r="C18" s="1166"/>
      <c r="D18" s="1167"/>
      <c r="E18" s="1167"/>
      <c r="F18" s="1167"/>
      <c r="G18" s="1167"/>
      <c r="H18" s="1167"/>
      <c r="I18" s="1167"/>
      <c r="J18" s="1167"/>
      <c r="K18" s="1167"/>
      <c r="L18" s="1167"/>
      <c r="M18" s="1169"/>
      <c r="N18" s="1175"/>
      <c r="O18" s="1176"/>
      <c r="P18" s="1177"/>
      <c r="Q18" s="1178"/>
      <c r="R18" s="1179"/>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3"/>
      <c r="B19" s="1161"/>
      <c r="C19" s="1162"/>
      <c r="D19" s="1163"/>
      <c r="E19" s="1163"/>
      <c r="F19" s="1163"/>
      <c r="G19" s="1163"/>
      <c r="H19" s="1163"/>
      <c r="I19" s="1163"/>
      <c r="J19" s="1163"/>
      <c r="K19" s="1163"/>
      <c r="L19" s="1163"/>
      <c r="M19" s="1164"/>
      <c r="N19" s="1164"/>
      <c r="O19" s="1163"/>
      <c r="P19" s="1163"/>
      <c r="Q19" s="1163"/>
      <c r="R19" s="1163"/>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2310</v>
      </c>
      <c r="B20" s="2369" t="s">
        <v>2311</v>
      </c>
      <c r="C20" s="2744" t="s">
        <v>2881</v>
      </c>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v>100</v>
      </c>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70" t="s">
        <v>2312</v>
      </c>
      <c r="G22" s="1875"/>
      <c r="H22" s="1875"/>
      <c r="I22" s="1875"/>
      <c r="J22" s="1876"/>
      <c r="K22" s="84"/>
      <c r="L22" s="84"/>
      <c r="M22" s="84"/>
      <c r="N22" s="84"/>
      <c r="O22" s="84"/>
      <c r="P22" s="84"/>
      <c r="Q22" s="84"/>
      <c r="R22" s="768"/>
      <c r="S22" s="54"/>
      <c r="T22" s="54"/>
      <c r="U22" s="1310"/>
      <c r="V22" s="1311"/>
      <c r="W22" s="800"/>
      <c r="X22" s="36"/>
      <c r="Y22" s="36"/>
      <c r="Z22" s="800"/>
    </row>
    <row r="23" spans="1:45" ht="16.5" thickBot="1">
      <c r="A23" s="165" t="s">
        <v>2313</v>
      </c>
      <c r="B23" s="308">
        <f>IF(F23="——",IF(C23="万元",T25,S25),IF(C23="万元",T25-H23,S25-H23))</f>
        <v>0</v>
      </c>
      <c r="C23" s="2371" t="str">
        <f>'数据-取费表'!B3</f>
        <v>元</v>
      </c>
      <c r="D23" s="84"/>
      <c r="E23" s="84"/>
      <c r="F23" s="2372" t="s">
        <v>1253</v>
      </c>
      <c r="G23" s="1877"/>
      <c r="H23" s="678" t="e">
        <f ca="1">SUMIF(INDIRECT("'"&amp;J23&amp;"'"&amp;"!A:A"),"承租人权益价值",INDIRECT("'"&amp;J23&amp;"'"&amp;"!c:c"))</f>
        <v>#REF!</v>
      </c>
      <c r="I23" s="678" t="str">
        <f>C2</f>
        <v>元</v>
      </c>
      <c r="J23" s="2373"/>
      <c r="K23" s="84"/>
      <c r="L23" s="84"/>
      <c r="M23" s="84"/>
      <c r="N23" s="84"/>
      <c r="O23" s="84"/>
      <c r="P23" s="84"/>
      <c r="Q23" s="84"/>
      <c r="R23" s="768"/>
      <c r="S23" s="54"/>
      <c r="T23" s="54"/>
      <c r="V23" s="1311"/>
      <c r="W23" s="800"/>
      <c r="X23" s="36"/>
      <c r="Y23" s="36"/>
      <c r="Z23" s="800"/>
    </row>
    <row r="24" spans="1:45" ht="15.75">
      <c r="A24" s="2371" t="s">
        <v>2314</v>
      </c>
      <c r="B24" s="308">
        <f>R25</f>
        <v>0</v>
      </c>
      <c r="C24" s="1142"/>
      <c r="D24" s="84"/>
      <c r="E24" s="84"/>
      <c r="F24" s="84"/>
      <c r="G24" s="84"/>
      <c r="H24" s="84"/>
      <c r="I24" s="84"/>
      <c r="J24" s="84"/>
      <c r="K24" s="84"/>
      <c r="L24" s="84"/>
      <c r="M24" s="84"/>
      <c r="N24" s="84"/>
      <c r="O24" s="84"/>
      <c r="P24" s="84"/>
      <c r="Q24" s="84"/>
      <c r="R24" s="768"/>
      <c r="S24" s="14" t="s">
        <v>2315</v>
      </c>
      <c r="T24" s="1894" t="s">
        <v>2316</v>
      </c>
      <c r="U24" s="2374" t="s">
        <v>2317</v>
      </c>
      <c r="V24" s="1339"/>
      <c r="W24" s="2375" t="s">
        <v>2318</v>
      </c>
      <c r="X24" s="2374" t="s">
        <v>2319</v>
      </c>
      <c r="Y24" s="1339"/>
      <c r="Z24" s="2376" t="s">
        <v>2318</v>
      </c>
    </row>
    <row r="25" spans="1:45">
      <c r="A25" s="334" t="s">
        <v>2320</v>
      </c>
      <c r="B25" s="14">
        <f>SUM(B27:B10000)</f>
        <v>900.76</v>
      </c>
      <c r="C25" s="3049" t="s">
        <v>45</v>
      </c>
      <c r="D25" s="3050"/>
      <c r="E25" s="3050"/>
      <c r="F25" s="3050"/>
      <c r="G25" s="3050"/>
      <c r="H25" s="3050"/>
      <c r="I25" s="3050"/>
      <c r="J25" s="3050"/>
      <c r="K25" s="3050"/>
      <c r="L25" s="3050"/>
      <c r="M25" s="3050"/>
      <c r="N25" s="3050"/>
      <c r="O25" s="3050"/>
      <c r="P25" s="3050"/>
      <c r="Q25" s="3051"/>
      <c r="R25" s="702">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3" t="s">
        <v>2324</v>
      </c>
      <c r="S26" s="10" t="s">
        <v>2325</v>
      </c>
      <c r="T26" s="10" t="s">
        <v>2325</v>
      </c>
      <c r="U26" s="1880" t="s">
        <v>2326</v>
      </c>
      <c r="V26" s="2378" t="s">
        <v>2327</v>
      </c>
      <c r="W26" s="2379" t="s">
        <v>2328</v>
      </c>
      <c r="X26" s="1880" t="s">
        <v>2326</v>
      </c>
      <c r="Y26" s="2378" t="s">
        <v>2327</v>
      </c>
      <c r="Z26" s="2379" t="s">
        <v>2328</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2329</v>
      </c>
      <c r="B27" s="705">
        <f>'数据-取费表'!E5</f>
        <v>450.38</v>
      </c>
      <c r="C27" s="705">
        <v>1</v>
      </c>
      <c r="D27" s="706"/>
      <c r="E27" s="705">
        <v>1</v>
      </c>
      <c r="F27" s="706"/>
      <c r="G27" s="705">
        <v>1</v>
      </c>
      <c r="H27" s="706"/>
      <c r="I27" s="705">
        <v>1</v>
      </c>
      <c r="J27" s="706"/>
      <c r="K27" s="705">
        <v>1</v>
      </c>
      <c r="L27" s="706"/>
      <c r="M27" s="705">
        <v>1</v>
      </c>
      <c r="N27" s="706"/>
      <c r="O27" s="705">
        <v>1</v>
      </c>
      <c r="P27" s="706" t="s">
        <v>2880</v>
      </c>
      <c r="Q27" s="705">
        <v>1</v>
      </c>
      <c r="R27" s="1190"/>
      <c r="S27" s="705">
        <f>ROUND(R27*B27,0)</f>
        <v>0</v>
      </c>
      <c r="T27" s="705">
        <f>ROUND(R27*B27/10000,0)</f>
        <v>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5"/>
      <c r="B28" s="24">
        <v>450.38</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t="s">
        <v>2880</v>
      </c>
      <c r="Q28" s="14">
        <f t="shared" ref="Q28:Q91" si="21">(SUMIF($20:$20,P28,$21:$21)-SUMIF($20:$20,$P$27,$21:$21)+100)/100</f>
        <v>1</v>
      </c>
      <c r="R28" s="702">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0</v>
      </c>
      <c r="R29" s="702">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0</v>
      </c>
      <c r="R30" s="702">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0</v>
      </c>
      <c r="R31" s="702">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0</v>
      </c>
      <c r="R32" s="702">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0</v>
      </c>
      <c r="R33" s="702">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0</v>
      </c>
      <c r="R34" s="702">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0</v>
      </c>
      <c r="R35" s="702">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0</v>
      </c>
      <c r="R36" s="702">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0</v>
      </c>
      <c r="R37" s="702">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0</v>
      </c>
      <c r="R38" s="702">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0</v>
      </c>
      <c r="R39" s="702">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0</v>
      </c>
      <c r="R40" s="702">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0</v>
      </c>
      <c r="R41" s="702">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0</v>
      </c>
      <c r="R42" s="702">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0</v>
      </c>
      <c r="R43" s="702">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0</v>
      </c>
      <c r="R44" s="702">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0</v>
      </c>
      <c r="R45" s="702">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0</v>
      </c>
      <c r="R46" s="702">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0</v>
      </c>
      <c r="R47" s="702">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0</v>
      </c>
      <c r="R48" s="702">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0</v>
      </c>
      <c r="R49" s="702">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0</v>
      </c>
      <c r="R50" s="702">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0</v>
      </c>
      <c r="R51" s="702">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0</v>
      </c>
      <c r="R52" s="702">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0</v>
      </c>
      <c r="R53" s="702">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0</v>
      </c>
      <c r="R54" s="702">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0</v>
      </c>
      <c r="R55" s="702">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0</v>
      </c>
      <c r="R56" s="702">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0</v>
      </c>
      <c r="R57" s="702">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0</v>
      </c>
      <c r="R58" s="702">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0</v>
      </c>
      <c r="R59" s="702">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0</v>
      </c>
      <c r="R60" s="702">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0</v>
      </c>
      <c r="R61" s="702">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0</v>
      </c>
      <c r="R62" s="702">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0</v>
      </c>
      <c r="R63" s="702">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0</v>
      </c>
      <c r="R64" s="702">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0</v>
      </c>
      <c r="R65" s="702">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0</v>
      </c>
      <c r="R66" s="702">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0</v>
      </c>
      <c r="R67" s="702">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0</v>
      </c>
      <c r="R68" s="702">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0</v>
      </c>
      <c r="R69" s="702">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0</v>
      </c>
      <c r="R70" s="702">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0</v>
      </c>
      <c r="R71" s="702">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0</v>
      </c>
      <c r="R72" s="702">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0</v>
      </c>
      <c r="R73" s="702">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0</v>
      </c>
      <c r="R74" s="702">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0</v>
      </c>
      <c r="R75" s="702">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0</v>
      </c>
      <c r="R76" s="702">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0</v>
      </c>
      <c r="R77" s="702">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0</v>
      </c>
      <c r="R78" s="702">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0</v>
      </c>
      <c r="R79" s="702">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0</v>
      </c>
      <c r="R80" s="702">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0</v>
      </c>
      <c r="R81" s="702">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0</v>
      </c>
      <c r="R82" s="702">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0</v>
      </c>
      <c r="R83" s="702">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0</v>
      </c>
      <c r="R84" s="702">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0</v>
      </c>
      <c r="R85" s="702">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0</v>
      </c>
      <c r="R86" s="702">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0</v>
      </c>
      <c r="R87" s="702">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0</v>
      </c>
      <c r="R88" s="702">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0</v>
      </c>
      <c r="R89" s="702">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0</v>
      </c>
      <c r="R90" s="702">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0</v>
      </c>
      <c r="R91" s="702">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2">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0</v>
      </c>
      <c r="R93" s="702">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0</v>
      </c>
      <c r="R94" s="702">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0</v>
      </c>
      <c r="R95" s="702">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0</v>
      </c>
      <c r="R96" s="702">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0</v>
      </c>
      <c r="R97" s="702">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0</v>
      </c>
      <c r="R98" s="702">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0</v>
      </c>
      <c r="R99" s="702">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0</v>
      </c>
      <c r="R100" s="702">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0</v>
      </c>
      <c r="R101" s="702">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0</v>
      </c>
      <c r="R102" s="702">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0</v>
      </c>
      <c r="R103" s="702">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0</v>
      </c>
      <c r="R104" s="702">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0</v>
      </c>
      <c r="R105" s="702">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0</v>
      </c>
      <c r="R106" s="702">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0</v>
      </c>
      <c r="R107" s="702">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0</v>
      </c>
      <c r="R108" s="702">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0</v>
      </c>
      <c r="R109" s="702">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0</v>
      </c>
      <c r="R110" s="702">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0</v>
      </c>
      <c r="R111" s="702">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0</v>
      </c>
      <c r="R112" s="702">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0</v>
      </c>
      <c r="R113" s="702">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0</v>
      </c>
      <c r="R114" s="702">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0</v>
      </c>
      <c r="R115" s="702">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0</v>
      </c>
      <c r="R116" s="702">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0</v>
      </c>
      <c r="R117" s="702">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0</v>
      </c>
      <c r="R118" s="702">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0</v>
      </c>
      <c r="R119" s="702">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0</v>
      </c>
      <c r="R120" s="702">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0</v>
      </c>
      <c r="R121" s="702">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0</v>
      </c>
      <c r="R122" s="702">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0</v>
      </c>
      <c r="R123" s="702">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0</v>
      </c>
      <c r="R124" s="702">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0</v>
      </c>
      <c r="R125" s="702">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0</v>
      </c>
      <c r="R126" s="702">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0</v>
      </c>
      <c r="R127" s="702">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0</v>
      </c>
      <c r="R128" s="702">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0</v>
      </c>
      <c r="R129" s="702">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0</v>
      </c>
      <c r="R130" s="702">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0</v>
      </c>
      <c r="R131" s="702">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0</v>
      </c>
      <c r="R132" s="702">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0</v>
      </c>
      <c r="R133" s="702">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0</v>
      </c>
      <c r="R134" s="702">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0</v>
      </c>
      <c r="R135" s="702">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0</v>
      </c>
      <c r="R136" s="702">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0</v>
      </c>
      <c r="R137" s="702">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0</v>
      </c>
      <c r="R138" s="702">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0</v>
      </c>
      <c r="R139" s="702">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0</v>
      </c>
      <c r="R140" s="702">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0</v>
      </c>
      <c r="R141" s="702">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0</v>
      </c>
      <c r="R142" s="702">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0</v>
      </c>
      <c r="R143" s="702">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0</v>
      </c>
      <c r="R144" s="702">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0</v>
      </c>
      <c r="R145" s="702">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0</v>
      </c>
      <c r="R146" s="702">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0</v>
      </c>
      <c r="R147" s="702">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0</v>
      </c>
      <c r="R148" s="702">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0</v>
      </c>
      <c r="R149" s="702">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0</v>
      </c>
      <c r="R150" s="702">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0</v>
      </c>
      <c r="R151" s="702">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0</v>
      </c>
      <c r="R152" s="702">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0</v>
      </c>
      <c r="R153" s="702">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0</v>
      </c>
      <c r="R154" s="702">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0</v>
      </c>
      <c r="R155" s="702">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2">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0</v>
      </c>
      <c r="R157" s="702">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0</v>
      </c>
      <c r="R158" s="702">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0</v>
      </c>
      <c r="R159" s="702">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0</v>
      </c>
      <c r="R160" s="702">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0</v>
      </c>
      <c r="R161" s="702">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0</v>
      </c>
      <c r="R162" s="702">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0</v>
      </c>
      <c r="R163" s="702">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0</v>
      </c>
      <c r="R164" s="702">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0</v>
      </c>
      <c r="R165" s="702">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0</v>
      </c>
      <c r="R166" s="702">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0</v>
      </c>
      <c r="R167" s="702">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0</v>
      </c>
      <c r="R168" s="702">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0</v>
      </c>
      <c r="R169" s="702">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0</v>
      </c>
      <c r="R170" s="702">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0</v>
      </c>
      <c r="R171" s="702">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0</v>
      </c>
      <c r="R172" s="702">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0</v>
      </c>
      <c r="R173" s="702">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0</v>
      </c>
      <c r="R174" s="702">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0</v>
      </c>
      <c r="R175" s="702">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0</v>
      </c>
      <c r="R176" s="702">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0</v>
      </c>
      <c r="R177" s="702">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0</v>
      </c>
      <c r="R178" s="702">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0</v>
      </c>
      <c r="R179" s="702">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0</v>
      </c>
      <c r="R180" s="702">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0</v>
      </c>
      <c r="R181" s="702">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0</v>
      </c>
      <c r="R182" s="702">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0</v>
      </c>
      <c r="R183" s="702">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0</v>
      </c>
      <c r="R184" s="702">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0</v>
      </c>
      <c r="R185" s="702">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0</v>
      </c>
      <c r="R186" s="702">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0</v>
      </c>
      <c r="R187" s="702">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0</v>
      </c>
      <c r="R188" s="702">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0</v>
      </c>
      <c r="R189" s="702">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0</v>
      </c>
      <c r="R190" s="702">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0</v>
      </c>
      <c r="R191" s="702">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0</v>
      </c>
      <c r="R192" s="702">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0</v>
      </c>
      <c r="R193" s="702">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0</v>
      </c>
      <c r="R194" s="702">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0</v>
      </c>
      <c r="R195" s="702">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0</v>
      </c>
      <c r="R196" s="702">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0</v>
      </c>
      <c r="R197" s="702">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0</v>
      </c>
      <c r="R198" s="702">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0</v>
      </c>
      <c r="R199" s="702">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0</v>
      </c>
      <c r="R200" s="702">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0</v>
      </c>
      <c r="R201" s="702">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0</v>
      </c>
      <c r="R202" s="702">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0</v>
      </c>
      <c r="R203" s="702">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0</v>
      </c>
      <c r="R204" s="702">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0</v>
      </c>
      <c r="R205" s="702">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0</v>
      </c>
      <c r="R206" s="702">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0</v>
      </c>
      <c r="R207" s="702">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0</v>
      </c>
      <c r="R208" s="702">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0</v>
      </c>
      <c r="R209" s="702">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0</v>
      </c>
      <c r="R210" s="702">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0</v>
      </c>
      <c r="R211" s="702">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0</v>
      </c>
      <c r="R212" s="702">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0</v>
      </c>
      <c r="R213" s="702">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0</v>
      </c>
      <c r="R214" s="702">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0</v>
      </c>
      <c r="R215" s="702">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0</v>
      </c>
      <c r="R216" s="702">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0</v>
      </c>
      <c r="R217" s="702">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0</v>
      </c>
      <c r="R218" s="702">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0</v>
      </c>
      <c r="R219" s="702">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2">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0</v>
      </c>
      <c r="R221" s="702">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0</v>
      </c>
      <c r="R222" s="702">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0</v>
      </c>
      <c r="R223" s="702">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0</v>
      </c>
      <c r="R224" s="702">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0</v>
      </c>
      <c r="R225" s="702">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0</v>
      </c>
      <c r="R226" s="702">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0</v>
      </c>
      <c r="R227" s="702">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0</v>
      </c>
      <c r="R228" s="702">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0</v>
      </c>
      <c r="R229" s="702">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0</v>
      </c>
      <c r="R230" s="702">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0</v>
      </c>
      <c r="R231" s="702">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0</v>
      </c>
      <c r="R232" s="702">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0</v>
      </c>
      <c r="R233" s="702">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0</v>
      </c>
      <c r="R234" s="702">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0</v>
      </c>
      <c r="R235" s="702">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0</v>
      </c>
      <c r="R236" s="702">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0</v>
      </c>
      <c r="R237" s="702">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0</v>
      </c>
      <c r="R238" s="702">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0</v>
      </c>
      <c r="R239" s="702">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0</v>
      </c>
      <c r="R240" s="702">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0</v>
      </c>
      <c r="R241" s="702">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0</v>
      </c>
      <c r="R242" s="702">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0</v>
      </c>
      <c r="R243" s="702">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0</v>
      </c>
      <c r="R244" s="702">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0</v>
      </c>
      <c r="R245" s="702">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0</v>
      </c>
      <c r="R246" s="702">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0</v>
      </c>
      <c r="R247" s="702">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0</v>
      </c>
      <c r="R248" s="702">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0</v>
      </c>
      <c r="R249" s="702">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0</v>
      </c>
      <c r="R250" s="702">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0</v>
      </c>
      <c r="R251" s="702">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0</v>
      </c>
      <c r="R252" s="702">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0</v>
      </c>
      <c r="R253" s="702">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0</v>
      </c>
      <c r="R254" s="702">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0</v>
      </c>
      <c r="R255" s="702">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0</v>
      </c>
      <c r="R256" s="702">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0</v>
      </c>
      <c r="R257" s="702">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0</v>
      </c>
      <c r="R258" s="702">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0</v>
      </c>
      <c r="R259" s="702">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0</v>
      </c>
      <c r="R260" s="702">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0</v>
      </c>
      <c r="R261" s="702">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0</v>
      </c>
      <c r="R262" s="702">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0</v>
      </c>
      <c r="R263" s="702">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0</v>
      </c>
      <c r="R264" s="702">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0</v>
      </c>
      <c r="R265" s="702">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0</v>
      </c>
      <c r="R266" s="702">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0</v>
      </c>
      <c r="R267" s="702">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0</v>
      </c>
      <c r="R268" s="702">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0</v>
      </c>
      <c r="R269" s="702">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0</v>
      </c>
      <c r="R270" s="702">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0</v>
      </c>
      <c r="R271" s="702">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0</v>
      </c>
      <c r="R272" s="702">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0</v>
      </c>
      <c r="R273" s="702">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0</v>
      </c>
      <c r="R274" s="702">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0</v>
      </c>
      <c r="R275" s="702">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0</v>
      </c>
      <c r="R276" s="702">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0</v>
      </c>
      <c r="R277" s="702">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0</v>
      </c>
      <c r="R278" s="702">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0</v>
      </c>
      <c r="R279" s="702">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0</v>
      </c>
      <c r="R280" s="702">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0</v>
      </c>
      <c r="R281" s="702">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0</v>
      </c>
      <c r="R282" s="702">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0</v>
      </c>
      <c r="R283" s="702">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2">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0</v>
      </c>
      <c r="R285" s="702">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0</v>
      </c>
      <c r="R286" s="702">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0</v>
      </c>
      <c r="R287" s="702">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0</v>
      </c>
      <c r="R288" s="702">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0</v>
      </c>
      <c r="R289" s="702">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0</v>
      </c>
      <c r="R290" s="702">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0</v>
      </c>
      <c r="R291" s="702">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0</v>
      </c>
      <c r="R292" s="702">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0</v>
      </c>
      <c r="R293" s="702">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0</v>
      </c>
      <c r="R294" s="702">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0</v>
      </c>
      <c r="R295" s="702">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0</v>
      </c>
      <c r="R296" s="702">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0</v>
      </c>
      <c r="R297" s="702">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0</v>
      </c>
      <c r="R298" s="702">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0</v>
      </c>
      <c r="R299" s="702">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0</v>
      </c>
      <c r="R300" s="702">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0</v>
      </c>
      <c r="R301" s="702">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0</v>
      </c>
      <c r="R302" s="702">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0</v>
      </c>
      <c r="R303" s="702">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0</v>
      </c>
      <c r="R304" s="702">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0</v>
      </c>
      <c r="R305" s="702">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0</v>
      </c>
      <c r="R306" s="702">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0</v>
      </c>
      <c r="R307" s="702">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0</v>
      </c>
      <c r="R308" s="702">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0</v>
      </c>
      <c r="R309" s="702">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0</v>
      </c>
      <c r="R310" s="702">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0</v>
      </c>
      <c r="R311" s="702">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0</v>
      </c>
      <c r="R312" s="702">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0</v>
      </c>
      <c r="R313" s="702">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0</v>
      </c>
      <c r="R314" s="702">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0</v>
      </c>
      <c r="R315" s="702">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0</v>
      </c>
      <c r="R316" s="702">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0</v>
      </c>
      <c r="R317" s="702">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0</v>
      </c>
      <c r="R318" s="702">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0</v>
      </c>
      <c r="R319" s="702">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0</v>
      </c>
      <c r="R320" s="702">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0</v>
      </c>
      <c r="R321" s="702">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0</v>
      </c>
      <c r="R322" s="702">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0</v>
      </c>
      <c r="R323" s="702">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0</v>
      </c>
      <c r="R324" s="702">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0</v>
      </c>
      <c r="R325" s="702">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0</v>
      </c>
      <c r="R326" s="702">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0</v>
      </c>
      <c r="R327" s="702">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0</v>
      </c>
      <c r="R328" s="702">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0</v>
      </c>
      <c r="R329" s="702">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0</v>
      </c>
      <c r="R330" s="702">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0</v>
      </c>
      <c r="R331" s="702">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0</v>
      </c>
      <c r="R332" s="702">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0</v>
      </c>
      <c r="R333" s="702">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0</v>
      </c>
      <c r="R334" s="702">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0</v>
      </c>
      <c r="R335" s="702">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0</v>
      </c>
      <c r="R336" s="702">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0</v>
      </c>
      <c r="R337" s="702">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0</v>
      </c>
      <c r="R338" s="702">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0</v>
      </c>
      <c r="R339" s="702">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0</v>
      </c>
      <c r="R340" s="702">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0</v>
      </c>
      <c r="R341" s="702">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0</v>
      </c>
      <c r="R342" s="702">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0</v>
      </c>
      <c r="R343" s="702">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0</v>
      </c>
      <c r="R344" s="702">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0</v>
      </c>
      <c r="R345" s="702">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0</v>
      </c>
      <c r="R346" s="702">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0</v>
      </c>
      <c r="R347" s="702">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2">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0</v>
      </c>
      <c r="R349" s="702">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0</v>
      </c>
      <c r="R350" s="702">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0</v>
      </c>
      <c r="R351" s="702">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0</v>
      </c>
      <c r="R352" s="702">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0</v>
      </c>
      <c r="R353" s="702">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0</v>
      </c>
      <c r="R354" s="702">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0</v>
      </c>
      <c r="R355" s="702">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0</v>
      </c>
      <c r="R356" s="702">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0</v>
      </c>
      <c r="R357" s="702">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0</v>
      </c>
      <c r="R358" s="702">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0</v>
      </c>
      <c r="R359" s="702">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0</v>
      </c>
      <c r="R360" s="702">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0</v>
      </c>
      <c r="R361" s="702">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0</v>
      </c>
      <c r="R362" s="702">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0</v>
      </c>
      <c r="R363" s="702">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0</v>
      </c>
      <c r="R364" s="702">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0</v>
      </c>
      <c r="R365" s="702">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0</v>
      </c>
      <c r="R366" s="702">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0</v>
      </c>
      <c r="R367" s="702">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0</v>
      </c>
      <c r="R368" s="702">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0</v>
      </c>
      <c r="R369" s="702">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0</v>
      </c>
      <c r="R370" s="702">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0</v>
      </c>
      <c r="R371" s="702">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0</v>
      </c>
      <c r="R372" s="702">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0</v>
      </c>
      <c r="R373" s="702">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0</v>
      </c>
      <c r="R374" s="702">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0</v>
      </c>
      <c r="R375" s="702">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0</v>
      </c>
      <c r="R376" s="702">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0</v>
      </c>
      <c r="R377" s="702">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0</v>
      </c>
      <c r="R378" s="702">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0</v>
      </c>
      <c r="R379" s="702">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0</v>
      </c>
      <c r="R380" s="702">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0</v>
      </c>
      <c r="R381" s="702">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0</v>
      </c>
      <c r="R382" s="702">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0</v>
      </c>
      <c r="R383" s="702">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0</v>
      </c>
      <c r="R384" s="702">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0</v>
      </c>
      <c r="R385" s="702">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0</v>
      </c>
      <c r="R386" s="702">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0</v>
      </c>
      <c r="R387" s="702">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0</v>
      </c>
      <c r="R388" s="702">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0</v>
      </c>
      <c r="R389" s="702">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0</v>
      </c>
      <c r="R390" s="702">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0</v>
      </c>
      <c r="R391" s="702">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0</v>
      </c>
      <c r="R392" s="702">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0</v>
      </c>
      <c r="R393" s="702">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0</v>
      </c>
      <c r="R394" s="702">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0</v>
      </c>
      <c r="R395" s="702">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0</v>
      </c>
      <c r="R396" s="702">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0</v>
      </c>
      <c r="R397" s="702">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0</v>
      </c>
      <c r="R398" s="702">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0</v>
      </c>
      <c r="R399" s="702">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0</v>
      </c>
      <c r="R400" s="702">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0</v>
      </c>
      <c r="R401" s="702">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0</v>
      </c>
      <c r="R402" s="702">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0</v>
      </c>
      <c r="R403" s="702">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0</v>
      </c>
      <c r="R404" s="702">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0</v>
      </c>
      <c r="R405" s="702">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0</v>
      </c>
      <c r="R406" s="702">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0</v>
      </c>
      <c r="R407" s="702">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0</v>
      </c>
      <c r="R408" s="702">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0</v>
      </c>
      <c r="R409" s="702">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0</v>
      </c>
      <c r="R410" s="702">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0</v>
      </c>
      <c r="R411" s="702">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2">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v>
      </c>
      <c r="R413" s="702">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v>
      </c>
      <c r="R414" s="702">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v>
      </c>
      <c r="R415" s="702">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v>
      </c>
      <c r="R416" s="702">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v>
      </c>
      <c r="R417" s="702">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v>
      </c>
      <c r="R418" s="702">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v>
      </c>
      <c r="R419" s="702">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v>
      </c>
      <c r="R420" s="702">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v>
      </c>
      <c r="R421" s="702">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v>
      </c>
      <c r="R422" s="702">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v>
      </c>
      <c r="R423" s="702">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v>
      </c>
      <c r="R424" s="702">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v>
      </c>
      <c r="R425" s="702">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v>
      </c>
      <c r="R426" s="702">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v>
      </c>
      <c r="R427" s="702">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v>
      </c>
      <c r="R428" s="702">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v>
      </c>
      <c r="R429" s="702">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v>
      </c>
      <c r="R430" s="702">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v>
      </c>
      <c r="R431" s="702">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v>
      </c>
      <c r="R432" s="702">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v>
      </c>
      <c r="R433" s="702">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v>
      </c>
      <c r="R434" s="702">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v>
      </c>
      <c r="R435" s="702">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v>
      </c>
      <c r="R436" s="702">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v>
      </c>
      <c r="R437" s="702">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v>
      </c>
      <c r="R438" s="702">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v>
      </c>
      <c r="R439" s="702">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v>
      </c>
      <c r="R440" s="702">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v>
      </c>
      <c r="R441" s="702">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v>
      </c>
      <c r="R442" s="702">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v>
      </c>
      <c r="R443" s="702">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v>
      </c>
      <c r="R444" s="702">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v>
      </c>
      <c r="R445" s="702">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v>
      </c>
      <c r="R446" s="702">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v>
      </c>
      <c r="R447" s="702">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v>
      </c>
      <c r="R448" s="702">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v>
      </c>
      <c r="R449" s="702">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v>
      </c>
      <c r="R450" s="702">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v>
      </c>
      <c r="R451" s="702">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v>
      </c>
      <c r="R452" s="702">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v>
      </c>
      <c r="R453" s="702">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v>
      </c>
      <c r="R454" s="702">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v>
      </c>
      <c r="R455" s="702">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v>
      </c>
      <c r="R456" s="702">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v>
      </c>
      <c r="R457" s="702">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v>
      </c>
      <c r="R458" s="702">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v>
      </c>
      <c r="R459" s="702">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v>
      </c>
      <c r="R460" s="702">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v>
      </c>
      <c r="R461" s="702">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v>
      </c>
      <c r="R462" s="702">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v>
      </c>
      <c r="R463" s="702">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v>
      </c>
      <c r="R464" s="702">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v>
      </c>
      <c r="R465" s="702">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v>
      </c>
      <c r="R466" s="702">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v>
      </c>
      <c r="R467" s="702">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v>
      </c>
      <c r="R468" s="702">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v>
      </c>
      <c r="R469" s="702">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v>
      </c>
      <c r="R470" s="702">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v>
      </c>
      <c r="R471" s="702">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v>
      </c>
      <c r="R472" s="702">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v>
      </c>
      <c r="R473" s="702">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v>
      </c>
      <c r="R474" s="702">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v>
      </c>
      <c r="R475" s="702">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2">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v>
      </c>
      <c r="R477" s="702">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v>
      </c>
      <c r="R478" s="702">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v>
      </c>
      <c r="R479" s="702">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v>
      </c>
      <c r="R480" s="702">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v>
      </c>
      <c r="R481" s="702">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v>
      </c>
      <c r="R482" s="702">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v>
      </c>
      <c r="R483" s="702">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v>
      </c>
      <c r="R484" s="702">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v>
      </c>
      <c r="R485" s="702">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v>
      </c>
      <c r="R486" s="702">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v>
      </c>
      <c r="R487" s="702">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v>
      </c>
      <c r="R488" s="702">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v>
      </c>
      <c r="R489" s="702">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v>
      </c>
      <c r="R490" s="702">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v>
      </c>
      <c r="R491" s="702">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v>
      </c>
      <c r="R492" s="702">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v>
      </c>
      <c r="R493" s="702">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v>
      </c>
      <c r="R494" s="702">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v>
      </c>
      <c r="R495" s="702">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v>
      </c>
      <c r="R496" s="702">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v>
      </c>
      <c r="R497" s="702">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v>
      </c>
      <c r="R498" s="702">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v>
      </c>
      <c r="R499" s="702">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v>
      </c>
      <c r="R500" s="702">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v>
      </c>
      <c r="R501" s="702">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v>
      </c>
      <c r="R502" s="702">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v>
      </c>
      <c r="R503" s="702">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v>
      </c>
      <c r="R504" s="702">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v>
      </c>
      <c r="R505" s="702">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v>
      </c>
      <c r="R506" s="702">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v>
      </c>
      <c r="R507" s="702">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v>
      </c>
      <c r="R508" s="702">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v>
      </c>
      <c r="R509" s="702">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v>
      </c>
      <c r="R510" s="702">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v>
      </c>
      <c r="R511" s="702">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v>
      </c>
      <c r="R512" s="702">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v>
      </c>
      <c r="R513" s="702">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v>
      </c>
      <c r="R514" s="702">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v>
      </c>
      <c r="R515" s="702">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v>
      </c>
      <c r="R516" s="702">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v>
      </c>
      <c r="R517" s="702">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v>
      </c>
      <c r="R518" s="702">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v>
      </c>
      <c r="R519" s="702">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v>
      </c>
      <c r="R520" s="702">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v>
      </c>
      <c r="R521" s="702">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v>
      </c>
      <c r="R522" s="702">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v>
      </c>
      <c r="R523" s="702">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v>
      </c>
      <c r="R524" s="702">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v>
      </c>
      <c r="R525" s="702">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v>
      </c>
      <c r="R526" s="702">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v>
      </c>
      <c r="R527" s="702">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2330</v>
      </c>
      <c r="B1" s="1731" t="s">
        <v>2472</v>
      </c>
      <c r="C1" s="1723"/>
      <c r="D1" s="1736"/>
      <c r="E1" s="2381"/>
      <c r="F1" s="1737" t="s">
        <v>2332</v>
      </c>
      <c r="G1" s="1736"/>
      <c r="H1" s="1736"/>
      <c r="I1" s="1736"/>
      <c r="J1" s="1736"/>
      <c r="K1" s="1738"/>
      <c r="L1" s="1730"/>
      <c r="M1" s="1731"/>
      <c r="N1" s="1731"/>
      <c r="O1" s="1731"/>
      <c r="P1" s="1731"/>
      <c r="Q1" s="1731"/>
      <c r="R1" s="1731"/>
      <c r="S1" s="1731"/>
      <c r="T1" s="1731"/>
      <c r="U1" s="1731"/>
      <c r="V1" s="1731"/>
      <c r="W1" s="1731"/>
      <c r="X1" s="1731"/>
      <c r="Y1" s="1731"/>
      <c r="Z1" s="1731"/>
      <c r="AA1" s="1731"/>
      <c r="AB1" s="2462"/>
      <c r="AC1" s="1733"/>
    </row>
    <row r="2" spans="1:29" s="377" customFormat="1" ht="28.5" customHeight="1" thickTop="1">
      <c r="A2" s="1724" t="s">
        <v>2000</v>
      </c>
      <c r="B2" s="1722" t="e">
        <f ca="1">IF(D2="——",IF(C2="元",ROUND(C50*D3,0),ROUND(C50*D3/10000,0)),IF(C2="元",ROUND(C50*D3,0),ROUND(C50*D3/10000,0))-E2)</f>
        <v>#DIV/0!</v>
      </c>
      <c r="C2" s="163" t="str">
        <f>'数据-取费表'!B3</f>
        <v>元</v>
      </c>
      <c r="D2" s="2383"/>
      <c r="E2" s="1839"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2463"/>
      <c r="AC2" s="760"/>
    </row>
    <row r="3" spans="1:29" s="377" customFormat="1" ht="28.5" customHeight="1" thickBot="1">
      <c r="A3" s="167" t="s">
        <v>2001</v>
      </c>
      <c r="B3" s="593" t="e">
        <f ca="1">ROUND(IF(D2="——",C50,IF(C2="万元",B2*10000/D3,B2/D3)),0)</f>
        <v>#DIV/0!</v>
      </c>
      <c r="C3" s="379" t="s">
        <v>2333</v>
      </c>
      <c r="D3" s="378">
        <f>IF(C1="仅计算典型户型",'数据-取费表'!E5,'数据-取费表'!B5)</f>
        <v>450.38</v>
      </c>
      <c r="E3" s="2455"/>
      <c r="F3" s="981"/>
      <c r="G3" s="980"/>
      <c r="H3" s="980"/>
      <c r="I3" s="980"/>
      <c r="J3" s="980"/>
      <c r="K3" s="982"/>
      <c r="L3" s="1239"/>
      <c r="M3" s="1240"/>
      <c r="N3" s="1240"/>
      <c r="O3" s="1240"/>
      <c r="P3" s="736"/>
      <c r="Q3" s="736"/>
      <c r="R3" s="736"/>
      <c r="S3" s="736"/>
      <c r="T3" s="736"/>
      <c r="U3" s="736"/>
      <c r="V3" s="736"/>
      <c r="W3" s="736"/>
      <c r="X3" s="746"/>
      <c r="Y3" s="736"/>
      <c r="Z3" s="736"/>
      <c r="AA3" s="736"/>
      <c r="AB3" s="2464"/>
      <c r="AC3" s="760"/>
    </row>
    <row r="4" spans="1:29" ht="15">
      <c r="A4" s="380" t="s">
        <v>2334</v>
      </c>
      <c r="B4" s="381"/>
      <c r="C4" s="3002" t="s">
        <v>2335</v>
      </c>
      <c r="D4" s="3003"/>
      <c r="E4" s="3004" t="s">
        <v>2336</v>
      </c>
      <c r="F4" s="3005"/>
      <c r="G4" s="3002" t="s">
        <v>2337</v>
      </c>
      <c r="H4" s="3003"/>
      <c r="I4" s="3002" t="s">
        <v>2338</v>
      </c>
      <c r="J4" s="3003"/>
      <c r="K4" s="594" t="s">
        <v>2339</v>
      </c>
      <c r="L4" s="1241"/>
      <c r="M4" s="1242"/>
      <c r="N4" s="1242"/>
      <c r="O4" s="1242"/>
      <c r="P4" s="3059" t="s">
        <v>2340</v>
      </c>
      <c r="Q4" s="3007"/>
      <c r="R4" s="2988" t="s">
        <v>2336</v>
      </c>
      <c r="S4" s="2989"/>
      <c r="T4" s="2988" t="s">
        <v>2337</v>
      </c>
      <c r="U4" s="2989"/>
      <c r="V4" s="3012" t="s">
        <v>2338</v>
      </c>
      <c r="W4" s="3012"/>
      <c r="X4" s="1897"/>
      <c r="Y4" s="2988" t="s">
        <v>2340</v>
      </c>
      <c r="Z4" s="2989"/>
      <c r="AA4" s="2999" t="s">
        <v>2336</v>
      </c>
      <c r="AB4" s="2999" t="s">
        <v>2337</v>
      </c>
      <c r="AC4" s="2999" t="s">
        <v>2338</v>
      </c>
    </row>
    <row r="5" spans="1:29" ht="15">
      <c r="A5" s="383"/>
      <c r="B5" s="384"/>
      <c r="C5" s="3015" t="s">
        <v>2341</v>
      </c>
      <c r="D5" s="3016"/>
      <c r="E5" s="3062" t="s">
        <v>2342</v>
      </c>
      <c r="F5" s="3014"/>
      <c r="G5" s="3015" t="s">
        <v>2343</v>
      </c>
      <c r="H5" s="3016"/>
      <c r="I5" s="3015" t="s">
        <v>2344</v>
      </c>
      <c r="J5" s="3016"/>
      <c r="K5" s="594"/>
      <c r="L5" s="1241"/>
      <c r="M5" s="1242"/>
      <c r="N5" s="1242"/>
      <c r="O5" s="1242"/>
      <c r="P5" s="3060"/>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594" t="s">
        <v>2346</v>
      </c>
      <c r="L6" s="1241"/>
      <c r="M6" s="1242"/>
      <c r="N6" s="1242"/>
      <c r="O6" s="1242"/>
      <c r="P6" s="3061"/>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2994" t="s">
        <v>2348</v>
      </c>
      <c r="Q7" s="2994"/>
      <c r="R7" s="748" t="s">
        <v>25</v>
      </c>
      <c r="S7" s="749">
        <f t="shared" ref="S7:S15" si="0">F7</f>
        <v>0</v>
      </c>
      <c r="T7" s="748" t="s">
        <v>25</v>
      </c>
      <c r="U7" s="749">
        <f t="shared" ref="U7:U15" si="1">H7</f>
        <v>0</v>
      </c>
      <c r="V7" s="748" t="s">
        <v>25</v>
      </c>
      <c r="W7" s="749">
        <f t="shared" ref="W7:W15" si="2">J7</f>
        <v>0</v>
      </c>
      <c r="X7" s="750"/>
      <c r="Y7" s="2986" t="s">
        <v>2348</v>
      </c>
      <c r="Z7" s="2987"/>
      <c r="AA7" s="751" t="e">
        <f>D7/F7</f>
        <v>#DIV/0!</v>
      </c>
      <c r="AB7" s="751" t="e">
        <f>D7/H7</f>
        <v>#DIV/0!</v>
      </c>
      <c r="AC7" s="751" t="e">
        <f>D7/J7</f>
        <v>#DIV/0!</v>
      </c>
    </row>
    <row r="8" spans="1:29" s="35" customFormat="1" ht="15.75" thickBot="1">
      <c r="A8" s="387" t="s">
        <v>2349</v>
      </c>
      <c r="B8" s="388"/>
      <c r="C8" s="394" t="s">
        <v>2350</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2994" t="s">
        <v>2351</v>
      </c>
      <c r="Q8" s="2987"/>
      <c r="R8" s="748" t="s">
        <v>25</v>
      </c>
      <c r="S8" s="749">
        <f t="shared" si="0"/>
        <v>0</v>
      </c>
      <c r="T8" s="748" t="s">
        <v>25</v>
      </c>
      <c r="U8" s="749">
        <f t="shared" si="1"/>
        <v>0</v>
      </c>
      <c r="V8" s="748" t="s">
        <v>25</v>
      </c>
      <c r="W8" s="749">
        <f t="shared" si="2"/>
        <v>0</v>
      </c>
      <c r="X8" s="750"/>
      <c r="Y8" s="2986" t="s">
        <v>2351</v>
      </c>
      <c r="Z8" s="2987"/>
      <c r="AA8" s="751" t="e">
        <f t="shared" ref="AA8:AA47" si="3">D8/F8</f>
        <v>#DIV/0!</v>
      </c>
      <c r="AB8" s="751" t="e">
        <f t="shared" ref="AB8:AB47" si="4">D8/H8</f>
        <v>#DIV/0!</v>
      </c>
      <c r="AC8" s="751" t="e">
        <f t="shared" ref="AC8:AC47" si="5">D8/J8</f>
        <v>#DIV/0!</v>
      </c>
    </row>
    <row r="9" spans="1:29" s="35" customFormat="1">
      <c r="A9" s="395" t="s">
        <v>2352</v>
      </c>
      <c r="B9" s="28" t="s">
        <v>2353</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79"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29" s="407" customFormat="1" ht="27">
      <c r="A10" s="401"/>
      <c r="B10" s="402" t="s">
        <v>2356</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79"/>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c r="A11" s="408"/>
      <c r="B11" s="402" t="s">
        <v>2357</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79"/>
      <c r="Q11" s="1884" t="str">
        <f t="shared" si="6"/>
        <v>容积率</v>
      </c>
      <c r="R11" s="748" t="s">
        <v>25</v>
      </c>
      <c r="S11" s="749" t="e">
        <f t="shared" si="0"/>
        <v>#N/A</v>
      </c>
      <c r="T11" s="748" t="s">
        <v>25</v>
      </c>
      <c r="U11" s="749" t="e">
        <f t="shared" si="1"/>
        <v>#N/A</v>
      </c>
      <c r="V11" s="748" t="s">
        <v>25</v>
      </c>
      <c r="W11" s="749" t="e">
        <f t="shared" si="2"/>
        <v>#N/A</v>
      </c>
      <c r="X11" s="750"/>
      <c r="Y11" s="2837"/>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2979"/>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
      <c r="A13" s="408"/>
      <c r="B13" s="2398">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2979"/>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15.75" thickBot="1">
      <c r="A14" s="416"/>
      <c r="B14" s="2400">
        <v>111</v>
      </c>
      <c r="C14" s="2401"/>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2979"/>
      <c r="Q14" s="1884">
        <f t="shared" si="6"/>
        <v>111</v>
      </c>
      <c r="R14" s="748" t="s">
        <v>25</v>
      </c>
      <c r="S14" s="749">
        <f t="shared" si="0"/>
        <v>100</v>
      </c>
      <c r="T14" s="748" t="s">
        <v>25</v>
      </c>
      <c r="U14" s="749">
        <f t="shared" si="1"/>
        <v>100</v>
      </c>
      <c r="V14" s="748" t="s">
        <v>25</v>
      </c>
      <c r="W14" s="749">
        <f t="shared" si="2"/>
        <v>100</v>
      </c>
      <c r="X14" s="750"/>
      <c r="Y14" s="2837"/>
      <c r="Z14" s="23">
        <f t="shared" si="7"/>
        <v>111</v>
      </c>
      <c r="AA14" s="751">
        <f t="shared" si="3"/>
        <v>1</v>
      </c>
      <c r="AB14" s="751">
        <f t="shared" si="4"/>
        <v>1</v>
      </c>
      <c r="AC14" s="751">
        <f t="shared" si="5"/>
        <v>1</v>
      </c>
    </row>
    <row r="15" spans="1:29" ht="71.25">
      <c r="A15" s="419" t="s">
        <v>2358</v>
      </c>
      <c r="B15" s="613" t="s">
        <v>2473</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07" t="s">
        <v>2359</v>
      </c>
      <c r="Q15" s="1896" t="str">
        <f t="shared" si="6"/>
        <v>办公集聚程度</v>
      </c>
      <c r="R15" s="752" t="s">
        <v>25</v>
      </c>
      <c r="S15" s="753">
        <f t="shared" si="0"/>
        <v>100</v>
      </c>
      <c r="T15" s="752" t="s">
        <v>25</v>
      </c>
      <c r="U15" s="753">
        <f t="shared" si="1"/>
        <v>100</v>
      </c>
      <c r="V15" s="752" t="s">
        <v>25</v>
      </c>
      <c r="W15" s="753">
        <f t="shared" si="2"/>
        <v>100</v>
      </c>
      <c r="X15" s="1897"/>
      <c r="Y15" s="2997" t="s">
        <v>2359</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09"/>
      <c r="Q16" s="1896"/>
      <c r="R16" s="752"/>
      <c r="S16" s="753"/>
      <c r="T16" s="752"/>
      <c r="U16" s="753"/>
      <c r="V16" s="752"/>
      <c r="W16" s="753"/>
      <c r="X16" s="1897"/>
      <c r="Y16" s="2998"/>
      <c r="Z16" s="1899"/>
      <c r="AA16" s="1900">
        <v>1</v>
      </c>
      <c r="AB16" s="1900">
        <v>1</v>
      </c>
      <c r="AC16" s="1900">
        <v>1</v>
      </c>
    </row>
    <row r="17" spans="1:29" ht="85.5">
      <c r="A17" s="408"/>
      <c r="B17" s="615" t="s">
        <v>1742</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09"/>
      <c r="Q17" s="1896" t="str">
        <f>B17</f>
        <v>交通便捷度</v>
      </c>
      <c r="R17" s="752" t="s">
        <v>25</v>
      </c>
      <c r="S17" s="753">
        <f>F17</f>
        <v>100</v>
      </c>
      <c r="T17" s="752" t="s">
        <v>25</v>
      </c>
      <c r="U17" s="753">
        <f>H17</f>
        <v>100</v>
      </c>
      <c r="V17" s="752" t="s">
        <v>25</v>
      </c>
      <c r="W17" s="753">
        <f>J17</f>
        <v>100</v>
      </c>
      <c r="X17" s="1897"/>
      <c r="Y17" s="2998"/>
      <c r="Z17" s="1899" t="str">
        <f>Q17</f>
        <v>交通便捷度</v>
      </c>
      <c r="AA17" s="1900">
        <f t="shared" si="3"/>
        <v>1</v>
      </c>
      <c r="AB17" s="1900">
        <f t="shared" si="4"/>
        <v>1</v>
      </c>
      <c r="AC17" s="1900">
        <f t="shared" si="5"/>
        <v>1</v>
      </c>
    </row>
    <row r="18" spans="1:29" ht="15">
      <c r="A18" s="408"/>
      <c r="B18" s="616"/>
      <c r="C18" s="2468"/>
      <c r="D18" s="430"/>
      <c r="E18" s="2406"/>
      <c r="F18" s="430"/>
      <c r="G18" s="1465"/>
      <c r="H18" s="427"/>
      <c r="I18" s="1465"/>
      <c r="J18" s="427"/>
      <c r="K18" s="599"/>
      <c r="L18" s="1251"/>
      <c r="M18" s="1242"/>
      <c r="N18" s="1242"/>
      <c r="O18" s="1242"/>
      <c r="P18" s="3009"/>
      <c r="Q18" s="1896"/>
      <c r="R18" s="752"/>
      <c r="S18" s="753"/>
      <c r="T18" s="752"/>
      <c r="U18" s="753"/>
      <c r="V18" s="752"/>
      <c r="W18" s="753"/>
      <c r="X18" s="1897"/>
      <c r="Y18" s="2998"/>
      <c r="Z18" s="1899"/>
      <c r="AA18" s="1900">
        <v>1</v>
      </c>
      <c r="AB18" s="1900">
        <v>1</v>
      </c>
      <c r="AC18" s="1900">
        <v>1</v>
      </c>
    </row>
    <row r="19" spans="1:29" ht="42.75">
      <c r="A19" s="408"/>
      <c r="B19" s="615" t="s">
        <v>2474</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09"/>
      <c r="Q19" s="1896" t="str">
        <f>B19</f>
        <v>公共配套设施</v>
      </c>
      <c r="R19" s="752" t="s">
        <v>25</v>
      </c>
      <c r="S19" s="753">
        <f>F19</f>
        <v>100</v>
      </c>
      <c r="T19" s="752" t="s">
        <v>25</v>
      </c>
      <c r="U19" s="753">
        <f>H19</f>
        <v>100</v>
      </c>
      <c r="V19" s="752" t="s">
        <v>25</v>
      </c>
      <c r="W19" s="753">
        <f>J19</f>
        <v>100</v>
      </c>
      <c r="X19" s="1897"/>
      <c r="Y19" s="2998"/>
      <c r="Z19" s="1899" t="str">
        <f>Q19</f>
        <v>公共配套设施</v>
      </c>
      <c r="AA19" s="1900">
        <f t="shared" si="3"/>
        <v>1</v>
      </c>
      <c r="AB19" s="1900">
        <f t="shared" si="4"/>
        <v>1</v>
      </c>
      <c r="AC19" s="1900">
        <f t="shared" si="5"/>
        <v>1</v>
      </c>
    </row>
    <row r="20" spans="1:29" ht="15">
      <c r="A20" s="408"/>
      <c r="B20" s="616"/>
      <c r="C20" s="1469"/>
      <c r="D20" s="427"/>
      <c r="E20" s="2403"/>
      <c r="F20" s="427"/>
      <c r="G20" s="428"/>
      <c r="H20" s="427"/>
      <c r="I20" s="428"/>
      <c r="J20" s="427"/>
      <c r="K20" s="599"/>
      <c r="L20" s="1251"/>
      <c r="M20" s="1242"/>
      <c r="N20" s="1242"/>
      <c r="O20" s="1242"/>
      <c r="P20" s="3009"/>
      <c r="Q20" s="1896"/>
      <c r="R20" s="752"/>
      <c r="S20" s="753"/>
      <c r="T20" s="752"/>
      <c r="U20" s="753"/>
      <c r="V20" s="752"/>
      <c r="W20" s="753"/>
      <c r="X20" s="1897"/>
      <c r="Y20" s="2998"/>
      <c r="Z20" s="1899"/>
      <c r="AA20" s="1900">
        <v>1</v>
      </c>
      <c r="AB20" s="1900">
        <v>1</v>
      </c>
      <c r="AC20" s="1900">
        <v>1</v>
      </c>
    </row>
    <row r="21" spans="1:29" ht="28.5">
      <c r="A21" s="408"/>
      <c r="B21" s="617" t="s">
        <v>2475</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09"/>
      <c r="Q21" s="1896" t="str">
        <f>B21</f>
        <v>基础设施水平</v>
      </c>
      <c r="R21" s="752" t="s">
        <v>25</v>
      </c>
      <c r="S21" s="753">
        <f>F21</f>
        <v>100</v>
      </c>
      <c r="T21" s="752" t="s">
        <v>25</v>
      </c>
      <c r="U21" s="753">
        <f>H21</f>
        <v>100</v>
      </c>
      <c r="V21" s="752" t="s">
        <v>25</v>
      </c>
      <c r="W21" s="753">
        <f>J21</f>
        <v>100</v>
      </c>
      <c r="X21" s="1897"/>
      <c r="Y21" s="2998"/>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69"/>
      <c r="H22" s="427"/>
      <c r="I22" s="1469"/>
      <c r="J22" s="427"/>
      <c r="K22" s="1466"/>
      <c r="L22" s="1251"/>
      <c r="M22" s="1242"/>
      <c r="N22" s="1242"/>
      <c r="O22" s="1242"/>
      <c r="P22" s="3009"/>
      <c r="Q22" s="1896"/>
      <c r="R22" s="752"/>
      <c r="S22" s="753"/>
      <c r="T22" s="752"/>
      <c r="U22" s="753"/>
      <c r="V22" s="752"/>
      <c r="W22" s="753"/>
      <c r="X22" s="1897"/>
      <c r="Y22" s="2998"/>
      <c r="Z22" s="1899"/>
      <c r="AA22" s="1900">
        <v>1</v>
      </c>
      <c r="AB22" s="1900">
        <v>1</v>
      </c>
      <c r="AC22" s="1900">
        <v>1</v>
      </c>
    </row>
    <row r="23" spans="1:29" ht="57">
      <c r="A23" s="408"/>
      <c r="B23" s="615" t="s">
        <v>2476</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09"/>
      <c r="Q23" s="1896" t="str">
        <f>B23</f>
        <v>环境质量</v>
      </c>
      <c r="R23" s="752" t="s">
        <v>25</v>
      </c>
      <c r="S23" s="753">
        <f>F23</f>
        <v>100</v>
      </c>
      <c r="T23" s="752" t="s">
        <v>25</v>
      </c>
      <c r="U23" s="753">
        <f>H23</f>
        <v>100</v>
      </c>
      <c r="V23" s="752" t="s">
        <v>25</v>
      </c>
      <c r="W23" s="753">
        <f>J23</f>
        <v>100</v>
      </c>
      <c r="X23" s="1897"/>
      <c r="Y23" s="2998"/>
      <c r="Z23" s="1899" t="str">
        <f>Q23</f>
        <v>环境质量</v>
      </c>
      <c r="AA23" s="1900">
        <f t="shared" si="3"/>
        <v>1</v>
      </c>
      <c r="AB23" s="1900">
        <f t="shared" si="4"/>
        <v>1</v>
      </c>
      <c r="AC23" s="1900">
        <f t="shared" si="5"/>
        <v>1</v>
      </c>
    </row>
    <row r="24" spans="1:29" ht="15">
      <c r="A24" s="408"/>
      <c r="B24" s="617"/>
      <c r="C24" s="1469"/>
      <c r="D24" s="427"/>
      <c r="E24" s="2403"/>
      <c r="F24" s="427"/>
      <c r="G24" s="428"/>
      <c r="H24" s="427"/>
      <c r="I24" s="428"/>
      <c r="J24" s="427"/>
      <c r="K24" s="599"/>
      <c r="L24" s="1251"/>
      <c r="M24" s="1242"/>
      <c r="N24" s="1242"/>
      <c r="O24" s="1242"/>
      <c r="P24" s="3009"/>
      <c r="Q24" s="1896"/>
      <c r="R24" s="752"/>
      <c r="S24" s="753"/>
      <c r="T24" s="752"/>
      <c r="U24" s="753"/>
      <c r="V24" s="752"/>
      <c r="W24" s="753"/>
      <c r="X24" s="1897"/>
      <c r="Y24" s="2998"/>
      <c r="Z24" s="1899"/>
      <c r="AA24" s="1900">
        <v>1</v>
      </c>
      <c r="AB24" s="1900">
        <v>1</v>
      </c>
      <c r="AC24" s="1900">
        <v>1</v>
      </c>
    </row>
    <row r="25" spans="1:29" ht="27">
      <c r="A25" s="383"/>
      <c r="B25" s="615" t="s">
        <v>2477</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09"/>
      <c r="Q25" s="1896" t="str">
        <f>B25</f>
        <v>毗邻道路的类型与等级</v>
      </c>
      <c r="R25" s="752" t="s">
        <v>25</v>
      </c>
      <c r="S25" s="753">
        <f>F25</f>
        <v>100</v>
      </c>
      <c r="T25" s="752" t="s">
        <v>25</v>
      </c>
      <c r="U25" s="753">
        <f>H25</f>
        <v>100</v>
      </c>
      <c r="V25" s="752" t="s">
        <v>25</v>
      </c>
      <c r="W25" s="753">
        <f>J25</f>
        <v>100</v>
      </c>
      <c r="X25" s="1897"/>
      <c r="Y25" s="2998"/>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09"/>
      <c r="Q26" s="1896"/>
      <c r="R26" s="752"/>
      <c r="S26" s="753"/>
      <c r="T26" s="752"/>
      <c r="U26" s="753"/>
      <c r="V26" s="752"/>
      <c r="W26" s="753"/>
      <c r="X26" s="1897"/>
      <c r="Y26" s="2998"/>
      <c r="Z26" s="1899"/>
      <c r="AA26" s="1900">
        <v>1</v>
      </c>
      <c r="AB26" s="1900">
        <v>1</v>
      </c>
      <c r="AC26" s="1900">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09"/>
      <c r="Q27" s="1896" t="str">
        <f t="shared" ref="Q27:Q47" si="11">B27</f>
        <v>楼层</v>
      </c>
      <c r="R27" s="752" t="s">
        <v>25</v>
      </c>
      <c r="S27" s="753">
        <f>F27</f>
        <v>100</v>
      </c>
      <c r="T27" s="752" t="s">
        <v>25</v>
      </c>
      <c r="U27" s="753">
        <f>H27</f>
        <v>100</v>
      </c>
      <c r="V27" s="752" t="s">
        <v>25</v>
      </c>
      <c r="W27" s="753">
        <f>J27</f>
        <v>100</v>
      </c>
      <c r="X27" s="1897"/>
      <c r="Y27" s="2998"/>
      <c r="Z27" s="1899" t="str">
        <f>Q27</f>
        <v>楼层</v>
      </c>
      <c r="AA27" s="1900">
        <f t="shared" si="3"/>
        <v>1</v>
      </c>
      <c r="AB27" s="1900">
        <f t="shared" si="4"/>
        <v>1</v>
      </c>
      <c r="AC27" s="1900">
        <f t="shared" si="5"/>
        <v>1</v>
      </c>
    </row>
    <row r="28" spans="1:29" s="35" customFormat="1" ht="15">
      <c r="A28" s="411"/>
      <c r="B28" s="615" t="s">
        <v>2478</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09"/>
      <c r="Q28" s="1884" t="str">
        <f t="shared" si="11"/>
        <v>朝向</v>
      </c>
      <c r="R28" s="748" t="s">
        <v>25</v>
      </c>
      <c r="S28" s="749">
        <f>F28</f>
        <v>100</v>
      </c>
      <c r="T28" s="748" t="s">
        <v>25</v>
      </c>
      <c r="U28" s="749">
        <f>H28</f>
        <v>100</v>
      </c>
      <c r="V28" s="748" t="s">
        <v>25</v>
      </c>
      <c r="W28" s="749">
        <f>J28</f>
        <v>100</v>
      </c>
      <c r="X28" s="750"/>
      <c r="Y28" s="2998"/>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09"/>
      <c r="Q29" s="1896">
        <f t="shared" si="11"/>
        <v>111</v>
      </c>
      <c r="R29" s="752" t="s">
        <v>25</v>
      </c>
      <c r="S29" s="753">
        <f t="shared" ref="S29:S47" si="12">F29</f>
        <v>100</v>
      </c>
      <c r="T29" s="752" t="s">
        <v>25</v>
      </c>
      <c r="U29" s="753">
        <f t="shared" ref="U29:U47" si="13">H29</f>
        <v>100</v>
      </c>
      <c r="V29" s="752" t="s">
        <v>25</v>
      </c>
      <c r="W29" s="753">
        <f t="shared" ref="W29:W47" si="14">J29</f>
        <v>100</v>
      </c>
      <c r="X29" s="1897"/>
      <c r="Y29" s="2998"/>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09"/>
      <c r="Q30" s="1896">
        <f t="shared" si="11"/>
        <v>111</v>
      </c>
      <c r="R30" s="752" t="s">
        <v>25</v>
      </c>
      <c r="S30" s="753">
        <f t="shared" si="12"/>
        <v>100</v>
      </c>
      <c r="T30" s="752" t="s">
        <v>25</v>
      </c>
      <c r="U30" s="753">
        <f t="shared" si="13"/>
        <v>100</v>
      </c>
      <c r="V30" s="752" t="s">
        <v>25</v>
      </c>
      <c r="W30" s="753">
        <f t="shared" si="14"/>
        <v>100</v>
      </c>
      <c r="X30" s="1897"/>
      <c r="Y30" s="2998"/>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09"/>
      <c r="Q31" s="1896">
        <f t="shared" si="11"/>
        <v>111</v>
      </c>
      <c r="R31" s="752" t="s">
        <v>25</v>
      </c>
      <c r="S31" s="753">
        <f t="shared" si="12"/>
        <v>100</v>
      </c>
      <c r="T31" s="752" t="s">
        <v>25</v>
      </c>
      <c r="U31" s="753">
        <f t="shared" si="13"/>
        <v>100</v>
      </c>
      <c r="V31" s="752" t="s">
        <v>25</v>
      </c>
      <c r="W31" s="753">
        <f t="shared" si="14"/>
        <v>100</v>
      </c>
      <c r="X31" s="1897"/>
      <c r="Y31" s="2998"/>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09"/>
      <c r="Q32" s="1896">
        <f t="shared" si="11"/>
        <v>111</v>
      </c>
      <c r="R32" s="752" t="s">
        <v>25</v>
      </c>
      <c r="S32" s="753">
        <f t="shared" si="12"/>
        <v>100</v>
      </c>
      <c r="T32" s="752" t="s">
        <v>25</v>
      </c>
      <c r="U32" s="753">
        <f t="shared" si="13"/>
        <v>100</v>
      </c>
      <c r="V32" s="752" t="s">
        <v>25</v>
      </c>
      <c r="W32" s="753">
        <f t="shared" si="14"/>
        <v>100</v>
      </c>
      <c r="X32" s="1897"/>
      <c r="Y32" s="2998"/>
      <c r="Z32" s="1899">
        <f t="shared" si="15"/>
        <v>111</v>
      </c>
      <c r="AA32" s="1900">
        <f t="shared" si="3"/>
        <v>1</v>
      </c>
      <c r="AB32" s="1900">
        <f t="shared" si="4"/>
        <v>1</v>
      </c>
      <c r="AC32" s="1900">
        <f t="shared" si="5"/>
        <v>1</v>
      </c>
    </row>
    <row r="33" spans="1:29" ht="15">
      <c r="A33" s="419" t="s">
        <v>2363</v>
      </c>
      <c r="B33" s="28" t="s">
        <v>2479</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056" t="s">
        <v>2365</v>
      </c>
      <c r="Q33" s="1896" t="str">
        <f t="shared" si="11"/>
        <v>建筑类型</v>
      </c>
      <c r="R33" s="752" t="s">
        <v>25</v>
      </c>
      <c r="S33" s="753">
        <f t="shared" si="12"/>
        <v>100</v>
      </c>
      <c r="T33" s="752" t="s">
        <v>25</v>
      </c>
      <c r="U33" s="753">
        <f t="shared" si="13"/>
        <v>100</v>
      </c>
      <c r="V33" s="752" t="s">
        <v>25</v>
      </c>
      <c r="W33" s="753">
        <f t="shared" si="14"/>
        <v>100</v>
      </c>
      <c r="X33" s="1897"/>
      <c r="Y33" s="2984" t="s">
        <v>2365</v>
      </c>
      <c r="Z33" s="1899" t="str">
        <f t="shared" si="15"/>
        <v>建筑类型</v>
      </c>
      <c r="AA33" s="1900">
        <f t="shared" si="3"/>
        <v>1</v>
      </c>
      <c r="AB33" s="1900">
        <f t="shared" si="4"/>
        <v>1</v>
      </c>
      <c r="AC33" s="1900">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57"/>
      <c r="Q34" s="754" t="str">
        <f t="shared" si="11"/>
        <v>项目建筑规模</v>
      </c>
      <c r="R34" s="755" t="s">
        <v>25</v>
      </c>
      <c r="S34" s="756" t="e">
        <f t="shared" si="12"/>
        <v>#N/A</v>
      </c>
      <c r="T34" s="755" t="s">
        <v>25</v>
      </c>
      <c r="U34" s="756" t="e">
        <f t="shared" si="13"/>
        <v>#N/A</v>
      </c>
      <c r="V34" s="755" t="s">
        <v>25</v>
      </c>
      <c r="W34" s="756" t="e">
        <f t="shared" si="14"/>
        <v>#N/A</v>
      </c>
      <c r="X34" s="757"/>
      <c r="Y34" s="2984"/>
      <c r="Z34" s="758" t="str">
        <f t="shared" si="15"/>
        <v>项目建筑规模</v>
      </c>
      <c r="AA34" s="1900" t="e">
        <f t="shared" si="3"/>
        <v>#N/A</v>
      </c>
      <c r="AB34" s="1900" t="e">
        <f t="shared" si="4"/>
        <v>#N/A</v>
      </c>
      <c r="AC34" s="1900"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57"/>
      <c r="Q35" s="1896" t="str">
        <f t="shared" si="11"/>
        <v>建筑结构</v>
      </c>
      <c r="R35" s="752" t="s">
        <v>25</v>
      </c>
      <c r="S35" s="753">
        <f t="shared" si="12"/>
        <v>100</v>
      </c>
      <c r="T35" s="752" t="s">
        <v>25</v>
      </c>
      <c r="U35" s="753">
        <f t="shared" si="13"/>
        <v>100</v>
      </c>
      <c r="V35" s="752" t="s">
        <v>25</v>
      </c>
      <c r="W35" s="753">
        <f t="shared" si="14"/>
        <v>100</v>
      </c>
      <c r="X35" s="1897"/>
      <c r="Y35" s="2984"/>
      <c r="Z35" s="1899" t="str">
        <f t="shared" si="15"/>
        <v>建筑结构</v>
      </c>
      <c r="AA35" s="1900">
        <f t="shared" si="3"/>
        <v>1</v>
      </c>
      <c r="AB35" s="1900">
        <f t="shared" si="4"/>
        <v>1</v>
      </c>
      <c r="AC35" s="1900">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57"/>
      <c r="Q36" s="1896" t="str">
        <f t="shared" si="11"/>
        <v>公共部分装修</v>
      </c>
      <c r="R36" s="752" t="s">
        <v>25</v>
      </c>
      <c r="S36" s="753">
        <f t="shared" si="12"/>
        <v>100</v>
      </c>
      <c r="T36" s="752" t="s">
        <v>25</v>
      </c>
      <c r="U36" s="753">
        <f t="shared" si="13"/>
        <v>100</v>
      </c>
      <c r="V36" s="752" t="s">
        <v>25</v>
      </c>
      <c r="W36" s="753">
        <f t="shared" si="14"/>
        <v>100</v>
      </c>
      <c r="X36" s="1897"/>
      <c r="Y36" s="2984"/>
      <c r="Z36" s="1899" t="str">
        <f t="shared" si="15"/>
        <v>公共部分装修</v>
      </c>
      <c r="AA36" s="1900">
        <f t="shared" si="3"/>
        <v>1</v>
      </c>
      <c r="AB36" s="1900">
        <f t="shared" si="4"/>
        <v>1</v>
      </c>
      <c r="AC36" s="1900">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57"/>
      <c r="Q37" s="1896" t="str">
        <f t="shared" si="11"/>
        <v>成新度</v>
      </c>
      <c r="R37" s="752" t="s">
        <v>25</v>
      </c>
      <c r="S37" s="753" t="e">
        <f t="shared" si="12"/>
        <v>#N/A</v>
      </c>
      <c r="T37" s="752" t="s">
        <v>25</v>
      </c>
      <c r="U37" s="753" t="e">
        <f t="shared" si="13"/>
        <v>#N/A</v>
      </c>
      <c r="V37" s="752" t="s">
        <v>25</v>
      </c>
      <c r="W37" s="753" t="e">
        <f t="shared" si="14"/>
        <v>#N/A</v>
      </c>
      <c r="X37" s="1897"/>
      <c r="Y37" s="2984"/>
      <c r="Z37" s="1899" t="str">
        <f t="shared" si="15"/>
        <v>成新度</v>
      </c>
      <c r="AA37" s="1900" t="e">
        <f t="shared" si="3"/>
        <v>#N/A</v>
      </c>
      <c r="AB37" s="1900" t="e">
        <f t="shared" si="4"/>
        <v>#N/A</v>
      </c>
      <c r="AC37" s="1900"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57"/>
      <c r="Q38" s="1884" t="str">
        <f t="shared" si="11"/>
        <v>写字楼等级</v>
      </c>
      <c r="R38" s="748" t="s">
        <v>25</v>
      </c>
      <c r="S38" s="749">
        <f t="shared" si="12"/>
        <v>100</v>
      </c>
      <c r="T38" s="748" t="s">
        <v>25</v>
      </c>
      <c r="U38" s="749">
        <f t="shared" si="13"/>
        <v>100</v>
      </c>
      <c r="V38" s="748" t="s">
        <v>25</v>
      </c>
      <c r="W38" s="749">
        <f t="shared" si="14"/>
        <v>100</v>
      </c>
      <c r="X38" s="750"/>
      <c r="Y38" s="2984"/>
      <c r="Z38" s="23" t="str">
        <f t="shared" si="15"/>
        <v>写字楼等级</v>
      </c>
      <c r="AA38" s="751">
        <f t="shared" si="3"/>
        <v>1</v>
      </c>
      <c r="AB38" s="751">
        <f t="shared" si="4"/>
        <v>1</v>
      </c>
      <c r="AC38" s="751">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57" t="s">
        <v>2365</v>
      </c>
      <c r="Q39" s="1896" t="str">
        <f t="shared" si="11"/>
        <v>物业管理</v>
      </c>
      <c r="R39" s="752" t="s">
        <v>25</v>
      </c>
      <c r="S39" s="753">
        <f t="shared" si="12"/>
        <v>100</v>
      </c>
      <c r="T39" s="752" t="s">
        <v>25</v>
      </c>
      <c r="U39" s="753">
        <f t="shared" si="13"/>
        <v>100</v>
      </c>
      <c r="V39" s="752" t="s">
        <v>25</v>
      </c>
      <c r="W39" s="753">
        <f t="shared" si="14"/>
        <v>100</v>
      </c>
      <c r="X39" s="1897"/>
      <c r="Y39" s="2984" t="s">
        <v>2365</v>
      </c>
      <c r="Z39" s="1899" t="str">
        <f t="shared" si="15"/>
        <v>物业管理</v>
      </c>
      <c r="AA39" s="1900">
        <f t="shared" si="3"/>
        <v>1</v>
      </c>
      <c r="AB39" s="1900">
        <f t="shared" si="4"/>
        <v>1</v>
      </c>
      <c r="AC39" s="1900">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57"/>
      <c r="Q40" s="1896" t="str">
        <f t="shared" si="11"/>
        <v>市政基础设施</v>
      </c>
      <c r="R40" s="752" t="s">
        <v>25</v>
      </c>
      <c r="S40" s="753">
        <f t="shared" si="12"/>
        <v>100</v>
      </c>
      <c r="T40" s="752" t="s">
        <v>25</v>
      </c>
      <c r="U40" s="753">
        <f t="shared" si="13"/>
        <v>100</v>
      </c>
      <c r="V40" s="752" t="s">
        <v>25</v>
      </c>
      <c r="W40" s="753">
        <f t="shared" si="14"/>
        <v>100</v>
      </c>
      <c r="X40" s="1897"/>
      <c r="Y40" s="2984"/>
      <c r="Z40" s="1899" t="str">
        <f t="shared" si="15"/>
        <v>市政基础设施</v>
      </c>
      <c r="AA40" s="1900">
        <f t="shared" si="3"/>
        <v>1</v>
      </c>
      <c r="AB40" s="1900">
        <f t="shared" si="4"/>
        <v>1</v>
      </c>
      <c r="AC40" s="1900">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57"/>
      <c r="Q41" s="1896" t="str">
        <f t="shared" si="11"/>
        <v>层高</v>
      </c>
      <c r="R41" s="752" t="s">
        <v>25</v>
      </c>
      <c r="S41" s="753">
        <f t="shared" si="12"/>
        <v>100</v>
      </c>
      <c r="T41" s="752" t="s">
        <v>25</v>
      </c>
      <c r="U41" s="753">
        <f t="shared" si="13"/>
        <v>100</v>
      </c>
      <c r="V41" s="752" t="s">
        <v>25</v>
      </c>
      <c r="W41" s="753">
        <f t="shared" si="14"/>
        <v>100</v>
      </c>
      <c r="X41" s="1897"/>
      <c r="Y41" s="2984"/>
      <c r="Z41" s="1899" t="str">
        <f t="shared" si="15"/>
        <v>层高</v>
      </c>
      <c r="AA41" s="1900">
        <f t="shared" si="3"/>
        <v>1</v>
      </c>
      <c r="AB41" s="1900">
        <f t="shared" si="4"/>
        <v>1</v>
      </c>
      <c r="AC41" s="1900">
        <f t="shared" si="5"/>
        <v>1</v>
      </c>
    </row>
    <row r="42" spans="1:29" s="452" customFormat="1" ht="15">
      <c r="A42" s="449"/>
      <c r="B42" s="1901"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57"/>
      <c r="Q42" s="754" t="str">
        <f t="shared" si="11"/>
        <v>单套建筑面积</v>
      </c>
      <c r="R42" s="755" t="s">
        <v>25</v>
      </c>
      <c r="S42" s="756">
        <f t="shared" si="12"/>
        <v>100</v>
      </c>
      <c r="T42" s="755" t="s">
        <v>25</v>
      </c>
      <c r="U42" s="756">
        <f t="shared" si="13"/>
        <v>100</v>
      </c>
      <c r="V42" s="755" t="s">
        <v>25</v>
      </c>
      <c r="W42" s="756">
        <f t="shared" si="14"/>
        <v>100</v>
      </c>
      <c r="X42" s="757"/>
      <c r="Y42" s="2984"/>
      <c r="Z42" s="758" t="str">
        <f t="shared" si="15"/>
        <v>单套建筑面积</v>
      </c>
      <c r="AA42" s="1900">
        <f t="shared" si="3"/>
        <v>1</v>
      </c>
      <c r="AB42" s="1900">
        <f t="shared" si="4"/>
        <v>1</v>
      </c>
      <c r="AC42" s="1900">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57"/>
      <c r="Q43" s="1896" t="str">
        <f t="shared" si="11"/>
        <v>内部装修</v>
      </c>
      <c r="R43" s="752" t="s">
        <v>25</v>
      </c>
      <c r="S43" s="753">
        <f t="shared" si="12"/>
        <v>100</v>
      </c>
      <c r="T43" s="752" t="s">
        <v>25</v>
      </c>
      <c r="U43" s="753">
        <f t="shared" si="13"/>
        <v>100</v>
      </c>
      <c r="V43" s="752" t="s">
        <v>25</v>
      </c>
      <c r="W43" s="753">
        <f t="shared" si="14"/>
        <v>100</v>
      </c>
      <c r="X43" s="1897"/>
      <c r="Y43" s="2984"/>
      <c r="Z43" s="1899" t="str">
        <f t="shared" si="15"/>
        <v>内部装修</v>
      </c>
      <c r="AA43" s="1900">
        <f t="shared" si="3"/>
        <v>1</v>
      </c>
      <c r="AB43" s="1900">
        <f t="shared" si="4"/>
        <v>1</v>
      </c>
      <c r="AC43" s="1900">
        <f t="shared" si="5"/>
        <v>1</v>
      </c>
    </row>
    <row r="44" spans="1:29" ht="15">
      <c r="A44" s="453"/>
      <c r="B44" s="402" t="s">
        <v>2376</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057"/>
      <c r="Q44" s="1896" t="str">
        <f t="shared" si="11"/>
        <v>内部装修维护情况</v>
      </c>
      <c r="R44" s="752" t="s">
        <v>25</v>
      </c>
      <c r="S44" s="753">
        <f t="shared" si="12"/>
        <v>100</v>
      </c>
      <c r="T44" s="752" t="s">
        <v>25</v>
      </c>
      <c r="U44" s="753">
        <f t="shared" si="13"/>
        <v>100</v>
      </c>
      <c r="V44" s="752" t="s">
        <v>25</v>
      </c>
      <c r="W44" s="753">
        <f t="shared" si="14"/>
        <v>100</v>
      </c>
      <c r="X44" s="1897"/>
      <c r="Y44" s="2984"/>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57"/>
      <c r="Q45" s="1884">
        <f t="shared" si="11"/>
        <v>111</v>
      </c>
      <c r="R45" s="748" t="s">
        <v>25</v>
      </c>
      <c r="S45" s="749">
        <f t="shared" si="12"/>
        <v>100</v>
      </c>
      <c r="T45" s="748" t="s">
        <v>25</v>
      </c>
      <c r="U45" s="749">
        <f t="shared" si="13"/>
        <v>100</v>
      </c>
      <c r="V45" s="748" t="s">
        <v>25</v>
      </c>
      <c r="W45" s="749">
        <f t="shared" si="14"/>
        <v>100</v>
      </c>
      <c r="X45" s="750"/>
      <c r="Y45" s="2984"/>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57"/>
      <c r="Q46" s="1896">
        <f t="shared" si="11"/>
        <v>111</v>
      </c>
      <c r="R46" s="752" t="s">
        <v>25</v>
      </c>
      <c r="S46" s="753">
        <f t="shared" si="12"/>
        <v>100</v>
      </c>
      <c r="T46" s="752" t="s">
        <v>25</v>
      </c>
      <c r="U46" s="753">
        <f t="shared" si="13"/>
        <v>100</v>
      </c>
      <c r="V46" s="752" t="s">
        <v>25</v>
      </c>
      <c r="W46" s="753">
        <f t="shared" si="14"/>
        <v>100</v>
      </c>
      <c r="X46" s="1897"/>
      <c r="Y46" s="2984"/>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58"/>
      <c r="Q47" s="1896">
        <f t="shared" si="11"/>
        <v>111</v>
      </c>
      <c r="R47" s="752" t="s">
        <v>25</v>
      </c>
      <c r="S47" s="753">
        <f t="shared" si="12"/>
        <v>100</v>
      </c>
      <c r="T47" s="752" t="s">
        <v>25</v>
      </c>
      <c r="U47" s="753">
        <f t="shared" si="13"/>
        <v>100</v>
      </c>
      <c r="V47" s="752" t="s">
        <v>25</v>
      </c>
      <c r="W47" s="753">
        <f t="shared" si="14"/>
        <v>100</v>
      </c>
      <c r="X47" s="1897"/>
      <c r="Y47" s="2985"/>
      <c r="Z47" s="1899">
        <f t="shared" si="15"/>
        <v>111</v>
      </c>
      <c r="AA47" s="1900">
        <f t="shared" si="3"/>
        <v>1</v>
      </c>
      <c r="AB47" s="1900">
        <f t="shared" si="4"/>
        <v>1</v>
      </c>
      <c r="AC47" s="1900">
        <f t="shared" si="5"/>
        <v>1</v>
      </c>
    </row>
    <row r="48" spans="1:29" ht="15">
      <c r="A48" s="460" t="s">
        <v>2377</v>
      </c>
      <c r="B48" s="461"/>
      <c r="C48" s="1499" t="s">
        <v>1</v>
      </c>
      <c r="D48" s="1500"/>
      <c r="E48" s="1501"/>
      <c r="F48" s="1502"/>
      <c r="G48" s="1503"/>
      <c r="H48" s="1504"/>
      <c r="I48" s="1501"/>
      <c r="J48" s="1504"/>
      <c r="K48" s="761"/>
      <c r="L48" s="1254"/>
      <c r="M48" s="1242"/>
      <c r="N48" s="1242"/>
      <c r="O48" s="1242"/>
      <c r="P48" s="2979" t="str">
        <f>A48</f>
        <v>成交单价（元/平方米）</v>
      </c>
      <c r="Q48" s="2976"/>
      <c r="R48" s="2977">
        <f>E48</f>
        <v>0</v>
      </c>
      <c r="S48" s="2977"/>
      <c r="T48" s="2977">
        <f>G48</f>
        <v>0</v>
      </c>
      <c r="U48" s="2977"/>
      <c r="V48" s="2977">
        <f>I48</f>
        <v>0</v>
      </c>
      <c r="W48" s="2977"/>
      <c r="X48" s="737"/>
      <c r="Y48" s="759"/>
      <c r="Z48" s="737"/>
      <c r="AA48" s="737"/>
      <c r="AB48" s="737"/>
      <c r="AC48" s="737"/>
    </row>
    <row r="49" spans="1:29" ht="15.75" thickBot="1">
      <c r="A49" s="467" t="s">
        <v>2460</v>
      </c>
      <c r="B49" s="468"/>
      <c r="C49" s="1505" t="e">
        <f>R50</f>
        <v>#DIV/0!</v>
      </c>
      <c r="D49" s="1506"/>
      <c r="E49" s="1507" t="e">
        <f>R49</f>
        <v>#DIV/0!</v>
      </c>
      <c r="F49" s="1507"/>
      <c r="G49" s="1505" t="e">
        <f>T49</f>
        <v>#DIV/0!</v>
      </c>
      <c r="H49" s="1506"/>
      <c r="I49" s="1507" t="e">
        <f>V49</f>
        <v>#DIV/0!</v>
      </c>
      <c r="J49" s="1506"/>
      <c r="K49" s="762"/>
      <c r="L49" s="1254"/>
      <c r="M49" s="1242"/>
      <c r="N49" s="1242"/>
      <c r="O49" s="1242"/>
      <c r="P49" s="2979" t="str">
        <f>A49</f>
        <v>比较价值（元/平方米）</v>
      </c>
      <c r="Q49" s="2976"/>
      <c r="R49" s="2977" t="e">
        <f>IF(E1="售价",ROUND(PRODUCT(R48,AA7:AA47),0),ROUND(PRODUCT(R48,AA7:AA47),1))</f>
        <v>#DIV/0!</v>
      </c>
      <c r="S49" s="2977"/>
      <c r="T49" s="2977" t="e">
        <f>IF(E1="售价",ROUND(PRODUCT(T48,AB7:AB47),0),ROUND(PRODUCT(T48,AB7:AB47),1))</f>
        <v>#DIV/0!</v>
      </c>
      <c r="U49" s="2977"/>
      <c r="V49" s="2977" t="e">
        <f>IF(E1="售价",ROUND(PRODUCT(V48,AC7:AC47),0),ROUND(PRODUCT(V48,AC7:AC47),1))</f>
        <v>#DIV/0!</v>
      </c>
      <c r="W49" s="2977"/>
      <c r="X49" s="737"/>
      <c r="Y49" s="737"/>
      <c r="Z49" s="737"/>
      <c r="AA49" s="737"/>
      <c r="AB49" s="737"/>
      <c r="AC49" s="737"/>
    </row>
    <row r="50" spans="1:29" ht="15.75" thickBot="1">
      <c r="A50" s="473" t="s">
        <v>2483</v>
      </c>
      <c r="B50" s="474"/>
      <c r="C50" s="1509" t="e">
        <f>R50</f>
        <v>#DIV/0!</v>
      </c>
      <c r="D50" s="1509"/>
      <c r="E50" s="1509"/>
      <c r="F50" s="1509"/>
      <c r="G50" s="1509"/>
      <c r="H50" s="1509"/>
      <c r="I50" s="1509"/>
      <c r="J50" s="1509"/>
      <c r="K50" s="763"/>
      <c r="L50" s="1254"/>
      <c r="M50" s="1242"/>
      <c r="N50" s="1242"/>
      <c r="O50" s="1242"/>
      <c r="P50" s="3055" t="str">
        <f>A50</f>
        <v>估价对象XX用房的比较价值（楼面单价，元/平方米）</v>
      </c>
      <c r="Q50" s="2979"/>
      <c r="R50" s="2980" t="e">
        <f>IF(E1="售价",ROUND(AVERAGE(R49:V49),0),ROUND(AVERAGE(R49:V49),1))</f>
        <v>#DIV/0!</v>
      </c>
      <c r="S50" s="2980"/>
      <c r="T50" s="2980"/>
      <c r="U50" s="2980"/>
      <c r="V50" s="2980"/>
      <c r="W50" s="2980"/>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2465</v>
      </c>
      <c r="B58" s="737"/>
      <c r="C58" s="742"/>
      <c r="D58" s="742"/>
      <c r="E58" s="742"/>
      <c r="F58" s="743"/>
      <c r="G58" s="743"/>
      <c r="H58" s="742"/>
      <c r="I58" s="742"/>
      <c r="J58" s="742"/>
      <c r="K58" s="744"/>
      <c r="L58" s="745"/>
      <c r="M58" s="742"/>
      <c r="N58" s="742"/>
      <c r="O58" s="742"/>
      <c r="P58" s="484"/>
      <c r="Q58" s="485"/>
    </row>
    <row r="59" spans="1:29" s="489" customFormat="1" ht="15">
      <c r="A59" s="486" t="s">
        <v>2347</v>
      </c>
      <c r="B59" s="487"/>
      <c r="C59" s="1675" t="str">
        <f>YEAR(C7)&amp;"-"&amp;MONTH(C7)</f>
        <v>2018-6</v>
      </c>
      <c r="D59" s="1676">
        <f>EDATE(C59,-1)</f>
        <v>43221</v>
      </c>
      <c r="E59" s="1676">
        <f t="shared" ref="E59:O59" si="16">EDATE(D59,-1)</f>
        <v>43191</v>
      </c>
      <c r="F59" s="1676">
        <f t="shared" si="16"/>
        <v>43160</v>
      </c>
      <c r="G59" s="1676">
        <f t="shared" si="16"/>
        <v>43132</v>
      </c>
      <c r="H59" s="1676">
        <f t="shared" si="16"/>
        <v>43101</v>
      </c>
      <c r="I59" s="1676">
        <f t="shared" si="16"/>
        <v>43070</v>
      </c>
      <c r="J59" s="1676">
        <f t="shared" si="16"/>
        <v>43040</v>
      </c>
      <c r="K59" s="1676">
        <f t="shared" si="16"/>
        <v>43009</v>
      </c>
      <c r="L59" s="1676">
        <f t="shared" si="16"/>
        <v>42979</v>
      </c>
      <c r="M59" s="1676">
        <f t="shared" si="16"/>
        <v>42948</v>
      </c>
      <c r="N59" s="1676">
        <f t="shared" si="16"/>
        <v>42917</v>
      </c>
      <c r="O59" s="1676">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2353</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2330</v>
      </c>
      <c r="B1" s="1731" t="s">
        <v>2489</v>
      </c>
      <c r="C1" s="1723"/>
      <c r="D1" s="1736"/>
      <c r="E1" s="2381"/>
      <c r="F1" s="1737" t="s">
        <v>2332</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0"/>
      <c r="I2" s="980"/>
      <c r="J2" s="980"/>
      <c r="K2" s="980"/>
      <c r="L2" s="1239"/>
      <c r="M2" s="1240"/>
      <c r="N2" s="1240"/>
      <c r="O2" s="1240"/>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2333</v>
      </c>
      <c r="D3" s="378">
        <f>IF(C1="仅计算典型户型",'数据-取费表'!E5,'数据-取费表'!B5)</f>
        <v>450.38</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2334</v>
      </c>
      <c r="B4" s="381"/>
      <c r="C4" s="3002" t="s">
        <v>2335</v>
      </c>
      <c r="D4" s="3003"/>
      <c r="E4" s="3004" t="s">
        <v>2336</v>
      </c>
      <c r="F4" s="3005"/>
      <c r="G4" s="3002" t="s">
        <v>2337</v>
      </c>
      <c r="H4" s="3003"/>
      <c r="I4" s="3002" t="s">
        <v>2338</v>
      </c>
      <c r="J4" s="3003"/>
      <c r="K4" s="5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3000" t="s">
        <v>2337</v>
      </c>
      <c r="AC4" s="2999" t="s">
        <v>2338</v>
      </c>
    </row>
    <row r="5" spans="1:29" ht="15">
      <c r="A5" s="383"/>
      <c r="B5" s="384"/>
      <c r="C5" s="3015" t="s">
        <v>2341</v>
      </c>
      <c r="D5" s="3016"/>
      <c r="E5" s="3062" t="s">
        <v>2342</v>
      </c>
      <c r="F5" s="3014"/>
      <c r="G5" s="3015" t="s">
        <v>2343</v>
      </c>
      <c r="H5" s="3016"/>
      <c r="I5" s="3015" t="s">
        <v>2344</v>
      </c>
      <c r="J5" s="3016"/>
      <c r="K5" s="594"/>
      <c r="L5" s="1241"/>
      <c r="M5" s="1242"/>
      <c r="N5" s="1242"/>
      <c r="O5" s="1242"/>
      <c r="P5" s="3008"/>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594" t="s">
        <v>2346</v>
      </c>
      <c r="L6" s="1241"/>
      <c r="M6" s="1242"/>
      <c r="N6" s="1242"/>
      <c r="O6" s="1242"/>
      <c r="P6" s="3010"/>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6" t="s">
        <v>2348</v>
      </c>
      <c r="Q7" s="2994"/>
      <c r="R7" s="748" t="s">
        <v>25</v>
      </c>
      <c r="S7" s="749">
        <f t="shared" ref="S7:S15" si="0">F7</f>
        <v>0</v>
      </c>
      <c r="T7" s="748" t="s">
        <v>25</v>
      </c>
      <c r="U7" s="749">
        <f t="shared" ref="U7:U15" si="1">H7</f>
        <v>0</v>
      </c>
      <c r="V7" s="748" t="s">
        <v>25</v>
      </c>
      <c r="W7" s="749">
        <f t="shared" ref="W7:W15" si="2">J7</f>
        <v>0</v>
      </c>
      <c r="X7" s="750"/>
      <c r="Y7" s="2986" t="s">
        <v>2348</v>
      </c>
      <c r="Z7" s="2987"/>
      <c r="AA7" s="751" t="e">
        <f>D7/F7</f>
        <v>#DIV/0!</v>
      </c>
      <c r="AB7" s="751" t="e">
        <f>D7/H7</f>
        <v>#DIV/0!</v>
      </c>
      <c r="AC7" s="751"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6" t="s">
        <v>2351</v>
      </c>
      <c r="Q8" s="2987"/>
      <c r="R8" s="748" t="s">
        <v>25</v>
      </c>
      <c r="S8" s="749">
        <f t="shared" si="0"/>
        <v>100</v>
      </c>
      <c r="T8" s="748" t="s">
        <v>25</v>
      </c>
      <c r="U8" s="749">
        <f t="shared" si="1"/>
        <v>100</v>
      </c>
      <c r="V8" s="748" t="s">
        <v>25</v>
      </c>
      <c r="W8" s="749">
        <f t="shared" si="2"/>
        <v>100</v>
      </c>
      <c r="X8" s="750"/>
      <c r="Y8" s="2986" t="s">
        <v>2351</v>
      </c>
      <c r="Z8" s="2987"/>
      <c r="AA8" s="751">
        <f t="shared" ref="AA8:AA40" si="3">D8/F8</f>
        <v>1</v>
      </c>
      <c r="AB8" s="751">
        <f t="shared" ref="AB8:AB40" si="4">D8/H8</f>
        <v>1</v>
      </c>
      <c r="AC8" s="751">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76"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76"/>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76"/>
      <c r="Q11" s="1884" t="str">
        <f t="shared" si="6"/>
        <v>容积率</v>
      </c>
      <c r="R11" s="748" t="s">
        <v>25</v>
      </c>
      <c r="S11" s="749" t="e">
        <f t="shared" si="0"/>
        <v>#N/A</v>
      </c>
      <c r="T11" s="748" t="s">
        <v>25</v>
      </c>
      <c r="U11" s="749" t="e">
        <f t="shared" si="1"/>
        <v>#N/A</v>
      </c>
      <c r="V11" s="748" t="s">
        <v>25</v>
      </c>
      <c r="W11" s="749" t="e">
        <f t="shared" si="2"/>
        <v>#N/A</v>
      </c>
      <c r="X11" s="750"/>
      <c r="Y11" s="2837"/>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2976"/>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2976"/>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2976"/>
      <c r="Q14" s="1884">
        <f t="shared" si="6"/>
        <v>111</v>
      </c>
      <c r="R14" s="748" t="s">
        <v>25</v>
      </c>
      <c r="S14" s="749">
        <f t="shared" si="0"/>
        <v>100</v>
      </c>
      <c r="T14" s="748" t="s">
        <v>25</v>
      </c>
      <c r="U14" s="749">
        <f t="shared" si="1"/>
        <v>100</v>
      </c>
      <c r="V14" s="748" t="s">
        <v>25</v>
      </c>
      <c r="W14" s="749">
        <f t="shared" si="2"/>
        <v>100</v>
      </c>
      <c r="X14" s="750"/>
      <c r="Y14" s="2837"/>
      <c r="Z14" s="23">
        <f t="shared" si="7"/>
        <v>111</v>
      </c>
      <c r="AA14" s="751">
        <f t="shared" si="3"/>
        <v>1</v>
      </c>
      <c r="AB14" s="751">
        <f t="shared" si="4"/>
        <v>1</v>
      </c>
      <c r="AC14" s="751">
        <f t="shared" si="5"/>
        <v>1</v>
      </c>
    </row>
    <row r="15" spans="1:29" ht="57">
      <c r="A15" s="419" t="s">
        <v>2358</v>
      </c>
      <c r="B15" s="26" t="s">
        <v>2490</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97" t="s">
        <v>2359</v>
      </c>
      <c r="Q15" s="1896" t="str">
        <f t="shared" si="6"/>
        <v>产业集聚程度</v>
      </c>
      <c r="R15" s="752" t="s">
        <v>25</v>
      </c>
      <c r="S15" s="753">
        <f t="shared" si="0"/>
        <v>100</v>
      </c>
      <c r="T15" s="752" t="s">
        <v>25</v>
      </c>
      <c r="U15" s="753">
        <f t="shared" si="1"/>
        <v>100</v>
      </c>
      <c r="V15" s="752" t="s">
        <v>25</v>
      </c>
      <c r="W15" s="753">
        <f t="shared" si="2"/>
        <v>100</v>
      </c>
      <c r="X15" s="1897"/>
      <c r="Y15" s="2997" t="s">
        <v>2359</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2998"/>
      <c r="Q16" s="1896"/>
      <c r="R16" s="752"/>
      <c r="S16" s="753"/>
      <c r="T16" s="752"/>
      <c r="U16" s="753"/>
      <c r="V16" s="752"/>
      <c r="W16" s="753"/>
      <c r="X16" s="1897"/>
      <c r="Y16" s="2998"/>
      <c r="Z16" s="1899"/>
      <c r="AA16" s="1900">
        <v>1</v>
      </c>
      <c r="AB16" s="1900">
        <v>1</v>
      </c>
      <c r="AC16" s="1900">
        <v>1</v>
      </c>
    </row>
    <row r="17" spans="1:29" ht="85.5">
      <c r="A17" s="408"/>
      <c r="B17" s="431" t="s">
        <v>1742</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98"/>
      <c r="Q17" s="1896" t="str">
        <f>B17</f>
        <v>交通便捷度</v>
      </c>
      <c r="R17" s="752" t="s">
        <v>25</v>
      </c>
      <c r="S17" s="753">
        <f>F17</f>
        <v>100</v>
      </c>
      <c r="T17" s="752" t="s">
        <v>25</v>
      </c>
      <c r="U17" s="753">
        <f>H17</f>
        <v>100</v>
      </c>
      <c r="V17" s="752" t="s">
        <v>25</v>
      </c>
      <c r="W17" s="753">
        <f>J17</f>
        <v>100</v>
      </c>
      <c r="X17" s="1897"/>
      <c r="Y17" s="2998"/>
      <c r="Z17" s="1899" t="str">
        <f>Q17</f>
        <v>交通便捷度</v>
      </c>
      <c r="AA17" s="1900">
        <f t="shared" si="3"/>
        <v>1</v>
      </c>
      <c r="AB17" s="1900">
        <f t="shared" si="4"/>
        <v>1</v>
      </c>
      <c r="AC17" s="1900">
        <f t="shared" si="5"/>
        <v>1</v>
      </c>
    </row>
    <row r="18" spans="1:29" ht="15">
      <c r="A18" s="408"/>
      <c r="B18" s="436"/>
      <c r="C18" s="437"/>
      <c r="D18" s="430"/>
      <c r="E18" s="1465"/>
      <c r="F18" s="433"/>
      <c r="G18" s="2406"/>
      <c r="H18" s="427"/>
      <c r="I18" s="1465"/>
      <c r="J18" s="427"/>
      <c r="K18" s="599"/>
      <c r="L18" s="1251"/>
      <c r="M18" s="1242"/>
      <c r="N18" s="1242"/>
      <c r="O18" s="1250"/>
      <c r="P18" s="2998"/>
      <c r="Q18" s="1896"/>
      <c r="R18" s="752"/>
      <c r="S18" s="753"/>
      <c r="T18" s="752"/>
      <c r="U18" s="753"/>
      <c r="V18" s="752"/>
      <c r="W18" s="753"/>
      <c r="X18" s="1897"/>
      <c r="Y18" s="2998"/>
      <c r="Z18" s="1899"/>
      <c r="AA18" s="1900">
        <v>1</v>
      </c>
      <c r="AB18" s="1900">
        <v>1</v>
      </c>
      <c r="AC18" s="1900">
        <v>1</v>
      </c>
    </row>
    <row r="19" spans="1:29" ht="42.75">
      <c r="A19" s="408"/>
      <c r="B19" s="615" t="s">
        <v>2474</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98"/>
      <c r="Q19" s="1896" t="str">
        <f>B19</f>
        <v>公共配套设施</v>
      </c>
      <c r="R19" s="752" t="s">
        <v>25</v>
      </c>
      <c r="S19" s="753">
        <f>F19</f>
        <v>100</v>
      </c>
      <c r="T19" s="752" t="s">
        <v>25</v>
      </c>
      <c r="U19" s="753">
        <f>H19</f>
        <v>100</v>
      </c>
      <c r="V19" s="752" t="s">
        <v>25</v>
      </c>
      <c r="W19" s="753">
        <f>J19</f>
        <v>100</v>
      </c>
      <c r="X19" s="1897"/>
      <c r="Y19" s="2998"/>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2998"/>
      <c r="Q20" s="1896"/>
      <c r="R20" s="752"/>
      <c r="S20" s="753"/>
      <c r="T20" s="752"/>
      <c r="U20" s="753"/>
      <c r="V20" s="752"/>
      <c r="W20" s="753"/>
      <c r="X20" s="1897"/>
      <c r="Y20" s="2998"/>
      <c r="Z20" s="1899"/>
      <c r="AA20" s="1900">
        <v>1</v>
      </c>
      <c r="AB20" s="1900">
        <v>1</v>
      </c>
      <c r="AC20" s="1900">
        <v>1</v>
      </c>
    </row>
    <row r="21" spans="1:29" ht="28.5">
      <c r="A21" s="408"/>
      <c r="B21" s="617" t="s">
        <v>2475</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98"/>
      <c r="Q21" s="1896" t="str">
        <f>B21</f>
        <v>基础设施水平</v>
      </c>
      <c r="R21" s="752" t="s">
        <v>25</v>
      </c>
      <c r="S21" s="753">
        <f>F21</f>
        <v>100</v>
      </c>
      <c r="T21" s="752" t="s">
        <v>25</v>
      </c>
      <c r="U21" s="753">
        <f>H21</f>
        <v>100</v>
      </c>
      <c r="V21" s="752" t="s">
        <v>25</v>
      </c>
      <c r="W21" s="753">
        <f>J21</f>
        <v>100</v>
      </c>
      <c r="X21" s="1897"/>
      <c r="Y21" s="2998"/>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6"/>
      <c r="L22" s="1251"/>
      <c r="M22" s="1242"/>
      <c r="N22" s="1242"/>
      <c r="O22" s="1250"/>
      <c r="P22" s="2998"/>
      <c r="Q22" s="1896"/>
      <c r="R22" s="752"/>
      <c r="S22" s="753"/>
      <c r="T22" s="752"/>
      <c r="U22" s="753"/>
      <c r="V22" s="752"/>
      <c r="W22" s="753"/>
      <c r="X22" s="1897"/>
      <c r="Y22" s="2998"/>
      <c r="Z22" s="1899"/>
      <c r="AA22" s="1900">
        <v>1</v>
      </c>
      <c r="AB22" s="1900">
        <v>1</v>
      </c>
      <c r="AC22" s="1900">
        <v>1</v>
      </c>
    </row>
    <row r="23" spans="1:29" ht="71.25">
      <c r="A23" s="408"/>
      <c r="B23" s="431" t="s">
        <v>2476</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98"/>
      <c r="Q23" s="1896" t="str">
        <f>B23</f>
        <v>环境质量</v>
      </c>
      <c r="R23" s="752" t="s">
        <v>25</v>
      </c>
      <c r="S23" s="753">
        <f>F23</f>
        <v>100</v>
      </c>
      <c r="T23" s="752" t="s">
        <v>25</v>
      </c>
      <c r="U23" s="753">
        <f>H23</f>
        <v>100</v>
      </c>
      <c r="V23" s="752" t="s">
        <v>25</v>
      </c>
      <c r="W23" s="753">
        <f>J23</f>
        <v>100</v>
      </c>
      <c r="X23" s="1897"/>
      <c r="Y23" s="2998"/>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2998"/>
      <c r="Q24" s="1896"/>
      <c r="R24" s="752"/>
      <c r="S24" s="753"/>
      <c r="T24" s="752"/>
      <c r="U24" s="753"/>
      <c r="V24" s="752"/>
      <c r="W24" s="753"/>
      <c r="X24" s="1897"/>
      <c r="Y24" s="2998"/>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98"/>
      <c r="Q25" s="1896">
        <f>B25</f>
        <v>111</v>
      </c>
      <c r="R25" s="752" t="s">
        <v>25</v>
      </c>
      <c r="S25" s="753">
        <f>F25</f>
        <v>100</v>
      </c>
      <c r="T25" s="752" t="s">
        <v>25</v>
      </c>
      <c r="U25" s="753">
        <f>H25</f>
        <v>100</v>
      </c>
      <c r="V25" s="752" t="s">
        <v>25</v>
      </c>
      <c r="W25" s="753">
        <f>J25</f>
        <v>100</v>
      </c>
      <c r="X25" s="1897"/>
      <c r="Y25" s="2998"/>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98"/>
      <c r="Q26" s="1896">
        <f t="shared" ref="Q26:Q40" si="11">B26</f>
        <v>111</v>
      </c>
      <c r="R26" s="752" t="s">
        <v>25</v>
      </c>
      <c r="S26" s="753">
        <f>F26</f>
        <v>100</v>
      </c>
      <c r="T26" s="752" t="s">
        <v>25</v>
      </c>
      <c r="U26" s="753">
        <f>H26</f>
        <v>100</v>
      </c>
      <c r="V26" s="752" t="s">
        <v>25</v>
      </c>
      <c r="W26" s="753">
        <f>J26</f>
        <v>100</v>
      </c>
      <c r="X26" s="1897"/>
      <c r="Y26" s="2998"/>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98"/>
      <c r="Q27" s="1884">
        <f t="shared" si="11"/>
        <v>111</v>
      </c>
      <c r="R27" s="748" t="s">
        <v>25</v>
      </c>
      <c r="S27" s="749">
        <f>F27</f>
        <v>100</v>
      </c>
      <c r="T27" s="748" t="s">
        <v>25</v>
      </c>
      <c r="U27" s="749">
        <f>H27</f>
        <v>100</v>
      </c>
      <c r="V27" s="748" t="s">
        <v>25</v>
      </c>
      <c r="W27" s="749">
        <f>J27</f>
        <v>100</v>
      </c>
      <c r="X27" s="750"/>
      <c r="Y27" s="2998"/>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98"/>
      <c r="Q28" s="1896">
        <f t="shared" si="11"/>
        <v>111</v>
      </c>
      <c r="R28" s="752" t="s">
        <v>25</v>
      </c>
      <c r="S28" s="753">
        <f t="shared" ref="S28:S40" si="12">F28</f>
        <v>100</v>
      </c>
      <c r="T28" s="752" t="s">
        <v>25</v>
      </c>
      <c r="U28" s="753">
        <f t="shared" ref="U28:U40" si="13">H28</f>
        <v>100</v>
      </c>
      <c r="V28" s="752" t="s">
        <v>25</v>
      </c>
      <c r="W28" s="753">
        <f t="shared" ref="W28:W40" si="14">J28</f>
        <v>100</v>
      </c>
      <c r="X28" s="1897"/>
      <c r="Y28" s="2998"/>
      <c r="Z28" s="1899">
        <f t="shared" ref="Z28:Z40" si="15">Q28</f>
        <v>111</v>
      </c>
      <c r="AA28" s="1900">
        <f t="shared" si="3"/>
        <v>1</v>
      </c>
      <c r="AB28" s="1900">
        <f t="shared" si="4"/>
        <v>1</v>
      </c>
      <c r="AC28" s="1900">
        <f t="shared" si="5"/>
        <v>1</v>
      </c>
    </row>
    <row r="29" spans="1:29" ht="15">
      <c r="A29" s="447" t="s">
        <v>2363</v>
      </c>
      <c r="B29" s="28" t="s">
        <v>2479</v>
      </c>
      <c r="C29" s="2472" t="s">
        <v>2491</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063" t="s">
        <v>2365</v>
      </c>
      <c r="Q29" s="1896" t="str">
        <f t="shared" si="11"/>
        <v>建筑类型</v>
      </c>
      <c r="R29" s="752" t="s">
        <v>25</v>
      </c>
      <c r="S29" s="753">
        <f t="shared" si="12"/>
        <v>100</v>
      </c>
      <c r="T29" s="752" t="s">
        <v>25</v>
      </c>
      <c r="U29" s="753">
        <f t="shared" si="13"/>
        <v>100</v>
      </c>
      <c r="V29" s="752" t="s">
        <v>25</v>
      </c>
      <c r="W29" s="753">
        <f t="shared" si="14"/>
        <v>100</v>
      </c>
      <c r="X29" s="1897"/>
      <c r="Y29" s="2984" t="s">
        <v>2365</v>
      </c>
      <c r="Z29" s="1899" t="str">
        <f t="shared" si="15"/>
        <v>建筑类型</v>
      </c>
      <c r="AA29" s="1900">
        <f t="shared" si="3"/>
        <v>1</v>
      </c>
      <c r="AB29" s="1900">
        <f t="shared" si="4"/>
        <v>1</v>
      </c>
      <c r="AC29" s="1900">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84"/>
      <c r="Q30" s="754" t="str">
        <f t="shared" si="11"/>
        <v>项目建筑规模</v>
      </c>
      <c r="R30" s="755" t="s">
        <v>25</v>
      </c>
      <c r="S30" s="756" t="e">
        <f t="shared" si="12"/>
        <v>#N/A</v>
      </c>
      <c r="T30" s="755" t="s">
        <v>25</v>
      </c>
      <c r="U30" s="756" t="e">
        <f t="shared" si="13"/>
        <v>#N/A</v>
      </c>
      <c r="V30" s="755" t="s">
        <v>25</v>
      </c>
      <c r="W30" s="756" t="e">
        <f t="shared" si="14"/>
        <v>#N/A</v>
      </c>
      <c r="X30" s="757"/>
      <c r="Y30" s="2984"/>
      <c r="Z30" s="758" t="str">
        <f t="shared" si="15"/>
        <v>项目建筑规模</v>
      </c>
      <c r="AA30" s="1900" t="e">
        <f t="shared" si="3"/>
        <v>#N/A</v>
      </c>
      <c r="AB30" s="1900" t="e">
        <f t="shared" si="4"/>
        <v>#N/A</v>
      </c>
      <c r="AC30" s="1900"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84"/>
      <c r="Q31" s="1896" t="str">
        <f t="shared" si="11"/>
        <v>建筑结构</v>
      </c>
      <c r="R31" s="752" t="s">
        <v>25</v>
      </c>
      <c r="S31" s="753">
        <f t="shared" si="12"/>
        <v>100</v>
      </c>
      <c r="T31" s="752" t="s">
        <v>25</v>
      </c>
      <c r="U31" s="753">
        <f t="shared" si="13"/>
        <v>100</v>
      </c>
      <c r="V31" s="752" t="s">
        <v>25</v>
      </c>
      <c r="W31" s="753">
        <f t="shared" si="14"/>
        <v>100</v>
      </c>
      <c r="X31" s="1897"/>
      <c r="Y31" s="2984"/>
      <c r="Z31" s="1899" t="str">
        <f t="shared" si="15"/>
        <v>建筑结构</v>
      </c>
      <c r="AA31" s="1900">
        <f t="shared" si="3"/>
        <v>1</v>
      </c>
      <c r="AB31" s="1900">
        <f t="shared" si="4"/>
        <v>1</v>
      </c>
      <c r="AC31" s="1900">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84"/>
      <c r="Q32" s="1896" t="str">
        <f t="shared" si="11"/>
        <v>公共部分装修</v>
      </c>
      <c r="R32" s="752" t="s">
        <v>25</v>
      </c>
      <c r="S32" s="753">
        <f t="shared" si="12"/>
        <v>100</v>
      </c>
      <c r="T32" s="752" t="s">
        <v>25</v>
      </c>
      <c r="U32" s="753">
        <f t="shared" si="13"/>
        <v>100</v>
      </c>
      <c r="V32" s="752" t="s">
        <v>25</v>
      </c>
      <c r="W32" s="753">
        <f t="shared" si="14"/>
        <v>100</v>
      </c>
      <c r="X32" s="1897"/>
      <c r="Y32" s="2984"/>
      <c r="Z32" s="1899" t="str">
        <f t="shared" si="15"/>
        <v>公共部分装修</v>
      </c>
      <c r="AA32" s="1900">
        <f t="shared" si="3"/>
        <v>1</v>
      </c>
      <c r="AB32" s="1900">
        <f t="shared" si="4"/>
        <v>1</v>
      </c>
      <c r="AC32" s="1900">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84"/>
      <c r="Q33" s="1896" t="str">
        <f t="shared" si="11"/>
        <v>成新度</v>
      </c>
      <c r="R33" s="752" t="s">
        <v>25</v>
      </c>
      <c r="S33" s="753" t="e">
        <f t="shared" si="12"/>
        <v>#N/A</v>
      </c>
      <c r="T33" s="752" t="s">
        <v>25</v>
      </c>
      <c r="U33" s="753" t="e">
        <f t="shared" si="13"/>
        <v>#N/A</v>
      </c>
      <c r="V33" s="752" t="s">
        <v>25</v>
      </c>
      <c r="W33" s="753" t="e">
        <f t="shared" si="14"/>
        <v>#N/A</v>
      </c>
      <c r="X33" s="1897"/>
      <c r="Y33" s="2984"/>
      <c r="Z33" s="1899" t="str">
        <f t="shared" si="15"/>
        <v>成新度</v>
      </c>
      <c r="AA33" s="1900" t="e">
        <f t="shared" si="3"/>
        <v>#N/A</v>
      </c>
      <c r="AB33" s="1900" t="e">
        <f t="shared" si="4"/>
        <v>#N/A</v>
      </c>
      <c r="AC33" s="1900"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84"/>
      <c r="Q34" s="1884" t="str">
        <f t="shared" si="11"/>
        <v>物业管理</v>
      </c>
      <c r="R34" s="748" t="s">
        <v>25</v>
      </c>
      <c r="S34" s="749">
        <f t="shared" si="12"/>
        <v>100</v>
      </c>
      <c r="T34" s="748" t="s">
        <v>25</v>
      </c>
      <c r="U34" s="749">
        <f t="shared" si="13"/>
        <v>100</v>
      </c>
      <c r="V34" s="748" t="s">
        <v>25</v>
      </c>
      <c r="W34" s="749">
        <f t="shared" si="14"/>
        <v>100</v>
      </c>
      <c r="X34" s="750"/>
      <c r="Y34" s="2984"/>
      <c r="Z34" s="23" t="str">
        <f t="shared" si="15"/>
        <v>物业管理</v>
      </c>
      <c r="AA34" s="751">
        <f t="shared" si="3"/>
        <v>1</v>
      </c>
      <c r="AB34" s="751">
        <f t="shared" si="4"/>
        <v>1</v>
      </c>
      <c r="AC34" s="751">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84" t="s">
        <v>2365</v>
      </c>
      <c r="Q35" s="1896" t="str">
        <f t="shared" si="11"/>
        <v>市政基础设施</v>
      </c>
      <c r="R35" s="752" t="s">
        <v>25</v>
      </c>
      <c r="S35" s="753">
        <f t="shared" si="12"/>
        <v>100</v>
      </c>
      <c r="T35" s="752" t="s">
        <v>25</v>
      </c>
      <c r="U35" s="753">
        <f t="shared" si="13"/>
        <v>100</v>
      </c>
      <c r="V35" s="752" t="s">
        <v>25</v>
      </c>
      <c r="W35" s="753">
        <f t="shared" si="14"/>
        <v>100</v>
      </c>
      <c r="X35" s="1897"/>
      <c r="Y35" s="2984" t="s">
        <v>2365</v>
      </c>
      <c r="Z35" s="1899" t="str">
        <f t="shared" si="15"/>
        <v>市政基础设施</v>
      </c>
      <c r="AA35" s="1900">
        <f t="shared" si="3"/>
        <v>1</v>
      </c>
      <c r="AB35" s="1900">
        <f t="shared" si="4"/>
        <v>1</v>
      </c>
      <c r="AC35" s="1900">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84"/>
      <c r="Q36" s="1896" t="str">
        <f t="shared" si="11"/>
        <v>内部装修</v>
      </c>
      <c r="R36" s="752" t="s">
        <v>25</v>
      </c>
      <c r="S36" s="753">
        <f t="shared" si="12"/>
        <v>100</v>
      </c>
      <c r="T36" s="752" t="s">
        <v>25</v>
      </c>
      <c r="U36" s="753">
        <f t="shared" si="13"/>
        <v>100</v>
      </c>
      <c r="V36" s="752" t="s">
        <v>25</v>
      </c>
      <c r="W36" s="753">
        <f t="shared" si="14"/>
        <v>100</v>
      </c>
      <c r="X36" s="1897"/>
      <c r="Y36" s="2984"/>
      <c r="Z36" s="1899" t="str">
        <f t="shared" si="15"/>
        <v>内部装修</v>
      </c>
      <c r="AA36" s="1900">
        <f t="shared" si="3"/>
        <v>1</v>
      </c>
      <c r="AB36" s="1900">
        <f t="shared" si="4"/>
        <v>1</v>
      </c>
      <c r="AC36" s="1900">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84"/>
      <c r="Q37" s="1896" t="str">
        <f t="shared" si="11"/>
        <v>内部装修状况</v>
      </c>
      <c r="R37" s="752" t="s">
        <v>25</v>
      </c>
      <c r="S37" s="753">
        <f t="shared" si="12"/>
        <v>0</v>
      </c>
      <c r="T37" s="752" t="s">
        <v>25</v>
      </c>
      <c r="U37" s="753">
        <f t="shared" si="13"/>
        <v>0</v>
      </c>
      <c r="V37" s="752" t="s">
        <v>25</v>
      </c>
      <c r="W37" s="753">
        <f t="shared" si="14"/>
        <v>0</v>
      </c>
      <c r="X37" s="1897"/>
      <c r="Y37" s="2984"/>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84"/>
      <c r="Q38" s="754">
        <f t="shared" si="11"/>
        <v>111</v>
      </c>
      <c r="R38" s="755" t="s">
        <v>25</v>
      </c>
      <c r="S38" s="756">
        <f t="shared" si="12"/>
        <v>100</v>
      </c>
      <c r="T38" s="755" t="s">
        <v>25</v>
      </c>
      <c r="U38" s="756">
        <f t="shared" si="13"/>
        <v>100</v>
      </c>
      <c r="V38" s="755" t="s">
        <v>25</v>
      </c>
      <c r="W38" s="756">
        <f t="shared" si="14"/>
        <v>100</v>
      </c>
      <c r="X38" s="757"/>
      <c r="Y38" s="2984"/>
      <c r="Z38" s="758">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84"/>
      <c r="Q39" s="1896">
        <f t="shared" si="11"/>
        <v>111</v>
      </c>
      <c r="R39" s="752" t="s">
        <v>25</v>
      </c>
      <c r="S39" s="753">
        <f t="shared" si="12"/>
        <v>100</v>
      </c>
      <c r="T39" s="752" t="s">
        <v>25</v>
      </c>
      <c r="U39" s="753">
        <f t="shared" si="13"/>
        <v>100</v>
      </c>
      <c r="V39" s="752" t="s">
        <v>25</v>
      </c>
      <c r="W39" s="753">
        <f t="shared" si="14"/>
        <v>100</v>
      </c>
      <c r="X39" s="1897"/>
      <c r="Y39" s="2984"/>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85"/>
      <c r="Q40" s="1896">
        <f t="shared" si="11"/>
        <v>111</v>
      </c>
      <c r="R40" s="752" t="s">
        <v>25</v>
      </c>
      <c r="S40" s="753">
        <f t="shared" si="12"/>
        <v>100</v>
      </c>
      <c r="T40" s="752" t="s">
        <v>25</v>
      </c>
      <c r="U40" s="753">
        <f t="shared" si="13"/>
        <v>100</v>
      </c>
      <c r="V40" s="752" t="s">
        <v>25</v>
      </c>
      <c r="W40" s="753">
        <f t="shared" si="14"/>
        <v>100</v>
      </c>
      <c r="X40" s="1897"/>
      <c r="Y40" s="2985"/>
      <c r="Z40" s="1899">
        <f t="shared" si="15"/>
        <v>111</v>
      </c>
      <c r="AA40" s="1900">
        <f t="shared" si="3"/>
        <v>1</v>
      </c>
      <c r="AB40" s="1900">
        <f t="shared" si="4"/>
        <v>1</v>
      </c>
      <c r="AC40" s="1900">
        <f t="shared" si="5"/>
        <v>1</v>
      </c>
    </row>
    <row r="41" spans="1:29" ht="15">
      <c r="A41" s="460" t="s">
        <v>2377</v>
      </c>
      <c r="B41" s="461"/>
      <c r="C41" s="1499" t="s">
        <v>1</v>
      </c>
      <c r="D41" s="1500"/>
      <c r="E41" s="1501"/>
      <c r="F41" s="1502"/>
      <c r="G41" s="1503"/>
      <c r="H41" s="1504"/>
      <c r="I41" s="1501"/>
      <c r="J41" s="1504"/>
      <c r="K41" s="761"/>
      <c r="L41" s="1254"/>
      <c r="M41" s="1255"/>
      <c r="N41" s="1242"/>
      <c r="O41" s="1255"/>
      <c r="P41" s="2976" t="str">
        <f>A41</f>
        <v>成交单价（元/平方米）</v>
      </c>
      <c r="Q41" s="2976"/>
      <c r="R41" s="2977">
        <f>E41</f>
        <v>0</v>
      </c>
      <c r="S41" s="2977"/>
      <c r="T41" s="2977">
        <f>G41</f>
        <v>0</v>
      </c>
      <c r="U41" s="2977"/>
      <c r="V41" s="2977">
        <f>I41</f>
        <v>0</v>
      </c>
      <c r="W41" s="2977"/>
      <c r="X41" s="737"/>
      <c r="Y41" s="759"/>
      <c r="Z41" s="737"/>
      <c r="AA41" s="737"/>
      <c r="AB41" s="737"/>
      <c r="AC41" s="737"/>
    </row>
    <row r="42" spans="1:29" ht="15.75" thickBot="1">
      <c r="A42" s="467" t="s">
        <v>2460</v>
      </c>
      <c r="B42" s="468"/>
      <c r="C42" s="1505" t="e">
        <f>R43</f>
        <v>#DIV/0!</v>
      </c>
      <c r="D42" s="1506"/>
      <c r="E42" s="1507" t="e">
        <f>R42</f>
        <v>#DIV/0!</v>
      </c>
      <c r="F42" s="1507"/>
      <c r="G42" s="1505" t="e">
        <f>T42</f>
        <v>#DIV/0!</v>
      </c>
      <c r="H42" s="1506"/>
      <c r="I42" s="1507" t="e">
        <f>V42</f>
        <v>#DIV/0!</v>
      </c>
      <c r="J42" s="1506"/>
      <c r="K42" s="762"/>
      <c r="L42" s="1254"/>
      <c r="M42" s="1255"/>
      <c r="N42" s="1242"/>
      <c r="O42" s="1255"/>
      <c r="P42" s="2976" t="str">
        <f>A42</f>
        <v>比较价值（元/平方米）</v>
      </c>
      <c r="Q42" s="2976"/>
      <c r="R42" s="2977" t="e">
        <f>IF(E1="售价",ROUND(PRODUCT(R41,AA7:AA40),0),ROUND(PRODUCT(R41,AA7:AA40),1))</f>
        <v>#DIV/0!</v>
      </c>
      <c r="S42" s="2977"/>
      <c r="T42" s="2977" t="e">
        <f>IF(E1="售价",ROUND(PRODUCT(T41,AB7:AB40),0),ROUND(PRODUCT(T41,AB7:AB40),1))</f>
        <v>#DIV/0!</v>
      </c>
      <c r="U42" s="2977"/>
      <c r="V42" s="2977" t="e">
        <f>IF(E1="售价",ROUND(PRODUCT(V41,AC7:AC40),0),ROUND(PRODUCT(V41,AC7:AC40),1))</f>
        <v>#DIV/0!</v>
      </c>
      <c r="W42" s="2977"/>
      <c r="X42" s="737"/>
      <c r="Y42" s="737"/>
      <c r="Z42" s="737"/>
      <c r="AA42" s="737"/>
      <c r="AB42" s="737"/>
      <c r="AC42" s="737"/>
    </row>
    <row r="43" spans="1:29" ht="15.75" thickBot="1">
      <c r="A43" s="473" t="s">
        <v>2483</v>
      </c>
      <c r="B43" s="474"/>
      <c r="C43" s="1509" t="e">
        <f>R43</f>
        <v>#DIV/0!</v>
      </c>
      <c r="D43" s="1509"/>
      <c r="E43" s="1509"/>
      <c r="F43" s="1509"/>
      <c r="G43" s="1509"/>
      <c r="H43" s="1509"/>
      <c r="I43" s="1509"/>
      <c r="J43" s="1509"/>
      <c r="K43" s="763"/>
      <c r="L43" s="1254"/>
      <c r="M43" s="1255"/>
      <c r="N43" s="1255"/>
      <c r="O43" s="1255"/>
      <c r="P43" s="2978" t="str">
        <f>A43</f>
        <v>估价对象XX用房的比较价值（楼面单价，元/平方米）</v>
      </c>
      <c r="Q43" s="2979"/>
      <c r="R43" s="2980" t="e">
        <f>IF(E1="售价",ROUND(AVERAGE(R42:V42),0),ROUND(AVERAGE(R42:V42),1))</f>
        <v>#DIV/0!</v>
      </c>
      <c r="S43" s="2980"/>
      <c r="T43" s="2980"/>
      <c r="U43" s="2980"/>
      <c r="V43" s="2980"/>
      <c r="W43" s="2980"/>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2465</v>
      </c>
      <c r="B51" s="737"/>
      <c r="C51" s="742"/>
      <c r="D51" s="742"/>
      <c r="E51" s="742"/>
      <c r="F51" s="743"/>
      <c r="G51" s="743"/>
      <c r="H51" s="742"/>
      <c r="I51" s="742"/>
      <c r="J51" s="742"/>
      <c r="K51" s="744"/>
      <c r="L51" s="745"/>
      <c r="M51" s="742"/>
      <c r="N51" s="742"/>
      <c r="O51" s="742"/>
      <c r="P51" s="484"/>
      <c r="Q51" s="485"/>
    </row>
    <row r="52" spans="1:17" s="489" customFormat="1" ht="15">
      <c r="A52" s="486" t="s">
        <v>2347</v>
      </c>
      <c r="B52" s="487"/>
      <c r="C52" s="1675" t="str">
        <f>YEAR(C7)&amp;"-"&amp;MONTH(C7)</f>
        <v>2018-6</v>
      </c>
      <c r="D52" s="1676">
        <f>EDATE(C52,-1)</f>
        <v>43221</v>
      </c>
      <c r="E52" s="1677">
        <f t="shared" ref="E52:O52" si="16">EDATE(D52,-1)</f>
        <v>43191</v>
      </c>
      <c r="F52" s="1677">
        <f t="shared" si="16"/>
        <v>43160</v>
      </c>
      <c r="G52" s="1677">
        <f t="shared" si="16"/>
        <v>43132</v>
      </c>
      <c r="H52" s="1677">
        <f t="shared" si="16"/>
        <v>43101</v>
      </c>
      <c r="I52" s="1677">
        <f t="shared" si="16"/>
        <v>43070</v>
      </c>
      <c r="J52" s="1677">
        <f t="shared" si="16"/>
        <v>43040</v>
      </c>
      <c r="K52" s="1677">
        <f t="shared" si="16"/>
        <v>43009</v>
      </c>
      <c r="L52" s="1677">
        <f t="shared" si="16"/>
        <v>42979</v>
      </c>
      <c r="M52" s="1677">
        <f t="shared" si="16"/>
        <v>42948</v>
      </c>
      <c r="N52" s="1677">
        <f t="shared" si="16"/>
        <v>42917</v>
      </c>
      <c r="O52" s="1677">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2353</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2500</v>
      </c>
      <c r="B1" s="2479"/>
      <c r="C1" s="1726"/>
      <c r="D1" s="1727"/>
      <c r="E1" s="2381"/>
      <c r="F1" s="1728" t="s">
        <v>2332</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2333</v>
      </c>
      <c r="D3" s="378">
        <f>IF(C1="仅计算典型户型",'数据-取费表'!E5,'数据-取费表'!B5)</f>
        <v>450.38</v>
      </c>
      <c r="E3" s="1090" t="s">
        <v>2501</v>
      </c>
      <c r="F3" s="379">
        <f>'数据-取费表'!B41</f>
        <v>0</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2334</v>
      </c>
      <c r="B4" s="381"/>
      <c r="C4" s="3002" t="s">
        <v>2335</v>
      </c>
      <c r="D4" s="3003"/>
      <c r="E4" s="3004" t="s">
        <v>2336</v>
      </c>
      <c r="F4" s="3005"/>
      <c r="G4" s="3002" t="s">
        <v>2337</v>
      </c>
      <c r="H4" s="3003"/>
      <c r="I4" s="3002" t="s">
        <v>2338</v>
      </c>
      <c r="J4" s="3003"/>
      <c r="K4" s="594" t="s">
        <v>2339</v>
      </c>
      <c r="L4" s="1511"/>
      <c r="M4" s="425"/>
      <c r="N4" s="425"/>
      <c r="O4" s="425"/>
      <c r="P4" s="3006" t="s">
        <v>2340</v>
      </c>
      <c r="Q4" s="3007"/>
      <c r="R4" s="2988" t="s">
        <v>2336</v>
      </c>
      <c r="S4" s="2989"/>
      <c r="T4" s="2988" t="s">
        <v>2337</v>
      </c>
      <c r="U4" s="2989"/>
      <c r="V4" s="3012" t="s">
        <v>2338</v>
      </c>
      <c r="W4" s="3012"/>
      <c r="X4" s="1897"/>
      <c r="Y4" s="2988" t="s">
        <v>2340</v>
      </c>
      <c r="Z4" s="2989"/>
      <c r="AA4" s="2999" t="s">
        <v>2336</v>
      </c>
      <c r="AB4" s="3000" t="s">
        <v>2337</v>
      </c>
      <c r="AC4" s="2999" t="s">
        <v>2338</v>
      </c>
    </row>
    <row r="5" spans="1:29" ht="15">
      <c r="A5" s="383"/>
      <c r="B5" s="384"/>
      <c r="C5" s="3015" t="s">
        <v>2341</v>
      </c>
      <c r="D5" s="3016"/>
      <c r="E5" s="3062" t="s">
        <v>2342</v>
      </c>
      <c r="F5" s="3014"/>
      <c r="G5" s="3015" t="s">
        <v>2343</v>
      </c>
      <c r="H5" s="3016"/>
      <c r="I5" s="3015" t="s">
        <v>2344</v>
      </c>
      <c r="J5" s="3016"/>
      <c r="K5" s="594"/>
      <c r="L5" s="1511"/>
      <c r="M5" s="425"/>
      <c r="N5" s="425"/>
      <c r="O5" s="425"/>
      <c r="P5" s="3008"/>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594" t="s">
        <v>2346</v>
      </c>
      <c r="L6" s="1511"/>
      <c r="M6" s="425"/>
      <c r="N6" s="425"/>
      <c r="O6" s="425"/>
      <c r="P6" s="3010"/>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391"/>
      <c r="F7" s="392">
        <f>SUMIF(48:48,YEAR(E7)&amp;"-"&amp;MONTH(E7),49:49)</f>
        <v>0</v>
      </c>
      <c r="G7" s="391"/>
      <c r="H7" s="390">
        <f>SUMIF(48:48,YEAR(G7)&amp;"-"&amp;MONTH(G7),49:49)</f>
        <v>0</v>
      </c>
      <c r="I7" s="391"/>
      <c r="J7" s="390">
        <f>SUMIF(48:48,YEAR(I7)&amp;"-"&amp;MONTH(I7),49:49)</f>
        <v>0</v>
      </c>
      <c r="K7" s="595"/>
      <c r="L7" s="1512"/>
      <c r="M7" s="1513"/>
      <c r="N7" s="1513"/>
      <c r="O7" s="1513"/>
      <c r="P7" s="2986" t="s">
        <v>2348</v>
      </c>
      <c r="Q7" s="2994"/>
      <c r="R7" s="748" t="s">
        <v>25</v>
      </c>
      <c r="S7" s="749">
        <f t="shared" ref="S7:S14" si="0">F7</f>
        <v>0</v>
      </c>
      <c r="T7" s="748" t="s">
        <v>25</v>
      </c>
      <c r="U7" s="749">
        <f t="shared" ref="U7:U14" si="1">H7</f>
        <v>0</v>
      </c>
      <c r="V7" s="748" t="s">
        <v>25</v>
      </c>
      <c r="W7" s="749">
        <f t="shared" ref="W7:W14" si="2">J7</f>
        <v>0</v>
      </c>
      <c r="X7" s="750"/>
      <c r="Y7" s="2986" t="s">
        <v>2348</v>
      </c>
      <c r="Z7" s="2987"/>
      <c r="AA7" s="751" t="e">
        <f>D7/F7</f>
        <v>#DIV/0!</v>
      </c>
      <c r="AB7" s="751" t="e">
        <f>D7/H7</f>
        <v>#DIV/0!</v>
      </c>
      <c r="AC7" s="751"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2986" t="s">
        <v>2351</v>
      </c>
      <c r="Q8" s="2987"/>
      <c r="R8" s="748" t="s">
        <v>25</v>
      </c>
      <c r="S8" s="749">
        <f t="shared" si="0"/>
        <v>0</v>
      </c>
      <c r="T8" s="748" t="s">
        <v>25</v>
      </c>
      <c r="U8" s="749">
        <f t="shared" si="1"/>
        <v>0</v>
      </c>
      <c r="V8" s="748" t="s">
        <v>25</v>
      </c>
      <c r="W8" s="749">
        <f t="shared" si="2"/>
        <v>0</v>
      </c>
      <c r="X8" s="750"/>
      <c r="Y8" s="2986" t="s">
        <v>2351</v>
      </c>
      <c r="Z8" s="2987"/>
      <c r="AA8" s="751" t="e">
        <f t="shared" ref="AA8:AA36" si="3">D8/F8</f>
        <v>#DIV/0!</v>
      </c>
      <c r="AB8" s="751" t="e">
        <f t="shared" ref="AB8:AB36" si="4">D8/H8</f>
        <v>#DIV/0!</v>
      </c>
      <c r="AC8" s="751"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76" t="s">
        <v>2354</v>
      </c>
      <c r="Q9" s="1884" t="str">
        <f t="shared" ref="Q9:Q14" si="6">B9</f>
        <v>用途</v>
      </c>
      <c r="R9" s="748" t="s">
        <v>25</v>
      </c>
      <c r="S9" s="749">
        <f t="shared" si="0"/>
        <v>100</v>
      </c>
      <c r="T9" s="748" t="s">
        <v>25</v>
      </c>
      <c r="U9" s="749">
        <f t="shared" si="1"/>
        <v>100</v>
      </c>
      <c r="V9" s="748" t="s">
        <v>25</v>
      </c>
      <c r="W9" s="749">
        <f t="shared" si="2"/>
        <v>100</v>
      </c>
      <c r="X9" s="750"/>
      <c r="Y9" s="2837" t="s">
        <v>2355</v>
      </c>
      <c r="Z9" s="23" t="str">
        <f t="shared" ref="Z9:Z14" si="7">Q9</f>
        <v>用途</v>
      </c>
      <c r="AA9" s="751">
        <f t="shared" si="3"/>
        <v>1</v>
      </c>
      <c r="AB9" s="751">
        <f t="shared" si="4"/>
        <v>1</v>
      </c>
      <c r="AC9" s="751">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76"/>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76"/>
      <c r="Q11" s="1884">
        <f t="shared" si="6"/>
        <v>111</v>
      </c>
      <c r="R11" s="748" t="s">
        <v>25</v>
      </c>
      <c r="S11" s="749">
        <f t="shared" si="0"/>
        <v>100</v>
      </c>
      <c r="T11" s="748" t="s">
        <v>25</v>
      </c>
      <c r="U11" s="749">
        <f t="shared" si="1"/>
        <v>100</v>
      </c>
      <c r="V11" s="748" t="s">
        <v>25</v>
      </c>
      <c r="W11" s="749">
        <f t="shared" si="2"/>
        <v>100</v>
      </c>
      <c r="X11" s="750"/>
      <c r="Y11" s="283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76"/>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76"/>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85.5">
      <c r="A14" s="380" t="s">
        <v>2358</v>
      </c>
      <c r="B14" s="613" t="s">
        <v>2502</v>
      </c>
      <c r="C14" s="1477" t="str">
        <f>IF(B1="工业",估价对象房地状况!G4,估价对象房地状况!C6)</f>
        <v>估价对象周边道路状况、公共交通通达情况、停车便捷程度，综合评价交通便捷度较好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7" t="s">
        <v>2359</v>
      </c>
      <c r="Q14" s="1896" t="str">
        <f t="shared" si="6"/>
        <v>交通便捷度</v>
      </c>
      <c r="R14" s="752" t="s">
        <v>25</v>
      </c>
      <c r="S14" s="753">
        <f t="shared" si="0"/>
        <v>100</v>
      </c>
      <c r="T14" s="752" t="s">
        <v>25</v>
      </c>
      <c r="U14" s="753">
        <f t="shared" si="1"/>
        <v>100</v>
      </c>
      <c r="V14" s="752" t="s">
        <v>25</v>
      </c>
      <c r="W14" s="753">
        <f t="shared" si="2"/>
        <v>100</v>
      </c>
      <c r="X14" s="1897"/>
      <c r="Y14" s="2997" t="s">
        <v>2359</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8"/>
      <c r="Q15" s="1896"/>
      <c r="R15" s="752"/>
      <c r="S15" s="753"/>
      <c r="T15" s="752"/>
      <c r="U15" s="753"/>
      <c r="V15" s="752"/>
      <c r="W15" s="753"/>
      <c r="X15" s="1897"/>
      <c r="Y15" s="2998"/>
      <c r="Z15" s="1899"/>
      <c r="AA15" s="1900">
        <v>1</v>
      </c>
      <c r="AB15" s="1900">
        <v>1</v>
      </c>
      <c r="AC15" s="1900">
        <v>1</v>
      </c>
    </row>
    <row r="16" spans="1:29" ht="42.75">
      <c r="A16" s="383"/>
      <c r="B16" s="615" t="s">
        <v>2474</v>
      </c>
      <c r="C16" s="1479" t="str">
        <f>IF(B1="工业",估价对象房地状况!G5,估价对象房地状况!C7)</f>
        <v>估价对象所在区域公共配套设施齐备情况</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8"/>
      <c r="Q16" s="1896" t="str">
        <f>B16</f>
        <v>公共配套设施</v>
      </c>
      <c r="R16" s="752" t="s">
        <v>25</v>
      </c>
      <c r="S16" s="753">
        <f>F16</f>
        <v>100</v>
      </c>
      <c r="T16" s="752" t="s">
        <v>25</v>
      </c>
      <c r="U16" s="753">
        <f>H16</f>
        <v>100</v>
      </c>
      <c r="V16" s="752" t="s">
        <v>25</v>
      </c>
      <c r="W16" s="753">
        <f>J16</f>
        <v>100</v>
      </c>
      <c r="X16" s="1897"/>
      <c r="Y16" s="2998"/>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8"/>
      <c r="Q17" s="1896"/>
      <c r="R17" s="752"/>
      <c r="S17" s="753"/>
      <c r="T17" s="752"/>
      <c r="U17" s="753"/>
      <c r="V17" s="752"/>
      <c r="W17" s="753"/>
      <c r="X17" s="1897"/>
      <c r="Y17" s="2998"/>
      <c r="Z17" s="1899"/>
      <c r="AA17" s="1900">
        <v>1</v>
      </c>
      <c r="AB17" s="1900">
        <v>1</v>
      </c>
      <c r="AC17" s="1900">
        <v>1</v>
      </c>
    </row>
    <row r="18" spans="1:29" ht="28.5">
      <c r="A18" s="383"/>
      <c r="B18" s="617" t="s">
        <v>2475</v>
      </c>
      <c r="C18" s="1479" t="str">
        <f>IF(B1="工业",估价对象房地状况!G6,估价对象房地状况!C8)</f>
        <v>估价对象所在区域基础设施水平</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8"/>
      <c r="Q18" s="1896" t="str">
        <f>B18</f>
        <v>基础设施水平</v>
      </c>
      <c r="R18" s="752" t="s">
        <v>25</v>
      </c>
      <c r="S18" s="753">
        <f>F18</f>
        <v>100</v>
      </c>
      <c r="T18" s="752" t="s">
        <v>25</v>
      </c>
      <c r="U18" s="753">
        <f>H18</f>
        <v>100</v>
      </c>
      <c r="V18" s="752" t="s">
        <v>25</v>
      </c>
      <c r="W18" s="753">
        <f>J18</f>
        <v>100</v>
      </c>
      <c r="X18" s="1897"/>
      <c r="Y18" s="2998"/>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8"/>
      <c r="Q19" s="1896"/>
      <c r="R19" s="752"/>
      <c r="S19" s="753"/>
      <c r="T19" s="752"/>
      <c r="U19" s="753"/>
      <c r="V19" s="752"/>
      <c r="W19" s="753"/>
      <c r="X19" s="1897"/>
      <c r="Y19" s="2998"/>
      <c r="Z19" s="1899"/>
      <c r="AA19" s="1900">
        <v>1</v>
      </c>
      <c r="AB19" s="1900">
        <v>1</v>
      </c>
      <c r="AC19" s="1900">
        <v>1</v>
      </c>
    </row>
    <row r="20" spans="1:29" ht="57">
      <c r="A20" s="383"/>
      <c r="B20" s="615" t="s">
        <v>2503</v>
      </c>
      <c r="C20" s="1479" t="str">
        <f>IF(B1="工业",估价对象房地状况!G7,估价对象房地状况!C9)</f>
        <v>区域自然环境：；人文环境；综合评价环境状况一般</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8"/>
      <c r="Q20" s="1896" t="str">
        <f>B20</f>
        <v>自然及人文环境</v>
      </c>
      <c r="R20" s="752" t="s">
        <v>25</v>
      </c>
      <c r="S20" s="753">
        <f>F20</f>
        <v>100</v>
      </c>
      <c r="T20" s="752" t="s">
        <v>25</v>
      </c>
      <c r="U20" s="753">
        <f>H20</f>
        <v>100</v>
      </c>
      <c r="V20" s="752" t="s">
        <v>25</v>
      </c>
      <c r="W20" s="753">
        <f>J20</f>
        <v>100</v>
      </c>
      <c r="X20" s="1897"/>
      <c r="Y20" s="2998"/>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8"/>
      <c r="Q21" s="1896"/>
      <c r="R21" s="752"/>
      <c r="S21" s="753"/>
      <c r="T21" s="752"/>
      <c r="U21" s="753"/>
      <c r="V21" s="752"/>
      <c r="W21" s="753"/>
      <c r="X21" s="1897"/>
      <c r="Y21" s="2998"/>
      <c r="Z21" s="1899"/>
      <c r="AA21" s="1900">
        <v>1</v>
      </c>
      <c r="AB21" s="1900">
        <v>1</v>
      </c>
      <c r="AC21" s="1900">
        <v>1</v>
      </c>
    </row>
    <row r="22" spans="1:29" ht="15">
      <c r="A22" s="383"/>
      <c r="B22" s="615" t="s">
        <v>2504</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8"/>
      <c r="Q22" s="1896" t="str">
        <f>B22</f>
        <v>楼层</v>
      </c>
      <c r="R22" s="752" t="s">
        <v>25</v>
      </c>
      <c r="S22" s="753">
        <f>F22</f>
        <v>100</v>
      </c>
      <c r="T22" s="752" t="s">
        <v>25</v>
      </c>
      <c r="U22" s="753">
        <f>H22</f>
        <v>100</v>
      </c>
      <c r="V22" s="752" t="s">
        <v>25</v>
      </c>
      <c r="W22" s="753">
        <f>J22</f>
        <v>100</v>
      </c>
      <c r="X22" s="1897"/>
      <c r="Y22" s="2998"/>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8"/>
      <c r="Q23" s="1896">
        <f>B23</f>
        <v>111</v>
      </c>
      <c r="R23" s="752" t="s">
        <v>25</v>
      </c>
      <c r="S23" s="753">
        <f>F23</f>
        <v>100</v>
      </c>
      <c r="T23" s="752" t="s">
        <v>25</v>
      </c>
      <c r="U23" s="753">
        <f>H23</f>
        <v>100</v>
      </c>
      <c r="V23" s="752" t="s">
        <v>25</v>
      </c>
      <c r="W23" s="753">
        <f>J23</f>
        <v>100</v>
      </c>
      <c r="X23" s="1897"/>
      <c r="Y23" s="2998"/>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8"/>
      <c r="Q24" s="1896">
        <f t="shared" ref="Q24:Q36" si="11">B24</f>
        <v>111</v>
      </c>
      <c r="R24" s="752" t="s">
        <v>25</v>
      </c>
      <c r="S24" s="753">
        <f>F24</f>
        <v>100</v>
      </c>
      <c r="T24" s="752" t="s">
        <v>25</v>
      </c>
      <c r="U24" s="753">
        <f>H24</f>
        <v>100</v>
      </c>
      <c r="V24" s="752" t="s">
        <v>25</v>
      </c>
      <c r="W24" s="753">
        <f>J24</f>
        <v>100</v>
      </c>
      <c r="X24" s="1897"/>
      <c r="Y24" s="2998"/>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8"/>
      <c r="Q25" s="1884">
        <f t="shared" si="11"/>
        <v>111</v>
      </c>
      <c r="R25" s="748" t="s">
        <v>25</v>
      </c>
      <c r="S25" s="749">
        <f>F25</f>
        <v>100</v>
      </c>
      <c r="T25" s="748" t="s">
        <v>25</v>
      </c>
      <c r="U25" s="749">
        <f>H25</f>
        <v>100</v>
      </c>
      <c r="V25" s="748" t="s">
        <v>25</v>
      </c>
      <c r="W25" s="749">
        <f>J25</f>
        <v>100</v>
      </c>
      <c r="X25" s="750"/>
      <c r="Y25" s="2998"/>
      <c r="Z25" s="23">
        <f>Q25</f>
        <v>111</v>
      </c>
      <c r="AA25" s="1900">
        <f>D25/F25</f>
        <v>1</v>
      </c>
      <c r="AB25" s="1900">
        <f>D25/H25</f>
        <v>1</v>
      </c>
      <c r="AC25" s="1900">
        <f>D25/J25</f>
        <v>1</v>
      </c>
    </row>
    <row r="26" spans="1:29" ht="15">
      <c r="A26" s="635" t="s">
        <v>2363</v>
      </c>
      <c r="B26" s="27" t="s">
        <v>2505</v>
      </c>
      <c r="C26" s="2480"/>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63" t="s">
        <v>2365</v>
      </c>
      <c r="Q26" s="1896" t="str">
        <f t="shared" si="11"/>
        <v>配套类型</v>
      </c>
      <c r="R26" s="752" t="s">
        <v>25</v>
      </c>
      <c r="S26" s="753">
        <f t="shared" ref="S26:S36" si="12">F26</f>
        <v>100</v>
      </c>
      <c r="T26" s="752" t="s">
        <v>25</v>
      </c>
      <c r="U26" s="753">
        <f t="shared" ref="U26:U36" si="13">H26</f>
        <v>100</v>
      </c>
      <c r="V26" s="752" t="s">
        <v>25</v>
      </c>
      <c r="W26" s="753">
        <f t="shared" ref="W26:W36" si="14">J26</f>
        <v>100</v>
      </c>
      <c r="X26" s="1897"/>
      <c r="Y26" s="2984" t="s">
        <v>2365</v>
      </c>
      <c r="Z26" s="1899" t="str">
        <f t="shared" ref="Z26:Z36" si="15">Q26</f>
        <v>配套类型</v>
      </c>
      <c r="AA26" s="1900">
        <f t="shared" si="3"/>
        <v>1</v>
      </c>
      <c r="AB26" s="1900">
        <f t="shared" si="4"/>
        <v>1</v>
      </c>
      <c r="AC26" s="1900">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2984"/>
      <c r="Q27" s="754" t="str">
        <f t="shared" si="11"/>
        <v>项目停车位配比</v>
      </c>
      <c r="R27" s="755" t="s">
        <v>25</v>
      </c>
      <c r="S27" s="756">
        <f t="shared" si="12"/>
        <v>100</v>
      </c>
      <c r="T27" s="755" t="s">
        <v>25</v>
      </c>
      <c r="U27" s="756">
        <f t="shared" si="13"/>
        <v>100</v>
      </c>
      <c r="V27" s="755" t="s">
        <v>25</v>
      </c>
      <c r="W27" s="756">
        <f t="shared" si="14"/>
        <v>100</v>
      </c>
      <c r="X27" s="757"/>
      <c r="Y27" s="2984"/>
      <c r="Z27" s="758" t="str">
        <f t="shared" si="15"/>
        <v>项目停车位配比</v>
      </c>
      <c r="AA27" s="1900">
        <f t="shared" si="3"/>
        <v>1</v>
      </c>
      <c r="AB27" s="1900">
        <f t="shared" si="4"/>
        <v>1</v>
      </c>
      <c r="AC27" s="1900">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2984"/>
      <c r="Q28" s="1896" t="str">
        <f t="shared" si="11"/>
        <v>公共部分装修</v>
      </c>
      <c r="R28" s="752" t="s">
        <v>25</v>
      </c>
      <c r="S28" s="753">
        <f t="shared" si="12"/>
        <v>100</v>
      </c>
      <c r="T28" s="752" t="s">
        <v>25</v>
      </c>
      <c r="U28" s="753">
        <f t="shared" si="13"/>
        <v>100</v>
      </c>
      <c r="V28" s="752" t="s">
        <v>25</v>
      </c>
      <c r="W28" s="753">
        <f t="shared" si="14"/>
        <v>100</v>
      </c>
      <c r="X28" s="1897"/>
      <c r="Y28" s="2984"/>
      <c r="Z28" s="1899" t="str">
        <f t="shared" si="15"/>
        <v>公共部分装修</v>
      </c>
      <c r="AA28" s="1900">
        <f t="shared" si="3"/>
        <v>1</v>
      </c>
      <c r="AB28" s="1900">
        <f t="shared" si="4"/>
        <v>1</v>
      </c>
      <c r="AC28" s="1900">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2984"/>
      <c r="Q29" s="1896" t="str">
        <f t="shared" si="11"/>
        <v>成新率</v>
      </c>
      <c r="R29" s="752" t="s">
        <v>25</v>
      </c>
      <c r="S29" s="753" t="e">
        <f t="shared" si="12"/>
        <v>#N/A</v>
      </c>
      <c r="T29" s="752" t="s">
        <v>25</v>
      </c>
      <c r="U29" s="753" t="e">
        <f t="shared" si="13"/>
        <v>#N/A</v>
      </c>
      <c r="V29" s="752" t="s">
        <v>25</v>
      </c>
      <c r="W29" s="753" t="e">
        <f t="shared" si="14"/>
        <v>#N/A</v>
      </c>
      <c r="X29" s="1897"/>
      <c r="Y29" s="2984"/>
      <c r="Z29" s="1899" t="str">
        <f t="shared" si="15"/>
        <v>成新率</v>
      </c>
      <c r="AA29" s="1900" t="e">
        <f t="shared" si="3"/>
        <v>#N/A</v>
      </c>
      <c r="AB29" s="1900" t="e">
        <f t="shared" si="4"/>
        <v>#N/A</v>
      </c>
      <c r="AC29" s="1900"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2984"/>
      <c r="Q30" s="1896" t="str">
        <f t="shared" si="11"/>
        <v>物业等级</v>
      </c>
      <c r="R30" s="752" t="s">
        <v>25</v>
      </c>
      <c r="S30" s="753">
        <f t="shared" si="12"/>
        <v>100</v>
      </c>
      <c r="T30" s="752" t="s">
        <v>25</v>
      </c>
      <c r="U30" s="753">
        <f t="shared" si="13"/>
        <v>100</v>
      </c>
      <c r="V30" s="752" t="s">
        <v>25</v>
      </c>
      <c r="W30" s="753">
        <f t="shared" si="14"/>
        <v>100</v>
      </c>
      <c r="X30" s="1897"/>
      <c r="Y30" s="2984"/>
      <c r="Z30" s="1899" t="str">
        <f t="shared" si="15"/>
        <v>物业等级</v>
      </c>
      <c r="AA30" s="1900">
        <f t="shared" si="3"/>
        <v>1</v>
      </c>
      <c r="AB30" s="1900">
        <f t="shared" si="4"/>
        <v>1</v>
      </c>
      <c r="AC30" s="1900">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2984"/>
      <c r="Q31" s="1884" t="str">
        <f t="shared" si="11"/>
        <v>停车位面积</v>
      </c>
      <c r="R31" s="748" t="s">
        <v>25</v>
      </c>
      <c r="S31" s="749" t="e">
        <f t="shared" si="12"/>
        <v>#N/A</v>
      </c>
      <c r="T31" s="748" t="s">
        <v>25</v>
      </c>
      <c r="U31" s="749" t="e">
        <f t="shared" si="13"/>
        <v>#N/A</v>
      </c>
      <c r="V31" s="748" t="s">
        <v>25</v>
      </c>
      <c r="W31" s="749" t="e">
        <f t="shared" si="14"/>
        <v>#N/A</v>
      </c>
      <c r="X31" s="750"/>
      <c r="Y31" s="2984"/>
      <c r="Z31" s="23" t="str">
        <f t="shared" si="15"/>
        <v>停车位面积</v>
      </c>
      <c r="AA31" s="751" t="e">
        <f t="shared" si="3"/>
        <v>#N/A</v>
      </c>
      <c r="AB31" s="751" t="e">
        <f t="shared" si="4"/>
        <v>#N/A</v>
      </c>
      <c r="AC31" s="751"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2984" t="s">
        <v>2365</v>
      </c>
      <c r="Q32" s="1896" t="str">
        <f t="shared" si="11"/>
        <v>车位类型</v>
      </c>
      <c r="R32" s="752" t="s">
        <v>25</v>
      </c>
      <c r="S32" s="753">
        <f t="shared" si="12"/>
        <v>100</v>
      </c>
      <c r="T32" s="752" t="s">
        <v>25</v>
      </c>
      <c r="U32" s="753">
        <f t="shared" si="13"/>
        <v>100</v>
      </c>
      <c r="V32" s="752" t="s">
        <v>25</v>
      </c>
      <c r="W32" s="753">
        <f t="shared" si="14"/>
        <v>100</v>
      </c>
      <c r="X32" s="1897"/>
      <c r="Y32" s="2984" t="s">
        <v>2365</v>
      </c>
      <c r="Z32" s="1899" t="str">
        <f t="shared" si="15"/>
        <v>车位类型</v>
      </c>
      <c r="AA32" s="1900">
        <f t="shared" si="3"/>
        <v>1</v>
      </c>
      <c r="AB32" s="1900">
        <f t="shared" si="4"/>
        <v>1</v>
      </c>
      <c r="AC32" s="1900">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2984"/>
      <c r="Q33" s="1896" t="str">
        <f t="shared" si="11"/>
        <v>是否直接入户</v>
      </c>
      <c r="R33" s="752" t="s">
        <v>25</v>
      </c>
      <c r="S33" s="753">
        <f t="shared" si="12"/>
        <v>100</v>
      </c>
      <c r="T33" s="752" t="s">
        <v>25</v>
      </c>
      <c r="U33" s="753">
        <f t="shared" si="13"/>
        <v>100</v>
      </c>
      <c r="V33" s="752" t="s">
        <v>25</v>
      </c>
      <c r="W33" s="753">
        <f t="shared" si="14"/>
        <v>100</v>
      </c>
      <c r="X33" s="1897"/>
      <c r="Y33" s="2984"/>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2984"/>
      <c r="Q34" s="1896">
        <f t="shared" si="11"/>
        <v>111</v>
      </c>
      <c r="R34" s="752" t="s">
        <v>25</v>
      </c>
      <c r="S34" s="753">
        <f t="shared" si="12"/>
        <v>100</v>
      </c>
      <c r="T34" s="752" t="s">
        <v>25</v>
      </c>
      <c r="U34" s="753">
        <f t="shared" si="13"/>
        <v>100</v>
      </c>
      <c r="V34" s="752" t="s">
        <v>25</v>
      </c>
      <c r="W34" s="753">
        <f t="shared" si="14"/>
        <v>100</v>
      </c>
      <c r="X34" s="1897"/>
      <c r="Y34" s="2984"/>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2984"/>
      <c r="Q35" s="754">
        <f t="shared" si="11"/>
        <v>111</v>
      </c>
      <c r="R35" s="755" t="s">
        <v>25</v>
      </c>
      <c r="S35" s="756">
        <f t="shared" si="12"/>
        <v>100</v>
      </c>
      <c r="T35" s="755" t="s">
        <v>25</v>
      </c>
      <c r="U35" s="756">
        <f t="shared" si="13"/>
        <v>100</v>
      </c>
      <c r="V35" s="755" t="s">
        <v>25</v>
      </c>
      <c r="W35" s="756">
        <f t="shared" si="14"/>
        <v>100</v>
      </c>
      <c r="X35" s="757"/>
      <c r="Y35" s="2984"/>
      <c r="Z35" s="758">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2984"/>
      <c r="Q36" s="1896">
        <f t="shared" si="11"/>
        <v>111</v>
      </c>
      <c r="R36" s="752" t="s">
        <v>25</v>
      </c>
      <c r="S36" s="753">
        <f t="shared" si="12"/>
        <v>100</v>
      </c>
      <c r="T36" s="752" t="s">
        <v>25</v>
      </c>
      <c r="U36" s="753">
        <f t="shared" si="13"/>
        <v>100</v>
      </c>
      <c r="V36" s="752" t="s">
        <v>25</v>
      </c>
      <c r="W36" s="753">
        <f t="shared" si="14"/>
        <v>100</v>
      </c>
      <c r="X36" s="1897"/>
      <c r="Y36" s="2984"/>
      <c r="Z36" s="1899">
        <f t="shared" si="15"/>
        <v>111</v>
      </c>
      <c r="AA36" s="1900">
        <f t="shared" si="3"/>
        <v>1</v>
      </c>
      <c r="AB36" s="1900">
        <f t="shared" si="4"/>
        <v>1</v>
      </c>
      <c r="AC36" s="1900">
        <f t="shared" si="5"/>
        <v>1</v>
      </c>
    </row>
    <row r="37" spans="1:29" ht="15">
      <c r="A37" s="460" t="s">
        <v>2513</v>
      </c>
      <c r="B37" s="1091" t="s">
        <v>2514</v>
      </c>
      <c r="C37" s="1499" t="s">
        <v>1</v>
      </c>
      <c r="D37" s="1500"/>
      <c r="E37" s="1501"/>
      <c r="F37" s="1502"/>
      <c r="G37" s="1503"/>
      <c r="H37" s="1504"/>
      <c r="I37" s="1501"/>
      <c r="J37" s="1504"/>
      <c r="K37" s="603"/>
      <c r="L37" s="1522"/>
      <c r="M37" s="737"/>
      <c r="N37" s="425"/>
      <c r="O37" s="737"/>
      <c r="P37" s="2976" t="str">
        <f>A37</f>
        <v>成交单价</v>
      </c>
      <c r="Q37" s="2976"/>
      <c r="R37" s="2977">
        <f>E37</f>
        <v>0</v>
      </c>
      <c r="S37" s="2977"/>
      <c r="T37" s="2977">
        <f>G37</f>
        <v>0</v>
      </c>
      <c r="U37" s="2977"/>
      <c r="V37" s="2977">
        <f>I37</f>
        <v>0</v>
      </c>
      <c r="W37" s="2977"/>
      <c r="X37" s="737"/>
      <c r="Y37" s="759"/>
      <c r="Z37" s="737"/>
      <c r="AA37" s="737"/>
      <c r="AB37" s="737"/>
      <c r="AC37" s="737"/>
    </row>
    <row r="38" spans="1:29" ht="15.75" thickBot="1">
      <c r="A38" s="467" t="s">
        <v>2515</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2976" t="str">
        <f>A38</f>
        <v>比较价值</v>
      </c>
      <c r="Q38" s="2976"/>
      <c r="R38" s="2977" t="e">
        <f>IF(E1="售价",ROUND(PRODUCT(R37,AA7:AA36),0),ROUND(PRODUCT(R37,AA7:AA36),1))</f>
        <v>#DIV/0!</v>
      </c>
      <c r="S38" s="2977"/>
      <c r="T38" s="2977" t="e">
        <f>IF(E1="售价",ROUND(PRODUCT(T37,AB7:AB36),0),ROUND(PRODUCT(T37,AB7:AB36),1))</f>
        <v>#DIV/0!</v>
      </c>
      <c r="U38" s="2977"/>
      <c r="V38" s="2977" t="e">
        <f>IF(E1="售价",ROUND(PRODUCT(V37,AC7:AC36),0),ROUND(PRODUCT(V37,AC7:AC36),1))</f>
        <v>#DIV/0!</v>
      </c>
      <c r="W38" s="2977"/>
      <c r="X38" s="737"/>
      <c r="Y38" s="737"/>
      <c r="Z38" s="737"/>
      <c r="AA38" s="737"/>
      <c r="AB38" s="737"/>
      <c r="AC38" s="737"/>
    </row>
    <row r="39" spans="1:29" ht="15.75" thickBot="1">
      <c r="A39" s="473" t="s">
        <v>2516</v>
      </c>
      <c r="B39" s="474"/>
      <c r="C39" s="1509" t="e">
        <f>R39</f>
        <v>#DIV/0!</v>
      </c>
      <c r="D39" s="1509"/>
      <c r="E39" s="1509"/>
      <c r="F39" s="1509"/>
      <c r="G39" s="1509"/>
      <c r="H39" s="1509"/>
      <c r="I39" s="1509"/>
      <c r="J39" s="1509"/>
      <c r="K39" s="605"/>
      <c r="L39" s="1522"/>
      <c r="M39" s="737"/>
      <c r="N39" s="737"/>
      <c r="O39" s="737"/>
      <c r="P39" s="2978" t="str">
        <f>A39</f>
        <v>估价对象XX用房的比较价值（楼面单价，元/平方米）</v>
      </c>
      <c r="Q39" s="2979"/>
      <c r="R39" s="2980" t="e">
        <f>IF(E1="售价",ROUND(AVERAGE(R38:V38),0),ROUND(AVERAGE(R38:V38),1))</f>
        <v>#DIV/0!</v>
      </c>
      <c r="S39" s="2980"/>
      <c r="T39" s="2980"/>
      <c r="U39" s="2980"/>
      <c r="V39" s="2980"/>
      <c r="W39" s="2980"/>
      <c r="X39" s="737"/>
      <c r="Y39" s="737"/>
      <c r="Z39" s="737"/>
      <c r="AA39" s="737"/>
      <c r="AB39" s="737"/>
      <c r="AC39" s="737"/>
    </row>
    <row r="40" spans="1:29">
      <c r="A40" s="1255"/>
      <c r="B40" s="1255"/>
      <c r="C40" s="1255"/>
      <c r="D40" s="1255"/>
      <c r="E40" s="1255"/>
      <c r="F40" s="1255"/>
      <c r="G40" s="1259"/>
      <c r="H40" s="1255"/>
      <c r="I40" s="1255"/>
      <c r="J40" s="1255"/>
      <c r="K40" s="1260"/>
      <c r="L40" s="1523"/>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23"/>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39"/>
      <c r="N44" s="739"/>
      <c r="O44" s="739"/>
      <c r="P44" s="739"/>
      <c r="Q44" s="739"/>
      <c r="R44" s="739"/>
      <c r="S44" s="739"/>
      <c r="T44" s="739"/>
      <c r="U44" s="739"/>
      <c r="V44" s="739"/>
      <c r="W44" s="739"/>
      <c r="X44" s="739"/>
      <c r="Y44" s="739"/>
      <c r="Z44" s="739"/>
      <c r="AA44" s="739"/>
      <c r="AB44" s="739"/>
      <c r="AC44" s="739"/>
    </row>
    <row r="45" spans="1:29" s="483" customFormat="1">
      <c r="A45" s="1257"/>
      <c r="B45" s="1258"/>
      <c r="C45" s="1263"/>
      <c r="D45" s="1257"/>
      <c r="E45" s="1257"/>
      <c r="F45" s="1257"/>
      <c r="G45" s="1257"/>
      <c r="H45" s="1257"/>
      <c r="I45" s="1257"/>
      <c r="J45" s="1257"/>
      <c r="K45" s="1261"/>
      <c r="L45" s="1524"/>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23"/>
      <c r="M46" s="737"/>
      <c r="N46" s="737"/>
      <c r="O46" s="737"/>
      <c r="P46" s="737"/>
      <c r="Q46" s="737"/>
      <c r="R46" s="737"/>
      <c r="S46" s="737"/>
      <c r="T46" s="737"/>
      <c r="U46" s="737"/>
      <c r="V46" s="737"/>
      <c r="W46" s="737"/>
      <c r="X46" s="737"/>
      <c r="Y46" s="737"/>
      <c r="Z46" s="737"/>
      <c r="AA46" s="737"/>
      <c r="AB46" s="737"/>
      <c r="AC46" s="737"/>
    </row>
    <row r="47" spans="1:29" ht="21.75" thickBot="1">
      <c r="A47" s="1526" t="s">
        <v>2520</v>
      </c>
      <c r="B47" s="1255"/>
      <c r="C47" s="1271"/>
      <c r="D47" s="1271"/>
      <c r="E47" s="1271"/>
      <c r="F47" s="1527"/>
      <c r="G47" s="1527"/>
      <c r="H47" s="1271"/>
      <c r="I47" s="1271"/>
      <c r="J47" s="1271"/>
      <c r="K47" s="1269"/>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2521</v>
      </c>
      <c r="B48" s="487"/>
      <c r="C48" s="1675" t="str">
        <f>YEAR(C7)&amp;"-"&amp;MONTH(C7)</f>
        <v>2018-6</v>
      </c>
      <c r="D48" s="1676">
        <f>EDATE(C48,-1)</f>
        <v>43221</v>
      </c>
      <c r="E48" s="1676">
        <f t="shared" ref="E48:O48" si="16">EDATE(D48,-1)</f>
        <v>43191</v>
      </c>
      <c r="F48" s="1676">
        <f t="shared" si="16"/>
        <v>43160</v>
      </c>
      <c r="G48" s="1676">
        <f t="shared" si="16"/>
        <v>43132</v>
      </c>
      <c r="H48" s="1676">
        <f t="shared" si="16"/>
        <v>43101</v>
      </c>
      <c r="I48" s="1676">
        <f t="shared" si="16"/>
        <v>43070</v>
      </c>
      <c r="J48" s="1676">
        <f t="shared" si="16"/>
        <v>43040</v>
      </c>
      <c r="K48" s="1676">
        <f t="shared" si="16"/>
        <v>43009</v>
      </c>
      <c r="L48" s="1676">
        <f t="shared" si="16"/>
        <v>42979</v>
      </c>
      <c r="M48" s="1676">
        <f t="shared" si="16"/>
        <v>42948</v>
      </c>
      <c r="N48" s="1676">
        <f t="shared" si="16"/>
        <v>42917</v>
      </c>
      <c r="O48" s="1676">
        <f t="shared" si="16"/>
        <v>42887</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2500</v>
      </c>
      <c r="B1" s="2479"/>
      <c r="C1" s="1726"/>
      <c r="D1" s="1736"/>
      <c r="E1" s="2381"/>
      <c r="F1" s="1737" t="s">
        <v>2332</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83"/>
      <c r="E2" s="1735" t="e">
        <f ca="1">SUMIF(INDIRECT("'"&amp;G2&amp;"'"&amp;"!A:A"),"承租人权益价值",INDIRECT("'"&amp;G2&amp;"'"&amp;"!c:c"))</f>
        <v>#REF!</v>
      </c>
      <c r="F2" s="2384" t="str">
        <f>C2</f>
        <v>元</v>
      </c>
      <c r="G2" s="2385"/>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2333</v>
      </c>
      <c r="D3" s="378">
        <f>IF(C1="仅计算典型户型",'数据-取费表'!E5,'数据-取费表'!B5)</f>
        <v>450.38</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2334</v>
      </c>
      <c r="B4" s="381"/>
      <c r="C4" s="3002" t="s">
        <v>2335</v>
      </c>
      <c r="D4" s="3003"/>
      <c r="E4" s="3004" t="s">
        <v>2336</v>
      </c>
      <c r="F4" s="3005"/>
      <c r="G4" s="3002" t="s">
        <v>2337</v>
      </c>
      <c r="H4" s="3003"/>
      <c r="I4" s="3002" t="s">
        <v>2338</v>
      </c>
      <c r="J4" s="3003"/>
      <c r="K4" s="5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3000" t="s">
        <v>2337</v>
      </c>
      <c r="AC4" s="2999" t="s">
        <v>2338</v>
      </c>
    </row>
    <row r="5" spans="1:29" ht="15">
      <c r="A5" s="383"/>
      <c r="B5" s="384"/>
      <c r="C5" s="3015" t="s">
        <v>2341</v>
      </c>
      <c r="D5" s="3016"/>
      <c r="E5" s="3062" t="s">
        <v>2342</v>
      </c>
      <c r="F5" s="3014"/>
      <c r="G5" s="3015" t="s">
        <v>2343</v>
      </c>
      <c r="H5" s="3016"/>
      <c r="I5" s="3015" t="s">
        <v>2344</v>
      </c>
      <c r="J5" s="3016"/>
      <c r="K5" s="594"/>
      <c r="L5" s="1241"/>
      <c r="M5" s="1242"/>
      <c r="N5" s="1242"/>
      <c r="O5" s="1242"/>
      <c r="P5" s="3008"/>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594" t="s">
        <v>2346</v>
      </c>
      <c r="L6" s="1241"/>
      <c r="M6" s="1242"/>
      <c r="N6" s="1242"/>
      <c r="O6" s="1242"/>
      <c r="P6" s="3010"/>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2465"/>
      <c r="F7" s="390">
        <f>SUMIF(46:46,YEAR(E7)&amp;"-"&amp;MONTH(E7),47:47)</f>
        <v>0</v>
      </c>
      <c r="G7" s="391"/>
      <c r="H7" s="390">
        <f>SUMIF(46:46,YEAR(G7)&amp;"-"&amp;MONTH(G7),47:47)</f>
        <v>0</v>
      </c>
      <c r="I7" s="391"/>
      <c r="J7" s="390">
        <f>SUMIF(46:46,YEAR(I7)&amp;"-"&amp;MONTH(I7),47:47)</f>
        <v>0</v>
      </c>
      <c r="K7" s="595"/>
      <c r="L7" s="1243"/>
      <c r="M7" s="1244"/>
      <c r="N7" s="1244"/>
      <c r="O7" s="1244"/>
      <c r="P7" s="2986" t="s">
        <v>2348</v>
      </c>
      <c r="Q7" s="2994"/>
      <c r="R7" s="748" t="s">
        <v>25</v>
      </c>
      <c r="S7" s="749">
        <f t="shared" ref="S7:S14" si="0">F7</f>
        <v>0</v>
      </c>
      <c r="T7" s="748" t="s">
        <v>25</v>
      </c>
      <c r="U7" s="749">
        <f t="shared" ref="U7:U14" si="1">H7</f>
        <v>0</v>
      </c>
      <c r="V7" s="748" t="s">
        <v>25</v>
      </c>
      <c r="W7" s="749">
        <f t="shared" ref="W7:W14" si="2">J7</f>
        <v>0</v>
      </c>
      <c r="X7" s="750"/>
      <c r="Y7" s="2986" t="s">
        <v>2348</v>
      </c>
      <c r="Z7" s="2987"/>
      <c r="AA7" s="751" t="e">
        <f>D7/F7</f>
        <v>#DIV/0!</v>
      </c>
      <c r="AB7" s="751" t="e">
        <f>D7/H7</f>
        <v>#DIV/0!</v>
      </c>
      <c r="AC7" s="751"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6" t="s">
        <v>2351</v>
      </c>
      <c r="Q8" s="2987"/>
      <c r="R8" s="748" t="s">
        <v>25</v>
      </c>
      <c r="S8" s="749">
        <f t="shared" si="0"/>
        <v>0</v>
      </c>
      <c r="T8" s="748" t="s">
        <v>25</v>
      </c>
      <c r="U8" s="749">
        <f t="shared" si="1"/>
        <v>0</v>
      </c>
      <c r="V8" s="748" t="s">
        <v>25</v>
      </c>
      <c r="W8" s="749">
        <f t="shared" si="2"/>
        <v>0</v>
      </c>
      <c r="X8" s="750"/>
      <c r="Y8" s="2986" t="s">
        <v>2351</v>
      </c>
      <c r="Z8" s="2987"/>
      <c r="AA8" s="751" t="e">
        <f t="shared" ref="AA8:AA34" si="3">D8/F8</f>
        <v>#DIV/0!</v>
      </c>
      <c r="AB8" s="751" t="e">
        <f t="shared" ref="AB8:AB34" si="4">D8/H8</f>
        <v>#DIV/0!</v>
      </c>
      <c r="AC8" s="751"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76" t="s">
        <v>2354</v>
      </c>
      <c r="Q9" s="1884" t="str">
        <f t="shared" ref="Q9:Q14" si="6">B9</f>
        <v>用途</v>
      </c>
      <c r="R9" s="748" t="s">
        <v>25</v>
      </c>
      <c r="S9" s="749">
        <f t="shared" si="0"/>
        <v>100</v>
      </c>
      <c r="T9" s="748" t="s">
        <v>25</v>
      </c>
      <c r="U9" s="749">
        <f t="shared" si="1"/>
        <v>100</v>
      </c>
      <c r="V9" s="748" t="s">
        <v>25</v>
      </c>
      <c r="W9" s="749">
        <f t="shared" si="2"/>
        <v>100</v>
      </c>
      <c r="X9" s="750"/>
      <c r="Y9" s="2837" t="s">
        <v>2355</v>
      </c>
      <c r="Z9" s="23" t="str">
        <f t="shared" ref="Z9:Z14" si="7">Q9</f>
        <v>用途</v>
      </c>
      <c r="AA9" s="751">
        <f t="shared" si="3"/>
        <v>1</v>
      </c>
      <c r="AB9" s="751">
        <f t="shared" si="4"/>
        <v>1</v>
      </c>
      <c r="AC9" s="751">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76"/>
      <c r="Q10" s="1884" t="str">
        <f t="shared" si="6"/>
        <v>土地使用年限（年）</v>
      </c>
      <c r="R10" s="748" t="s">
        <v>25</v>
      </c>
      <c r="S10" s="749">
        <f t="shared" si="0"/>
        <v>100</v>
      </c>
      <c r="T10" s="748" t="s">
        <v>25</v>
      </c>
      <c r="U10" s="749">
        <f t="shared" si="1"/>
        <v>100</v>
      </c>
      <c r="V10" s="748" t="s">
        <v>25</v>
      </c>
      <c r="W10" s="749">
        <f t="shared" si="2"/>
        <v>100</v>
      </c>
      <c r="X10" s="750"/>
      <c r="Y10" s="2837"/>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76"/>
      <c r="Q11" s="1884">
        <f t="shared" si="6"/>
        <v>111</v>
      </c>
      <c r="R11" s="748" t="s">
        <v>25</v>
      </c>
      <c r="S11" s="749">
        <f t="shared" si="0"/>
        <v>100</v>
      </c>
      <c r="T11" s="748" t="s">
        <v>25</v>
      </c>
      <c r="U11" s="749">
        <f t="shared" si="1"/>
        <v>100</v>
      </c>
      <c r="V11" s="748" t="s">
        <v>25</v>
      </c>
      <c r="W11" s="749">
        <f t="shared" si="2"/>
        <v>100</v>
      </c>
      <c r="X11" s="750"/>
      <c r="Y11" s="2837"/>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76"/>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76"/>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85.5">
      <c r="A14" s="419" t="s">
        <v>2358</v>
      </c>
      <c r="B14" s="26" t="s">
        <v>2502</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97" t="s">
        <v>2359</v>
      </c>
      <c r="Q14" s="1896" t="str">
        <f t="shared" si="6"/>
        <v>交通便捷度</v>
      </c>
      <c r="R14" s="752" t="s">
        <v>25</v>
      </c>
      <c r="S14" s="753">
        <f t="shared" si="0"/>
        <v>100</v>
      </c>
      <c r="T14" s="752" t="s">
        <v>25</v>
      </c>
      <c r="U14" s="753">
        <f t="shared" si="1"/>
        <v>100</v>
      </c>
      <c r="V14" s="752" t="s">
        <v>25</v>
      </c>
      <c r="W14" s="753">
        <f t="shared" si="2"/>
        <v>100</v>
      </c>
      <c r="X14" s="1897"/>
      <c r="Y14" s="2997" t="s">
        <v>2359</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2998"/>
      <c r="Q15" s="1896"/>
      <c r="R15" s="752"/>
      <c r="S15" s="753"/>
      <c r="T15" s="752"/>
      <c r="U15" s="753"/>
      <c r="V15" s="752"/>
      <c r="W15" s="753"/>
      <c r="X15" s="1897"/>
      <c r="Y15" s="2998"/>
      <c r="Z15" s="1899"/>
      <c r="AA15" s="1900">
        <v>1</v>
      </c>
      <c r="AB15" s="1900">
        <v>1</v>
      </c>
      <c r="AC15" s="1900">
        <v>1</v>
      </c>
    </row>
    <row r="16" spans="1:29" ht="42.75">
      <c r="A16" s="408"/>
      <c r="B16" s="615" t="s">
        <v>2474</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98"/>
      <c r="Q16" s="1896" t="str">
        <f>B16</f>
        <v>公共配套设施</v>
      </c>
      <c r="R16" s="752" t="s">
        <v>25</v>
      </c>
      <c r="S16" s="753">
        <f>F16</f>
        <v>100</v>
      </c>
      <c r="T16" s="752" t="s">
        <v>25</v>
      </c>
      <c r="U16" s="753">
        <f>H16</f>
        <v>100</v>
      </c>
      <c r="V16" s="752" t="s">
        <v>25</v>
      </c>
      <c r="W16" s="753">
        <f>J16</f>
        <v>100</v>
      </c>
      <c r="X16" s="1897"/>
      <c r="Y16" s="2998"/>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2998"/>
      <c r="Q17" s="1896"/>
      <c r="R17" s="752"/>
      <c r="S17" s="753"/>
      <c r="T17" s="752"/>
      <c r="U17" s="753"/>
      <c r="V17" s="752"/>
      <c r="W17" s="753"/>
      <c r="X17" s="1897"/>
      <c r="Y17" s="2998"/>
      <c r="Z17" s="1899"/>
      <c r="AA17" s="1900">
        <v>1</v>
      </c>
      <c r="AB17" s="1900">
        <v>1</v>
      </c>
      <c r="AC17" s="1900">
        <v>1</v>
      </c>
    </row>
    <row r="18" spans="1:29" ht="28.5">
      <c r="A18" s="408"/>
      <c r="B18" s="617" t="s">
        <v>2475</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98"/>
      <c r="Q18" s="1896" t="str">
        <f>B18</f>
        <v>基础设施水平</v>
      </c>
      <c r="R18" s="752" t="s">
        <v>25</v>
      </c>
      <c r="S18" s="753">
        <f>F18</f>
        <v>100</v>
      </c>
      <c r="T18" s="752" t="s">
        <v>25</v>
      </c>
      <c r="U18" s="753">
        <f>H18</f>
        <v>100</v>
      </c>
      <c r="V18" s="752" t="s">
        <v>25</v>
      </c>
      <c r="W18" s="753">
        <f>J18</f>
        <v>100</v>
      </c>
      <c r="X18" s="1897"/>
      <c r="Y18" s="2998"/>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2998"/>
      <c r="Q19" s="1896"/>
      <c r="R19" s="752"/>
      <c r="S19" s="753"/>
      <c r="T19" s="752"/>
      <c r="U19" s="753"/>
      <c r="V19" s="752"/>
      <c r="W19" s="753"/>
      <c r="X19" s="1897"/>
      <c r="Y19" s="2998"/>
      <c r="Z19" s="1899"/>
      <c r="AA19" s="1900">
        <v>1</v>
      </c>
      <c r="AB19" s="1900">
        <v>1</v>
      </c>
      <c r="AC19" s="1900">
        <v>1</v>
      </c>
    </row>
    <row r="20" spans="1:29" ht="57">
      <c r="A20" s="408"/>
      <c r="B20" s="431" t="s">
        <v>2503</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98"/>
      <c r="Q20" s="1896" t="str">
        <f>B20</f>
        <v>自然及人文环境</v>
      </c>
      <c r="R20" s="752" t="s">
        <v>25</v>
      </c>
      <c r="S20" s="753">
        <f>F20</f>
        <v>100</v>
      </c>
      <c r="T20" s="752" t="s">
        <v>25</v>
      </c>
      <c r="U20" s="753">
        <f>H20</f>
        <v>100</v>
      </c>
      <c r="V20" s="752" t="s">
        <v>25</v>
      </c>
      <c r="W20" s="753">
        <f>J20</f>
        <v>100</v>
      </c>
      <c r="X20" s="1897"/>
      <c r="Y20" s="2998"/>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2998"/>
      <c r="Q21" s="1896"/>
      <c r="R21" s="752"/>
      <c r="S21" s="753"/>
      <c r="T21" s="752"/>
      <c r="U21" s="753"/>
      <c r="V21" s="752"/>
      <c r="W21" s="753"/>
      <c r="X21" s="1897"/>
      <c r="Y21" s="2998"/>
      <c r="Z21" s="1899"/>
      <c r="AA21" s="1900">
        <v>1</v>
      </c>
      <c r="AB21" s="1900">
        <v>1</v>
      </c>
      <c r="AC21" s="1900">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98"/>
      <c r="Q22" s="1896" t="str">
        <f>B22</f>
        <v>楼层</v>
      </c>
      <c r="R22" s="752" t="s">
        <v>25</v>
      </c>
      <c r="S22" s="753">
        <f>F22</f>
        <v>100</v>
      </c>
      <c r="T22" s="752" t="s">
        <v>25</v>
      </c>
      <c r="U22" s="753">
        <f>H22</f>
        <v>100</v>
      </c>
      <c r="V22" s="752" t="s">
        <v>25</v>
      </c>
      <c r="W22" s="753">
        <f>J22</f>
        <v>100</v>
      </c>
      <c r="X22" s="1897"/>
      <c r="Y22" s="2998"/>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98"/>
      <c r="Q23" s="1896">
        <f>B23</f>
        <v>111</v>
      </c>
      <c r="R23" s="752" t="s">
        <v>25</v>
      </c>
      <c r="S23" s="753">
        <f>F23</f>
        <v>100</v>
      </c>
      <c r="T23" s="752" t="s">
        <v>25</v>
      </c>
      <c r="U23" s="753">
        <f>H23</f>
        <v>100</v>
      </c>
      <c r="V23" s="752" t="s">
        <v>25</v>
      </c>
      <c r="W23" s="753">
        <f>J23</f>
        <v>100</v>
      </c>
      <c r="X23" s="1897"/>
      <c r="Y23" s="2998"/>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98"/>
      <c r="Q24" s="1896">
        <f t="shared" ref="Q24:Q34" si="11">B24</f>
        <v>111</v>
      </c>
      <c r="R24" s="752" t="s">
        <v>25</v>
      </c>
      <c r="S24" s="753">
        <f>F24</f>
        <v>100</v>
      </c>
      <c r="T24" s="752" t="s">
        <v>25</v>
      </c>
      <c r="U24" s="753">
        <f>H24</f>
        <v>100</v>
      </c>
      <c r="V24" s="752" t="s">
        <v>25</v>
      </c>
      <c r="W24" s="753">
        <f>J24</f>
        <v>100</v>
      </c>
      <c r="X24" s="1897"/>
      <c r="Y24" s="2998"/>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2998"/>
      <c r="Q25" s="1884">
        <f t="shared" si="11"/>
        <v>111</v>
      </c>
      <c r="R25" s="748" t="s">
        <v>25</v>
      </c>
      <c r="S25" s="749">
        <f>F25</f>
        <v>100</v>
      </c>
      <c r="T25" s="748" t="s">
        <v>25</v>
      </c>
      <c r="U25" s="749">
        <f>H25</f>
        <v>100</v>
      </c>
      <c r="V25" s="748" t="s">
        <v>25</v>
      </c>
      <c r="W25" s="749">
        <f>J25</f>
        <v>100</v>
      </c>
      <c r="X25" s="750"/>
      <c r="Y25" s="2998"/>
      <c r="Z25" s="23">
        <f>Q25</f>
        <v>111</v>
      </c>
      <c r="AA25" s="1900">
        <f>D25/F25</f>
        <v>1</v>
      </c>
      <c r="AB25" s="1900">
        <f>D25/H25</f>
        <v>1</v>
      </c>
      <c r="AC25" s="1900">
        <f>D25/J25</f>
        <v>1</v>
      </c>
    </row>
    <row r="26" spans="1:29" ht="15">
      <c r="A26" s="447" t="s">
        <v>2363</v>
      </c>
      <c r="B26" s="28" t="s">
        <v>2507</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063" t="s">
        <v>2365</v>
      </c>
      <c r="Q26" s="1896" t="str">
        <f t="shared" si="11"/>
        <v>公共部分装修</v>
      </c>
      <c r="R26" s="752" t="s">
        <v>25</v>
      </c>
      <c r="S26" s="753">
        <f t="shared" ref="S26:S34" si="12">F26</f>
        <v>100</v>
      </c>
      <c r="T26" s="752" t="s">
        <v>25</v>
      </c>
      <c r="U26" s="753">
        <f t="shared" ref="U26:U34" si="13">H26</f>
        <v>100</v>
      </c>
      <c r="V26" s="752" t="s">
        <v>25</v>
      </c>
      <c r="W26" s="753">
        <f t="shared" ref="W26:W34" si="14">J26</f>
        <v>100</v>
      </c>
      <c r="X26" s="1897"/>
      <c r="Y26" s="2984" t="s">
        <v>2365</v>
      </c>
      <c r="Z26" s="1899" t="str">
        <f t="shared" ref="Z26:Z34" si="15">Q26</f>
        <v>公共部分装修</v>
      </c>
      <c r="AA26" s="1900">
        <f t="shared" si="3"/>
        <v>1</v>
      </c>
      <c r="AB26" s="1900">
        <f t="shared" si="4"/>
        <v>1</v>
      </c>
      <c r="AC26" s="1900">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84"/>
      <c r="Q27" s="754" t="str">
        <f t="shared" si="11"/>
        <v>成新率</v>
      </c>
      <c r="R27" s="755" t="s">
        <v>25</v>
      </c>
      <c r="S27" s="756" t="e">
        <f t="shared" si="12"/>
        <v>#N/A</v>
      </c>
      <c r="T27" s="755" t="s">
        <v>25</v>
      </c>
      <c r="U27" s="756" t="e">
        <f t="shared" si="13"/>
        <v>#N/A</v>
      </c>
      <c r="V27" s="755" t="s">
        <v>25</v>
      </c>
      <c r="W27" s="756" t="e">
        <f t="shared" si="14"/>
        <v>#N/A</v>
      </c>
      <c r="X27" s="757"/>
      <c r="Y27" s="2984"/>
      <c r="Z27" s="758" t="str">
        <f t="shared" si="15"/>
        <v>成新率</v>
      </c>
      <c r="AA27" s="1900" t="e">
        <f t="shared" si="3"/>
        <v>#N/A</v>
      </c>
      <c r="AB27" s="1900" t="e">
        <f t="shared" si="4"/>
        <v>#N/A</v>
      </c>
      <c r="AC27" s="1900"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84"/>
      <c r="Q28" s="1896" t="str">
        <f t="shared" si="11"/>
        <v>物业等级</v>
      </c>
      <c r="R28" s="752" t="s">
        <v>25</v>
      </c>
      <c r="S28" s="753">
        <f t="shared" si="12"/>
        <v>100</v>
      </c>
      <c r="T28" s="752" t="s">
        <v>25</v>
      </c>
      <c r="U28" s="753">
        <f t="shared" si="13"/>
        <v>100</v>
      </c>
      <c r="V28" s="752" t="s">
        <v>25</v>
      </c>
      <c r="W28" s="753">
        <f t="shared" si="14"/>
        <v>100</v>
      </c>
      <c r="X28" s="1897"/>
      <c r="Y28" s="2984"/>
      <c r="Z28" s="1899" t="str">
        <f t="shared" si="15"/>
        <v>物业等级</v>
      </c>
      <c r="AA28" s="1900">
        <f t="shared" si="3"/>
        <v>1</v>
      </c>
      <c r="AB28" s="1900">
        <f t="shared" si="4"/>
        <v>1</v>
      </c>
      <c r="AC28" s="1900">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84"/>
      <c r="Q29" s="1896" t="str">
        <f t="shared" si="11"/>
        <v>有无电梯</v>
      </c>
      <c r="R29" s="752" t="s">
        <v>25</v>
      </c>
      <c r="S29" s="753">
        <f t="shared" si="12"/>
        <v>100</v>
      </c>
      <c r="T29" s="752" t="s">
        <v>25</v>
      </c>
      <c r="U29" s="753">
        <f t="shared" si="13"/>
        <v>100</v>
      </c>
      <c r="V29" s="752" t="s">
        <v>25</v>
      </c>
      <c r="W29" s="753">
        <f t="shared" si="14"/>
        <v>100</v>
      </c>
      <c r="X29" s="1897"/>
      <c r="Y29" s="2984"/>
      <c r="Z29" s="1899" t="str">
        <f t="shared" si="15"/>
        <v>有无电梯</v>
      </c>
      <c r="AA29" s="1900">
        <f t="shared" si="3"/>
        <v>1</v>
      </c>
      <c r="AB29" s="1900">
        <f t="shared" si="4"/>
        <v>1</v>
      </c>
      <c r="AC29" s="1900">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84"/>
      <c r="Q30" s="1896" t="str">
        <f t="shared" si="11"/>
        <v>建筑面积</v>
      </c>
      <c r="R30" s="752" t="s">
        <v>25</v>
      </c>
      <c r="S30" s="753" t="e">
        <f t="shared" si="12"/>
        <v>#N/A</v>
      </c>
      <c r="T30" s="752" t="s">
        <v>25</v>
      </c>
      <c r="U30" s="753" t="e">
        <f t="shared" si="13"/>
        <v>#N/A</v>
      </c>
      <c r="V30" s="752" t="s">
        <v>25</v>
      </c>
      <c r="W30" s="753" t="e">
        <f t="shared" si="14"/>
        <v>#N/A</v>
      </c>
      <c r="X30" s="1897"/>
      <c r="Y30" s="2984"/>
      <c r="Z30" s="1899" t="str">
        <f t="shared" si="15"/>
        <v>建筑面积</v>
      </c>
      <c r="AA30" s="1900" t="e">
        <f t="shared" si="3"/>
        <v>#N/A</v>
      </c>
      <c r="AB30" s="1900" t="e">
        <f t="shared" si="4"/>
        <v>#N/A</v>
      </c>
      <c r="AC30" s="1900"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84"/>
      <c r="Q31" s="1884" t="str">
        <f t="shared" si="11"/>
        <v>是否封闭</v>
      </c>
      <c r="R31" s="748" t="s">
        <v>25</v>
      </c>
      <c r="S31" s="749">
        <f t="shared" si="12"/>
        <v>100</v>
      </c>
      <c r="T31" s="748" t="s">
        <v>25</v>
      </c>
      <c r="U31" s="749">
        <f t="shared" si="13"/>
        <v>100</v>
      </c>
      <c r="V31" s="748" t="s">
        <v>25</v>
      </c>
      <c r="W31" s="749">
        <f t="shared" si="14"/>
        <v>100</v>
      </c>
      <c r="X31" s="750"/>
      <c r="Y31" s="2984"/>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84" t="s">
        <v>2365</v>
      </c>
      <c r="Q32" s="1896">
        <f t="shared" si="11"/>
        <v>111</v>
      </c>
      <c r="R32" s="752" t="s">
        <v>25</v>
      </c>
      <c r="S32" s="753">
        <f t="shared" si="12"/>
        <v>100</v>
      </c>
      <c r="T32" s="752" t="s">
        <v>25</v>
      </c>
      <c r="U32" s="753">
        <f t="shared" si="13"/>
        <v>100</v>
      </c>
      <c r="V32" s="752" t="s">
        <v>25</v>
      </c>
      <c r="W32" s="753">
        <f t="shared" si="14"/>
        <v>100</v>
      </c>
      <c r="X32" s="1897"/>
      <c r="Y32" s="2984" t="s">
        <v>2365</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84"/>
      <c r="Q33" s="1896">
        <f t="shared" si="11"/>
        <v>111</v>
      </c>
      <c r="R33" s="752" t="s">
        <v>25</v>
      </c>
      <c r="S33" s="753">
        <f t="shared" si="12"/>
        <v>100</v>
      </c>
      <c r="T33" s="752" t="s">
        <v>25</v>
      </c>
      <c r="U33" s="753">
        <f t="shared" si="13"/>
        <v>100</v>
      </c>
      <c r="V33" s="752" t="s">
        <v>25</v>
      </c>
      <c r="W33" s="753">
        <f t="shared" si="14"/>
        <v>100</v>
      </c>
      <c r="X33" s="1897"/>
      <c r="Y33" s="2984"/>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2984"/>
      <c r="Q34" s="1896">
        <f t="shared" si="11"/>
        <v>111</v>
      </c>
      <c r="R34" s="752" t="s">
        <v>25</v>
      </c>
      <c r="S34" s="753">
        <f t="shared" si="12"/>
        <v>100</v>
      </c>
      <c r="T34" s="752" t="s">
        <v>25</v>
      </c>
      <c r="U34" s="753">
        <f t="shared" si="13"/>
        <v>100</v>
      </c>
      <c r="V34" s="752" t="s">
        <v>25</v>
      </c>
      <c r="W34" s="753">
        <f t="shared" si="14"/>
        <v>100</v>
      </c>
      <c r="X34" s="1897"/>
      <c r="Y34" s="2984"/>
      <c r="Z34" s="1899">
        <f t="shared" si="15"/>
        <v>111</v>
      </c>
      <c r="AA34" s="1900">
        <f t="shared" si="3"/>
        <v>1</v>
      </c>
      <c r="AB34" s="1900">
        <f t="shared" si="4"/>
        <v>1</v>
      </c>
      <c r="AC34" s="1900">
        <f t="shared" si="5"/>
        <v>1</v>
      </c>
    </row>
    <row r="35" spans="1:29" ht="15">
      <c r="A35" s="460" t="s">
        <v>2377</v>
      </c>
      <c r="B35" s="461"/>
      <c r="C35" s="1499" t="s">
        <v>1</v>
      </c>
      <c r="D35" s="1500"/>
      <c r="E35" s="1501"/>
      <c r="F35" s="1502"/>
      <c r="G35" s="1503"/>
      <c r="H35" s="1504"/>
      <c r="I35" s="1501"/>
      <c r="J35" s="1504"/>
      <c r="K35" s="761"/>
      <c r="L35" s="1254"/>
      <c r="M35" s="1255"/>
      <c r="N35" s="1242"/>
      <c r="O35" s="1255"/>
      <c r="P35" s="2976" t="str">
        <f>A35</f>
        <v>成交单价（元/平方米）</v>
      </c>
      <c r="Q35" s="2976"/>
      <c r="R35" s="2977">
        <f>E35</f>
        <v>0</v>
      </c>
      <c r="S35" s="2977"/>
      <c r="T35" s="2977">
        <f>G35</f>
        <v>0</v>
      </c>
      <c r="U35" s="2977"/>
      <c r="V35" s="2977">
        <f>I35</f>
        <v>0</v>
      </c>
      <c r="W35" s="2977"/>
      <c r="X35" s="737"/>
      <c r="Y35" s="759"/>
      <c r="Z35" s="737"/>
      <c r="AA35" s="737"/>
      <c r="AB35" s="737"/>
      <c r="AC35" s="737"/>
    </row>
    <row r="36" spans="1:29" ht="15.75" thickBot="1">
      <c r="A36" s="467" t="s">
        <v>2460</v>
      </c>
      <c r="B36" s="468"/>
      <c r="C36" s="1505" t="e">
        <f>R37</f>
        <v>#DIV/0!</v>
      </c>
      <c r="D36" s="1506"/>
      <c r="E36" s="1507" t="e">
        <f>R36</f>
        <v>#DIV/0!</v>
      </c>
      <c r="F36" s="1507"/>
      <c r="G36" s="1505" t="e">
        <f>T36</f>
        <v>#DIV/0!</v>
      </c>
      <c r="H36" s="1506"/>
      <c r="I36" s="1507" t="e">
        <f>V36</f>
        <v>#DIV/0!</v>
      </c>
      <c r="J36" s="1506"/>
      <c r="K36" s="762"/>
      <c r="L36" s="1254"/>
      <c r="M36" s="1255"/>
      <c r="N36" s="1242"/>
      <c r="O36" s="1255"/>
      <c r="P36" s="2976" t="str">
        <f>A36</f>
        <v>比较价值（元/平方米）</v>
      </c>
      <c r="Q36" s="2976"/>
      <c r="R36" s="2977" t="e">
        <f>IF(E1="售价",ROUND(PRODUCT(R35,AA7:AA34),0),ROUND(PRODUCT(R35,AA7:AA34),1))</f>
        <v>#DIV/0!</v>
      </c>
      <c r="S36" s="2977"/>
      <c r="T36" s="2977" t="e">
        <f>IF(E1="售价",ROUND(PRODUCT(T35,AB7:AB34),0),ROUND(PRODUCT(T35,AB7:AB34),1))</f>
        <v>#DIV/0!</v>
      </c>
      <c r="U36" s="2977"/>
      <c r="V36" s="2977" t="e">
        <f>IF(E1="售价",ROUND(PRODUCT(V35,AC7:AC34),0),ROUND(PRODUCT(V35,AC7:AC34),1))</f>
        <v>#DIV/0!</v>
      </c>
      <c r="W36" s="2977"/>
      <c r="X36" s="737"/>
      <c r="Y36" s="737"/>
      <c r="Z36" s="737"/>
      <c r="AA36" s="737"/>
      <c r="AB36" s="737"/>
      <c r="AC36" s="737"/>
    </row>
    <row r="37" spans="1:29" ht="15.75" thickBot="1">
      <c r="A37" s="473" t="s">
        <v>2483</v>
      </c>
      <c r="B37" s="474"/>
      <c r="C37" s="1509" t="e">
        <f>R37</f>
        <v>#DIV/0!</v>
      </c>
      <c r="D37" s="1509"/>
      <c r="E37" s="1509"/>
      <c r="F37" s="1509"/>
      <c r="G37" s="1509"/>
      <c r="H37" s="1509"/>
      <c r="I37" s="1509"/>
      <c r="J37" s="1509"/>
      <c r="K37" s="763"/>
      <c r="L37" s="1254"/>
      <c r="M37" s="1255"/>
      <c r="N37" s="1255"/>
      <c r="O37" s="1255"/>
      <c r="P37" s="2978" t="str">
        <f>A37</f>
        <v>估价对象XX用房的比较价值（楼面单价，元/平方米）</v>
      </c>
      <c r="Q37" s="2979"/>
      <c r="R37" s="2980" t="e">
        <f>IF(E1="售价",ROUND(AVERAGE(R36:V36),0),ROUND(AVERAGE(R36:V36),1))</f>
        <v>#DIV/0!</v>
      </c>
      <c r="S37" s="2980"/>
      <c r="T37" s="2980"/>
      <c r="U37" s="2980"/>
      <c r="V37" s="2980"/>
      <c r="W37" s="2980"/>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2465</v>
      </c>
      <c r="B45" s="737"/>
      <c r="C45" s="742"/>
      <c r="D45" s="742"/>
      <c r="E45" s="742"/>
      <c r="F45" s="743"/>
      <c r="G45" s="743"/>
      <c r="H45" s="742"/>
      <c r="I45" s="742"/>
      <c r="J45" s="742"/>
      <c r="K45" s="744"/>
      <c r="L45" s="745"/>
      <c r="M45" s="742"/>
      <c r="N45" s="742"/>
      <c r="O45" s="742"/>
      <c r="P45" s="484"/>
      <c r="Q45" s="485"/>
    </row>
    <row r="46" spans="1:29" s="489" customFormat="1" ht="15">
      <c r="A46" s="486" t="s">
        <v>2347</v>
      </c>
      <c r="B46" s="487"/>
      <c r="C46" s="1675" t="str">
        <f>YEAR(C7)&amp;"-"&amp;MONTH(C7)</f>
        <v>2018-6</v>
      </c>
      <c r="D46" s="1676">
        <f>EDATE(C46,-1)</f>
        <v>43221</v>
      </c>
      <c r="E46" s="1676">
        <f t="shared" ref="E46:O46" si="16">EDATE(D46,-1)</f>
        <v>43191</v>
      </c>
      <c r="F46" s="1676">
        <f t="shared" si="16"/>
        <v>43160</v>
      </c>
      <c r="G46" s="1676">
        <f t="shared" si="16"/>
        <v>43132</v>
      </c>
      <c r="H46" s="1676">
        <f t="shared" si="16"/>
        <v>43101</v>
      </c>
      <c r="I46" s="1676">
        <f t="shared" si="16"/>
        <v>43070</v>
      </c>
      <c r="J46" s="1676">
        <f t="shared" si="16"/>
        <v>43040</v>
      </c>
      <c r="K46" s="1676">
        <f t="shared" si="16"/>
        <v>43009</v>
      </c>
      <c r="L46" s="1676">
        <f t="shared" si="16"/>
        <v>42979</v>
      </c>
      <c r="M46" s="1676">
        <f t="shared" si="16"/>
        <v>42948</v>
      </c>
      <c r="N46" s="1676">
        <f t="shared" si="16"/>
        <v>42917</v>
      </c>
      <c r="O46" s="1676">
        <f t="shared" si="16"/>
        <v>42887</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2353</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3"/>
      <c r="E1" s="733"/>
      <c r="F1" s="732" t="s">
        <v>2332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2538</v>
      </c>
      <c r="D2" s="979"/>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2539</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30" ht="15">
      <c r="A4" s="380" t="s">
        <v>2334</v>
      </c>
      <c r="B4" s="381"/>
      <c r="C4" s="3002" t="s">
        <v>2335</v>
      </c>
      <c r="D4" s="3003"/>
      <c r="E4" s="3004" t="s">
        <v>2336</v>
      </c>
      <c r="F4" s="3005"/>
      <c r="G4" s="3002" t="s">
        <v>2337</v>
      </c>
      <c r="H4" s="3003"/>
      <c r="I4" s="3002" t="s">
        <v>2338</v>
      </c>
      <c r="J4" s="3003"/>
      <c r="K4" s="5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3000" t="s">
        <v>2337</v>
      </c>
      <c r="AC4" s="2999" t="s">
        <v>2338</v>
      </c>
    </row>
    <row r="5" spans="1:30" ht="15">
      <c r="A5" s="383"/>
      <c r="B5" s="384"/>
      <c r="C5" s="3015" t="s">
        <v>2341</v>
      </c>
      <c r="D5" s="3016"/>
      <c r="E5" s="3062" t="s">
        <v>2342</v>
      </c>
      <c r="F5" s="3014"/>
      <c r="G5" s="3015" t="s">
        <v>2343</v>
      </c>
      <c r="H5" s="3016"/>
      <c r="I5" s="3015" t="s">
        <v>2344</v>
      </c>
      <c r="J5" s="3016"/>
      <c r="K5" s="594"/>
      <c r="L5" s="1241"/>
      <c r="M5" s="1242"/>
      <c r="N5" s="1242"/>
      <c r="O5" s="1242"/>
      <c r="P5" s="3008"/>
      <c r="Q5" s="3009"/>
      <c r="R5" s="2990"/>
      <c r="S5" s="2991"/>
      <c r="T5" s="2990"/>
      <c r="U5" s="2991"/>
      <c r="V5" s="3012"/>
      <c r="W5" s="3012"/>
      <c r="X5" s="1897"/>
      <c r="Y5" s="2990"/>
      <c r="Z5" s="2991"/>
      <c r="AA5" s="3000"/>
      <c r="AB5" s="3000"/>
      <c r="AC5" s="3000"/>
    </row>
    <row r="6" spans="1:30" ht="15.75" thickBot="1">
      <c r="A6" s="385"/>
      <c r="B6" s="386"/>
      <c r="C6" s="3017" t="s">
        <v>2345</v>
      </c>
      <c r="D6" s="3018"/>
      <c r="E6" s="3048" t="s">
        <v>2345</v>
      </c>
      <c r="F6" s="3021"/>
      <c r="G6" s="3017" t="s">
        <v>2345</v>
      </c>
      <c r="H6" s="3018"/>
      <c r="I6" s="3017" t="s">
        <v>2345</v>
      </c>
      <c r="J6" s="3018"/>
      <c r="K6" s="594" t="s">
        <v>2346</v>
      </c>
      <c r="L6" s="1241"/>
      <c r="M6" s="1242"/>
      <c r="N6" s="1242"/>
      <c r="O6" s="1242"/>
      <c r="P6" s="3010"/>
      <c r="Q6" s="3011"/>
      <c r="R6" s="2990"/>
      <c r="S6" s="2991"/>
      <c r="T6" s="2992"/>
      <c r="U6" s="2993"/>
      <c r="V6" s="3012"/>
      <c r="W6" s="3012"/>
      <c r="X6" s="1897"/>
      <c r="Y6" s="2992"/>
      <c r="Z6" s="2993"/>
      <c r="AA6" s="3001"/>
      <c r="AB6" s="3001"/>
      <c r="AC6" s="3001"/>
    </row>
    <row r="7" spans="1:30" s="35" customFormat="1" ht="15.75" thickBot="1">
      <c r="A7" s="387" t="s">
        <v>2347</v>
      </c>
      <c r="B7" s="388"/>
      <c r="C7" s="389">
        <f>'数据-取费表'!B2</f>
        <v>43255</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2986" t="s">
        <v>2348</v>
      </c>
      <c r="Q7" s="2994"/>
      <c r="R7" s="748" t="s">
        <v>25</v>
      </c>
      <c r="S7" s="749">
        <f t="shared" ref="S7:S15" si="0">F7</f>
        <v>0</v>
      </c>
      <c r="T7" s="748" t="s">
        <v>25</v>
      </c>
      <c r="U7" s="749">
        <f t="shared" ref="U7:U15" si="1">H7</f>
        <v>0</v>
      </c>
      <c r="V7" s="748" t="s">
        <v>25</v>
      </c>
      <c r="W7" s="749">
        <f t="shared" ref="W7:W15" si="2">J7</f>
        <v>0</v>
      </c>
      <c r="X7" s="750"/>
      <c r="Y7" s="2986" t="s">
        <v>2348</v>
      </c>
      <c r="Z7" s="2987"/>
      <c r="AA7" s="751" t="e">
        <f>D7/F7</f>
        <v>#DIV/0!</v>
      </c>
      <c r="AB7" s="751" t="e">
        <f>D7/H7</f>
        <v>#DIV/0!</v>
      </c>
      <c r="AC7" s="751"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86" t="s">
        <v>2351</v>
      </c>
      <c r="Q8" s="2987"/>
      <c r="R8" s="748" t="s">
        <v>25</v>
      </c>
      <c r="S8" s="749">
        <f t="shared" si="0"/>
        <v>0</v>
      </c>
      <c r="T8" s="748" t="s">
        <v>25</v>
      </c>
      <c r="U8" s="749">
        <f t="shared" si="1"/>
        <v>0</v>
      </c>
      <c r="V8" s="748" t="s">
        <v>25</v>
      </c>
      <c r="W8" s="749">
        <f t="shared" si="2"/>
        <v>0</v>
      </c>
      <c r="X8" s="750"/>
      <c r="Y8" s="2986" t="s">
        <v>2351</v>
      </c>
      <c r="Z8" s="2987"/>
      <c r="AA8" s="751" t="e">
        <f t="shared" ref="AA8:AA45" si="3">D8/F8</f>
        <v>#DIV/0!</v>
      </c>
      <c r="AB8" s="751" t="e">
        <f t="shared" ref="AB8:AB45" si="4">D8/H8</f>
        <v>#DIV/0!</v>
      </c>
      <c r="AC8" s="751" t="e">
        <f t="shared" ref="AC8:AC45" si="5">D8/J8</f>
        <v>#DIV/0!</v>
      </c>
    </row>
    <row r="9" spans="1:30" s="35" customFormat="1">
      <c r="A9" s="395" t="s">
        <v>2352</v>
      </c>
      <c r="B9" s="28" t="s">
        <v>2353</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2976"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30" s="407" customFormat="1" ht="27">
      <c r="A10" s="401"/>
      <c r="B10" s="402" t="s">
        <v>2356</v>
      </c>
      <c r="C10" s="412"/>
      <c r="D10" s="52">
        <v>100</v>
      </c>
      <c r="E10" s="446"/>
      <c r="F10" s="52">
        <f>ROUND(100/'数据-取费表'!B14,0)</f>
        <v>112</v>
      </c>
      <c r="G10" s="444"/>
      <c r="H10" s="52">
        <f>ROUND(100/'数据-取费表'!B14,0)</f>
        <v>112</v>
      </c>
      <c r="I10" s="444"/>
      <c r="J10" s="52">
        <f>ROUND(100/'数据-取费表'!B14,0)</f>
        <v>112</v>
      </c>
      <c r="K10" s="655"/>
      <c r="L10" s="1246"/>
      <c r="M10" s="1247"/>
      <c r="N10" s="1247"/>
      <c r="O10" s="1248"/>
      <c r="P10" s="2976"/>
      <c r="Q10" s="1884" t="str">
        <f t="shared" si="6"/>
        <v>土地使用年限（年）</v>
      </c>
      <c r="R10" s="748" t="s">
        <v>25</v>
      </c>
      <c r="S10" s="749">
        <f t="shared" si="0"/>
        <v>112</v>
      </c>
      <c r="T10" s="748" t="s">
        <v>25</v>
      </c>
      <c r="U10" s="749">
        <f t="shared" si="1"/>
        <v>112</v>
      </c>
      <c r="V10" s="748" t="s">
        <v>25</v>
      </c>
      <c r="W10" s="749">
        <f t="shared" si="2"/>
        <v>112</v>
      </c>
      <c r="X10" s="750"/>
      <c r="Y10" s="2837"/>
      <c r="Z10" s="23" t="str">
        <f t="shared" si="7"/>
        <v>土地使用年限（年）</v>
      </c>
      <c r="AA10" s="751">
        <f t="shared" si="3"/>
        <v>0.8928571428571429</v>
      </c>
      <c r="AB10" s="751">
        <f t="shared" si="4"/>
        <v>0.8928571428571429</v>
      </c>
      <c r="AC10" s="751">
        <f t="shared" si="5"/>
        <v>0.8928571428571429</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76"/>
      <c r="Q11" s="1884" t="str">
        <f t="shared" si="6"/>
        <v>容积率</v>
      </c>
      <c r="R11" s="748" t="s">
        <v>25</v>
      </c>
      <c r="S11" s="749" t="e">
        <f t="shared" si="0"/>
        <v>#N/A</v>
      </c>
      <c r="T11" s="748" t="s">
        <v>25</v>
      </c>
      <c r="U11" s="749" t="e">
        <f t="shared" si="1"/>
        <v>#N/A</v>
      </c>
      <c r="V11" s="748" t="s">
        <v>25</v>
      </c>
      <c r="W11" s="749" t="e">
        <f t="shared" si="2"/>
        <v>#N/A</v>
      </c>
      <c r="X11" s="750"/>
      <c r="Y11" s="2837"/>
      <c r="Z11" s="23" t="str">
        <f t="shared" si="7"/>
        <v>容积率</v>
      </c>
      <c r="AA11" s="751" t="e">
        <f t="shared" si="3"/>
        <v>#N/A</v>
      </c>
      <c r="AB11" s="751" t="e">
        <f t="shared" si="4"/>
        <v>#N/A</v>
      </c>
      <c r="AC11" s="751" t="e">
        <f t="shared" si="5"/>
        <v>#N/A</v>
      </c>
    </row>
    <row r="12" spans="1:30" s="35" customFormat="1" ht="15">
      <c r="A12" s="411"/>
      <c r="B12" s="2398"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76"/>
      <c r="Q12" s="1884" t="str">
        <f t="shared" si="6"/>
        <v>配建</v>
      </c>
      <c r="R12" s="748" t="s">
        <v>25</v>
      </c>
      <c r="S12" s="749">
        <f t="shared" si="0"/>
        <v>100</v>
      </c>
      <c r="T12" s="748" t="s">
        <v>25</v>
      </c>
      <c r="U12" s="749">
        <f t="shared" si="1"/>
        <v>100</v>
      </c>
      <c r="V12" s="748" t="s">
        <v>25</v>
      </c>
      <c r="W12" s="749">
        <f t="shared" si="2"/>
        <v>100</v>
      </c>
      <c r="X12" s="750"/>
      <c r="Y12" s="2837"/>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76"/>
      <c r="Q13" s="1884">
        <f t="shared" si="6"/>
        <v>111</v>
      </c>
      <c r="R13" s="748" t="s">
        <v>25</v>
      </c>
      <c r="S13" s="749">
        <f t="shared" si="0"/>
        <v>100</v>
      </c>
      <c r="T13" s="748" t="s">
        <v>25</v>
      </c>
      <c r="U13" s="749">
        <f t="shared" si="1"/>
        <v>100</v>
      </c>
      <c r="V13" s="748" t="s">
        <v>25</v>
      </c>
      <c r="W13" s="749">
        <f t="shared" si="2"/>
        <v>100</v>
      </c>
      <c r="X13" s="750"/>
      <c r="Y13" s="2837"/>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76"/>
      <c r="Q14" s="1884">
        <f t="shared" si="6"/>
        <v>111</v>
      </c>
      <c r="R14" s="748" t="s">
        <v>25</v>
      </c>
      <c r="S14" s="749">
        <f t="shared" si="0"/>
        <v>100</v>
      </c>
      <c r="T14" s="748" t="s">
        <v>25</v>
      </c>
      <c r="U14" s="749">
        <f t="shared" si="1"/>
        <v>100</v>
      </c>
      <c r="V14" s="748" t="s">
        <v>25</v>
      </c>
      <c r="W14" s="749">
        <f t="shared" si="2"/>
        <v>100</v>
      </c>
      <c r="X14" s="750"/>
      <c r="Y14" s="2837"/>
      <c r="Z14" s="23">
        <f t="shared" si="7"/>
        <v>111</v>
      </c>
      <c r="AA14" s="751">
        <f>D14/F14</f>
        <v>1</v>
      </c>
      <c r="AB14" s="751">
        <f>D14/H14</f>
        <v>1</v>
      </c>
      <c r="AC14" s="751">
        <f>D14/J14</f>
        <v>1</v>
      </c>
    </row>
    <row r="15" spans="1:30" ht="99.75">
      <c r="A15" s="380" t="s">
        <v>2358</v>
      </c>
      <c r="B15" s="1484" t="s">
        <v>1730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97" t="s">
        <v>2359</v>
      </c>
      <c r="Q15" s="1896" t="str">
        <f t="shared" si="6"/>
        <v>居住社区成熟度</v>
      </c>
      <c r="R15" s="752" t="s">
        <v>25</v>
      </c>
      <c r="S15" s="753">
        <f t="shared" si="0"/>
        <v>100</v>
      </c>
      <c r="T15" s="752" t="s">
        <v>25</v>
      </c>
      <c r="U15" s="753">
        <f t="shared" si="1"/>
        <v>100</v>
      </c>
      <c r="V15" s="752" t="s">
        <v>25</v>
      </c>
      <c r="W15" s="753">
        <f t="shared" si="2"/>
        <v>100</v>
      </c>
      <c r="X15" s="1897"/>
      <c r="Y15" s="2997" t="s">
        <v>2359</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3"/>
      <c r="J16" s="427"/>
      <c r="K16" s="655"/>
      <c r="L16" s="1251"/>
      <c r="M16" s="1242"/>
      <c r="N16" s="1242"/>
      <c r="O16" s="1250"/>
      <c r="P16" s="2998"/>
      <c r="Q16" s="1896"/>
      <c r="R16" s="752"/>
      <c r="S16" s="753"/>
      <c r="T16" s="752"/>
      <c r="U16" s="753"/>
      <c r="V16" s="752"/>
      <c r="W16" s="753"/>
      <c r="X16" s="1897"/>
      <c r="Y16" s="2998"/>
      <c r="Z16" s="1899"/>
      <c r="AA16" s="1900">
        <v>1</v>
      </c>
      <c r="AB16" s="1900">
        <v>1</v>
      </c>
      <c r="AC16" s="1900">
        <v>1</v>
      </c>
    </row>
    <row r="17" spans="1:29" ht="71.25">
      <c r="A17" s="383"/>
      <c r="B17" s="1486" t="s">
        <v>2444</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98"/>
      <c r="Q17" s="1896" t="str">
        <f>B17</f>
        <v>商业繁华度</v>
      </c>
      <c r="R17" s="752" t="s">
        <v>25</v>
      </c>
      <c r="S17" s="753">
        <f>F17</f>
        <v>100</v>
      </c>
      <c r="T17" s="752" t="s">
        <v>25</v>
      </c>
      <c r="U17" s="753">
        <f>H17</f>
        <v>100</v>
      </c>
      <c r="V17" s="752" t="s">
        <v>25</v>
      </c>
      <c r="W17" s="753">
        <f>J17</f>
        <v>100</v>
      </c>
      <c r="X17" s="1897"/>
      <c r="Y17" s="2998"/>
      <c r="Z17" s="1899" t="str">
        <f>Q17</f>
        <v>商业繁华度</v>
      </c>
      <c r="AA17" s="1900">
        <f t="shared" si="3"/>
        <v>1</v>
      </c>
      <c r="AB17" s="1900">
        <f t="shared" si="4"/>
        <v>1</v>
      </c>
      <c r="AC17" s="1900">
        <f t="shared" si="5"/>
        <v>1</v>
      </c>
    </row>
    <row r="18" spans="1:29" ht="15">
      <c r="A18" s="383"/>
      <c r="B18" s="1487"/>
      <c r="C18" s="2468"/>
      <c r="D18" s="430"/>
      <c r="E18" s="1465"/>
      <c r="F18" s="430"/>
      <c r="G18" s="1465"/>
      <c r="H18" s="427"/>
      <c r="I18" s="2406"/>
      <c r="J18" s="427"/>
      <c r="K18" s="655"/>
      <c r="L18" s="1251"/>
      <c r="M18" s="1242"/>
      <c r="N18" s="1242"/>
      <c r="O18" s="1250"/>
      <c r="P18" s="2998"/>
      <c r="Q18" s="1896"/>
      <c r="R18" s="752"/>
      <c r="S18" s="753"/>
      <c r="T18" s="752"/>
      <c r="U18" s="753"/>
      <c r="V18" s="752"/>
      <c r="W18" s="753"/>
      <c r="X18" s="1897"/>
      <c r="Y18" s="2998"/>
      <c r="Z18" s="1899"/>
      <c r="AA18" s="1900">
        <v>1</v>
      </c>
      <c r="AB18" s="1900">
        <v>1</v>
      </c>
      <c r="AC18" s="1900">
        <v>1</v>
      </c>
    </row>
    <row r="19" spans="1:29" ht="71.25">
      <c r="A19" s="383"/>
      <c r="B19" s="1486" t="s">
        <v>2473</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98"/>
      <c r="Q19" s="1896" t="str">
        <f>B19</f>
        <v>办公集聚程度</v>
      </c>
      <c r="R19" s="752" t="s">
        <v>25</v>
      </c>
      <c r="S19" s="753">
        <f>F19</f>
        <v>100</v>
      </c>
      <c r="T19" s="752" t="s">
        <v>25</v>
      </c>
      <c r="U19" s="753">
        <f>H19</f>
        <v>100</v>
      </c>
      <c r="V19" s="752" t="s">
        <v>25</v>
      </c>
      <c r="W19" s="753">
        <f>J19</f>
        <v>100</v>
      </c>
      <c r="X19" s="1897"/>
      <c r="Y19" s="2998"/>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3"/>
      <c r="J20" s="427"/>
      <c r="K20" s="655"/>
      <c r="L20" s="1251"/>
      <c r="M20" s="1242"/>
      <c r="N20" s="1242"/>
      <c r="O20" s="1250"/>
      <c r="P20" s="2998"/>
      <c r="Q20" s="1896"/>
      <c r="R20" s="752"/>
      <c r="S20" s="753"/>
      <c r="T20" s="752"/>
      <c r="U20" s="753"/>
      <c r="V20" s="752"/>
      <c r="W20" s="753"/>
      <c r="X20" s="1897"/>
      <c r="Y20" s="2998"/>
      <c r="Z20" s="1899"/>
      <c r="AA20" s="1900">
        <v>1</v>
      </c>
      <c r="AB20" s="1900">
        <v>1</v>
      </c>
      <c r="AC20" s="1900">
        <v>1</v>
      </c>
    </row>
    <row r="21" spans="1:29" ht="85.5">
      <c r="A21" s="383"/>
      <c r="B21" s="1486" t="s">
        <v>2502</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98"/>
      <c r="Q21" s="1896" t="str">
        <f>B21</f>
        <v>交通便捷度</v>
      </c>
      <c r="R21" s="752" t="s">
        <v>25</v>
      </c>
      <c r="S21" s="753">
        <f>F21</f>
        <v>100</v>
      </c>
      <c r="T21" s="752" t="s">
        <v>25</v>
      </c>
      <c r="U21" s="753">
        <f>H21</f>
        <v>100</v>
      </c>
      <c r="V21" s="752" t="s">
        <v>25</v>
      </c>
      <c r="W21" s="753">
        <f>J21</f>
        <v>100</v>
      </c>
      <c r="X21" s="1897"/>
      <c r="Y21" s="2998"/>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3"/>
      <c r="J22" s="427"/>
      <c r="K22" s="655"/>
      <c r="L22" s="1251"/>
      <c r="M22" s="1242"/>
      <c r="N22" s="1242"/>
      <c r="O22" s="1250"/>
      <c r="P22" s="2998"/>
      <c r="Q22" s="1896"/>
      <c r="R22" s="752"/>
      <c r="S22" s="753"/>
      <c r="T22" s="752"/>
      <c r="U22" s="753"/>
      <c r="V22" s="752"/>
      <c r="W22" s="753"/>
      <c r="X22" s="1897"/>
      <c r="Y22" s="2998"/>
      <c r="Z22" s="1899"/>
      <c r="AA22" s="1900">
        <v>1</v>
      </c>
      <c r="AB22" s="1900">
        <v>1</v>
      </c>
      <c r="AC22" s="1900">
        <v>1</v>
      </c>
    </row>
    <row r="23" spans="1:29" ht="15">
      <c r="A23" s="383"/>
      <c r="B23" s="1489" t="s">
        <v>2542</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98"/>
      <c r="Q23" s="1896" t="str">
        <f t="shared" ref="Q23:Q37" si="8">B23</f>
        <v>区域土地利用方向</v>
      </c>
      <c r="R23" s="752" t="s">
        <v>25</v>
      </c>
      <c r="S23" s="753">
        <f>F23</f>
        <v>100</v>
      </c>
      <c r="T23" s="752" t="s">
        <v>25</v>
      </c>
      <c r="U23" s="753">
        <f>H23</f>
        <v>100</v>
      </c>
      <c r="V23" s="752" t="s">
        <v>25</v>
      </c>
      <c r="W23" s="753">
        <f>J23</f>
        <v>100</v>
      </c>
      <c r="X23" s="1897"/>
      <c r="Y23" s="2998"/>
      <c r="Z23" s="1899" t="str">
        <f>Q23</f>
        <v>区域土地利用方向</v>
      </c>
      <c r="AA23" s="1900">
        <f t="shared" si="3"/>
        <v>1</v>
      </c>
      <c r="AB23" s="1900">
        <f t="shared" si="4"/>
        <v>1</v>
      </c>
      <c r="AC23" s="1900">
        <f t="shared" si="5"/>
        <v>1</v>
      </c>
    </row>
    <row r="24" spans="1:29" ht="15">
      <c r="A24" s="383"/>
      <c r="B24" s="1490"/>
      <c r="C24" s="618"/>
      <c r="D24" s="427"/>
      <c r="E24" s="428"/>
      <c r="F24" s="427"/>
      <c r="G24" s="2403"/>
      <c r="H24" s="427"/>
      <c r="I24" s="2403"/>
      <c r="J24" s="427"/>
      <c r="K24" s="803"/>
      <c r="L24" s="1251"/>
      <c r="M24" s="1242"/>
      <c r="N24" s="1242"/>
      <c r="O24" s="1250"/>
      <c r="P24" s="2998"/>
      <c r="Q24" s="1896"/>
      <c r="R24" s="752"/>
      <c r="S24" s="753"/>
      <c r="T24" s="752"/>
      <c r="U24" s="753"/>
      <c r="V24" s="752"/>
      <c r="W24" s="753"/>
      <c r="X24" s="1897"/>
      <c r="Y24" s="2998"/>
      <c r="Z24" s="1899"/>
      <c r="AA24" s="1900"/>
      <c r="AB24" s="1900"/>
      <c r="AC24" s="1900"/>
    </row>
    <row r="25" spans="1:29" ht="57">
      <c r="A25" s="383"/>
      <c r="B25" s="1488" t="s">
        <v>2543</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98"/>
      <c r="Q25" s="1896" t="str">
        <f t="shared" si="8"/>
        <v>自然及人文环境状况</v>
      </c>
      <c r="R25" s="752" t="s">
        <v>25</v>
      </c>
      <c r="S25" s="753">
        <f>F25</f>
        <v>100</v>
      </c>
      <c r="T25" s="752" t="s">
        <v>25</v>
      </c>
      <c r="U25" s="753">
        <f>H25</f>
        <v>100</v>
      </c>
      <c r="V25" s="752" t="s">
        <v>25</v>
      </c>
      <c r="W25" s="753">
        <f>J25</f>
        <v>100</v>
      </c>
      <c r="X25" s="1897"/>
      <c r="Y25" s="2998"/>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2998"/>
      <c r="Q26" s="1896"/>
      <c r="R26" s="752"/>
      <c r="S26" s="753"/>
      <c r="T26" s="752"/>
      <c r="U26" s="753"/>
      <c r="V26" s="752"/>
      <c r="W26" s="753"/>
      <c r="X26" s="1897"/>
      <c r="Y26" s="2998"/>
      <c r="Z26" s="1899"/>
      <c r="AA26" s="1900">
        <v>1</v>
      </c>
      <c r="AB26" s="1900">
        <v>1</v>
      </c>
      <c r="AC26" s="1900">
        <v>1</v>
      </c>
    </row>
    <row r="27" spans="1:29" ht="42.75">
      <c r="A27" s="383"/>
      <c r="B27" s="1488" t="s">
        <v>2445</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2998"/>
      <c r="Q27" s="1884" t="str">
        <f t="shared" ref="Q27" si="9">B27</f>
        <v>公共配套设施</v>
      </c>
      <c r="R27" s="748" t="s">
        <v>25</v>
      </c>
      <c r="S27" s="749">
        <f>F27</f>
        <v>100</v>
      </c>
      <c r="T27" s="748" t="s">
        <v>25</v>
      </c>
      <c r="U27" s="749">
        <f>H27</f>
        <v>100</v>
      </c>
      <c r="V27" s="748" t="s">
        <v>25</v>
      </c>
      <c r="W27" s="749">
        <f>J27</f>
        <v>100</v>
      </c>
      <c r="X27" s="1897"/>
      <c r="Y27" s="2998"/>
      <c r="Z27" s="23" t="str">
        <f>Q27</f>
        <v>公共配套设施</v>
      </c>
      <c r="AA27" s="1900">
        <f>D27/F27</f>
        <v>1</v>
      </c>
      <c r="AB27" s="1900">
        <f>D27/H27</f>
        <v>1</v>
      </c>
      <c r="AC27" s="1900">
        <f>D27/J27</f>
        <v>1</v>
      </c>
    </row>
    <row r="28" spans="1:29" ht="15">
      <c r="A28" s="383"/>
      <c r="B28" s="1487"/>
      <c r="C28" s="2486"/>
      <c r="D28" s="427"/>
      <c r="E28" s="2486"/>
      <c r="F28" s="427"/>
      <c r="G28" s="2486"/>
      <c r="H28" s="427"/>
      <c r="I28" s="2486"/>
      <c r="J28" s="427"/>
      <c r="K28" s="655"/>
      <c r="L28" s="1251"/>
      <c r="M28" s="1242"/>
      <c r="N28" s="1242"/>
      <c r="O28" s="1250"/>
      <c r="P28" s="2998"/>
      <c r="Q28" s="1896"/>
      <c r="R28" s="752"/>
      <c r="S28" s="753"/>
      <c r="T28" s="752"/>
      <c r="U28" s="753"/>
      <c r="V28" s="752"/>
      <c r="W28" s="753"/>
      <c r="X28" s="1897"/>
      <c r="Y28" s="2998"/>
      <c r="Z28" s="23"/>
      <c r="AA28" s="1900">
        <v>1</v>
      </c>
      <c r="AB28" s="1900">
        <v>1</v>
      </c>
      <c r="AC28" s="1900">
        <v>1</v>
      </c>
    </row>
    <row r="29" spans="1:29" s="35" customFormat="1" ht="28.5">
      <c r="A29" s="633"/>
      <c r="B29" s="1488" t="s">
        <v>2446</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2998"/>
      <c r="Q29" s="1884" t="str">
        <f t="shared" si="8"/>
        <v>基础设施水平</v>
      </c>
      <c r="R29" s="748" t="s">
        <v>25</v>
      </c>
      <c r="S29" s="749">
        <f>F29</f>
        <v>100</v>
      </c>
      <c r="T29" s="748" t="s">
        <v>25</v>
      </c>
      <c r="U29" s="749">
        <f>H29</f>
        <v>100</v>
      </c>
      <c r="V29" s="748" t="s">
        <v>25</v>
      </c>
      <c r="W29" s="749">
        <f>J29</f>
        <v>100</v>
      </c>
      <c r="X29" s="750"/>
      <c r="Y29" s="2998"/>
      <c r="Z29" s="23" t="str">
        <f>Q29</f>
        <v>基础设施水平</v>
      </c>
      <c r="AA29" s="1900">
        <f>D29/F29</f>
        <v>1</v>
      </c>
      <c r="AB29" s="1900">
        <f>D29/H29</f>
        <v>1</v>
      </c>
      <c r="AC29" s="1900">
        <f>D29/J29</f>
        <v>1</v>
      </c>
    </row>
    <row r="30" spans="1:29" s="35" customFormat="1" ht="15">
      <c r="A30" s="633"/>
      <c r="B30" s="1487"/>
      <c r="C30" s="2486"/>
      <c r="D30" s="427"/>
      <c r="E30" s="2486"/>
      <c r="F30" s="427"/>
      <c r="G30" s="2486"/>
      <c r="H30" s="427"/>
      <c r="I30" s="2486"/>
      <c r="J30" s="427"/>
      <c r="K30" s="655"/>
      <c r="L30" s="1243"/>
      <c r="M30" s="1244"/>
      <c r="N30" s="1244"/>
      <c r="O30" s="1245"/>
      <c r="P30" s="2998"/>
      <c r="Q30" s="1884"/>
      <c r="R30" s="748"/>
      <c r="S30" s="749"/>
      <c r="T30" s="748"/>
      <c r="U30" s="749"/>
      <c r="V30" s="748"/>
      <c r="W30" s="749"/>
      <c r="X30" s="750"/>
      <c r="Y30" s="2998"/>
      <c r="Z30" s="23"/>
      <c r="AA30" s="1900">
        <v>1</v>
      </c>
      <c r="AB30" s="1900">
        <v>1</v>
      </c>
      <c r="AC30" s="1900">
        <v>1</v>
      </c>
    </row>
    <row r="31" spans="1:29" ht="15">
      <c r="A31" s="383"/>
      <c r="B31" s="1487"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98"/>
      <c r="Q31" s="1896" t="str">
        <f t="shared" si="8"/>
        <v>临街状况</v>
      </c>
      <c r="R31" s="752" t="s">
        <v>25</v>
      </c>
      <c r="S31" s="753">
        <f t="shared" ref="S31:S45" si="10">F31</f>
        <v>100</v>
      </c>
      <c r="T31" s="752" t="s">
        <v>25</v>
      </c>
      <c r="U31" s="753">
        <f t="shared" ref="U31:U45" si="11">H31</f>
        <v>100</v>
      </c>
      <c r="V31" s="752" t="s">
        <v>25</v>
      </c>
      <c r="W31" s="753">
        <f t="shared" ref="W31:W45" si="12">J31</f>
        <v>100</v>
      </c>
      <c r="X31" s="1897"/>
      <c r="Y31" s="2998"/>
      <c r="Z31" s="1899" t="str">
        <f t="shared" ref="Z31:Z45" si="13">Q31</f>
        <v>临街状况</v>
      </c>
      <c r="AA31" s="1900">
        <f t="shared" si="3"/>
        <v>1</v>
      </c>
      <c r="AB31" s="1900">
        <f t="shared" si="4"/>
        <v>1</v>
      </c>
      <c r="AC31" s="1900">
        <f t="shared" si="5"/>
        <v>1</v>
      </c>
    </row>
    <row r="32" spans="1:29" ht="27">
      <c r="A32" s="383"/>
      <c r="B32" s="1488"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98"/>
      <c r="Q32" s="1896" t="str">
        <f t="shared" si="8"/>
        <v>毗邻道路的类型与等级</v>
      </c>
      <c r="R32" s="752" t="s">
        <v>25</v>
      </c>
      <c r="S32" s="753">
        <f t="shared" si="10"/>
        <v>100</v>
      </c>
      <c r="T32" s="752" t="s">
        <v>25</v>
      </c>
      <c r="U32" s="753">
        <f t="shared" si="11"/>
        <v>100</v>
      </c>
      <c r="V32" s="752" t="s">
        <v>25</v>
      </c>
      <c r="W32" s="753">
        <f t="shared" si="12"/>
        <v>100</v>
      </c>
      <c r="X32" s="1897"/>
      <c r="Y32" s="2998"/>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2998"/>
      <c r="Q33" s="1896"/>
      <c r="R33" s="752"/>
      <c r="S33" s="753"/>
      <c r="T33" s="752"/>
      <c r="U33" s="753"/>
      <c r="V33" s="752"/>
      <c r="W33" s="753"/>
      <c r="X33" s="1897"/>
      <c r="Y33" s="2998"/>
      <c r="Z33" s="1899"/>
      <c r="AA33" s="1900">
        <v>1</v>
      </c>
      <c r="AB33" s="1900">
        <v>1</v>
      </c>
      <c r="AC33" s="1900">
        <v>1</v>
      </c>
    </row>
    <row r="34" spans="1:29" ht="15">
      <c r="A34" s="383"/>
      <c r="B34" s="1491"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98"/>
      <c r="Q34" s="1896" t="str">
        <f t="shared" si="8"/>
        <v>土地级别</v>
      </c>
      <c r="R34" s="752" t="s">
        <v>25</v>
      </c>
      <c r="S34" s="753">
        <f t="shared" si="10"/>
        <v>100</v>
      </c>
      <c r="T34" s="752" t="s">
        <v>25</v>
      </c>
      <c r="U34" s="753">
        <f t="shared" si="11"/>
        <v>100</v>
      </c>
      <c r="V34" s="752" t="s">
        <v>25</v>
      </c>
      <c r="W34" s="753">
        <f t="shared" si="12"/>
        <v>100</v>
      </c>
      <c r="X34" s="1897"/>
      <c r="Y34" s="2998"/>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98"/>
      <c r="Q35" s="1896">
        <f t="shared" si="8"/>
        <v>111</v>
      </c>
      <c r="R35" s="752" t="s">
        <v>25</v>
      </c>
      <c r="S35" s="753">
        <f t="shared" si="10"/>
        <v>100</v>
      </c>
      <c r="T35" s="752" t="s">
        <v>25</v>
      </c>
      <c r="U35" s="753">
        <f t="shared" si="11"/>
        <v>100</v>
      </c>
      <c r="V35" s="752" t="s">
        <v>25</v>
      </c>
      <c r="W35" s="753">
        <f t="shared" si="12"/>
        <v>100</v>
      </c>
      <c r="X35" s="1897"/>
      <c r="Y35" s="2998"/>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63" t="s">
        <v>2365</v>
      </c>
      <c r="Q36" s="1896">
        <f t="shared" si="8"/>
        <v>111</v>
      </c>
      <c r="R36" s="752" t="s">
        <v>25</v>
      </c>
      <c r="S36" s="753">
        <f t="shared" si="10"/>
        <v>100</v>
      </c>
      <c r="T36" s="752" t="s">
        <v>25</v>
      </c>
      <c r="U36" s="753">
        <f t="shared" si="11"/>
        <v>100</v>
      </c>
      <c r="V36" s="752" t="s">
        <v>25</v>
      </c>
      <c r="W36" s="753">
        <f t="shared" si="12"/>
        <v>100</v>
      </c>
      <c r="X36" s="1897"/>
      <c r="Y36" s="2984" t="s">
        <v>2365</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84"/>
      <c r="Q37" s="1896">
        <f t="shared" si="8"/>
        <v>111</v>
      </c>
      <c r="R37" s="755" t="s">
        <v>25</v>
      </c>
      <c r="S37" s="756">
        <f t="shared" si="10"/>
        <v>100</v>
      </c>
      <c r="T37" s="755" t="s">
        <v>25</v>
      </c>
      <c r="U37" s="756">
        <f t="shared" si="11"/>
        <v>100</v>
      </c>
      <c r="V37" s="755" t="s">
        <v>25</v>
      </c>
      <c r="W37" s="756">
        <f t="shared" si="12"/>
        <v>100</v>
      </c>
      <c r="X37" s="757"/>
      <c r="Y37" s="2984"/>
      <c r="Z37" s="758">
        <f t="shared" si="13"/>
        <v>111</v>
      </c>
      <c r="AA37" s="1900">
        <f t="shared" si="3"/>
        <v>1</v>
      </c>
      <c r="AB37" s="1900">
        <f t="shared" si="4"/>
        <v>1</v>
      </c>
      <c r="AC37" s="1900">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84"/>
      <c r="Q38" s="1896" t="str">
        <f>B38</f>
        <v>宗地面积</v>
      </c>
      <c r="R38" s="752" t="s">
        <v>25</v>
      </c>
      <c r="S38" s="753" t="e">
        <f t="shared" si="10"/>
        <v>#N/A</v>
      </c>
      <c r="T38" s="752" t="s">
        <v>25</v>
      </c>
      <c r="U38" s="753" t="e">
        <f t="shared" si="11"/>
        <v>#N/A</v>
      </c>
      <c r="V38" s="752" t="s">
        <v>25</v>
      </c>
      <c r="W38" s="753" t="e">
        <f t="shared" si="12"/>
        <v>#N/A</v>
      </c>
      <c r="X38" s="1897"/>
      <c r="Y38" s="2984"/>
      <c r="Z38" s="1899" t="str">
        <f t="shared" si="13"/>
        <v>宗地面积</v>
      </c>
      <c r="AA38" s="1900" t="e">
        <f t="shared" si="3"/>
        <v>#N/A</v>
      </c>
      <c r="AB38" s="1900" t="e">
        <f t="shared" si="4"/>
        <v>#N/A</v>
      </c>
      <c r="AC38" s="1900" t="e">
        <f t="shared" si="5"/>
        <v>#N/A</v>
      </c>
    </row>
    <row r="39" spans="1:29" ht="15">
      <c r="A39" s="453"/>
      <c r="B39" s="402" t="s">
        <v>2546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2984"/>
      <c r="Q39" s="1896" t="str">
        <f t="shared" ref="Q39:Q45" si="14">B39</f>
        <v>宗地形状</v>
      </c>
      <c r="R39" s="752" t="s">
        <v>25</v>
      </c>
      <c r="S39" s="753">
        <f t="shared" si="10"/>
        <v>100</v>
      </c>
      <c r="T39" s="752" t="s">
        <v>25</v>
      </c>
      <c r="U39" s="753">
        <f t="shared" si="11"/>
        <v>100</v>
      </c>
      <c r="V39" s="752" t="s">
        <v>25</v>
      </c>
      <c r="W39" s="753">
        <f t="shared" si="12"/>
        <v>100</v>
      </c>
      <c r="X39" s="1897"/>
      <c r="Y39" s="2984"/>
      <c r="Z39" s="1899" t="str">
        <f t="shared" si="13"/>
        <v>宗地形状</v>
      </c>
      <c r="AA39" s="1900">
        <f t="shared" si="3"/>
        <v>1</v>
      </c>
      <c r="AB39" s="1900">
        <f t="shared" si="4"/>
        <v>1</v>
      </c>
      <c r="AC39" s="1900">
        <f t="shared" si="5"/>
        <v>1</v>
      </c>
    </row>
    <row r="40" spans="1:29" ht="15">
      <c r="A40" s="453"/>
      <c r="B40" s="402" t="s">
        <v>2547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2984"/>
      <c r="Q40" s="1896" t="str">
        <f t="shared" si="14"/>
        <v>临街宽度及深度</v>
      </c>
      <c r="R40" s="752" t="s">
        <v>25</v>
      </c>
      <c r="S40" s="753">
        <f t="shared" si="10"/>
        <v>100</v>
      </c>
      <c r="T40" s="752" t="s">
        <v>25</v>
      </c>
      <c r="U40" s="753">
        <f t="shared" si="11"/>
        <v>100</v>
      </c>
      <c r="V40" s="752" t="s">
        <v>25</v>
      </c>
      <c r="W40" s="753">
        <f t="shared" si="12"/>
        <v>100</v>
      </c>
      <c r="X40" s="1897"/>
      <c r="Y40" s="2984"/>
      <c r="Z40" s="1899" t="str">
        <f t="shared" si="13"/>
        <v>临街宽度及深度</v>
      </c>
      <c r="AA40" s="1900">
        <f t="shared" si="3"/>
        <v>1</v>
      </c>
      <c r="AB40" s="1900">
        <f t="shared" si="4"/>
        <v>1</v>
      </c>
      <c r="AC40" s="1900">
        <f t="shared" si="5"/>
        <v>1</v>
      </c>
    </row>
    <row r="41" spans="1:29" s="35" customFormat="1" ht="15">
      <c r="A41" s="454"/>
      <c r="B41" s="402" t="s">
        <v>2548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2984"/>
      <c r="Q41" s="1896" t="str">
        <f t="shared" si="14"/>
        <v>宗地开发程度</v>
      </c>
      <c r="R41" s="748" t="s">
        <v>25</v>
      </c>
      <c r="S41" s="749">
        <f t="shared" si="10"/>
        <v>100</v>
      </c>
      <c r="T41" s="748" t="s">
        <v>25</v>
      </c>
      <c r="U41" s="749">
        <f t="shared" si="11"/>
        <v>100</v>
      </c>
      <c r="V41" s="748" t="s">
        <v>25</v>
      </c>
      <c r="W41" s="749">
        <f t="shared" si="12"/>
        <v>100</v>
      </c>
      <c r="X41" s="750"/>
      <c r="Y41" s="2984"/>
      <c r="Z41" s="23" t="str">
        <f t="shared" si="13"/>
        <v>宗地开发程度</v>
      </c>
      <c r="AA41" s="751">
        <f t="shared" si="3"/>
        <v>1</v>
      </c>
      <c r="AB41" s="751">
        <f t="shared" si="4"/>
        <v>1</v>
      </c>
      <c r="AC41" s="751">
        <f t="shared" si="5"/>
        <v>1</v>
      </c>
    </row>
    <row r="42" spans="1:29" ht="15">
      <c r="A42" s="453"/>
      <c r="B42" s="402" t="s">
        <v>2549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2984" t="s">
        <v>2365</v>
      </c>
      <c r="Q42" s="1896" t="str">
        <f t="shared" si="14"/>
        <v>工程地质条件</v>
      </c>
      <c r="R42" s="752" t="s">
        <v>25</v>
      </c>
      <c r="S42" s="753">
        <f t="shared" si="10"/>
        <v>100</v>
      </c>
      <c r="T42" s="752" t="s">
        <v>25</v>
      </c>
      <c r="U42" s="753">
        <f t="shared" si="11"/>
        <v>100</v>
      </c>
      <c r="V42" s="752" t="s">
        <v>25</v>
      </c>
      <c r="W42" s="753">
        <f t="shared" si="12"/>
        <v>100</v>
      </c>
      <c r="X42" s="1897"/>
      <c r="Y42" s="2984" t="s">
        <v>2365</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84"/>
      <c r="Q43" s="1896">
        <f t="shared" si="14"/>
        <v>111</v>
      </c>
      <c r="R43" s="752" t="s">
        <v>25</v>
      </c>
      <c r="S43" s="753">
        <f t="shared" si="10"/>
        <v>100</v>
      </c>
      <c r="T43" s="752" t="s">
        <v>25</v>
      </c>
      <c r="U43" s="753">
        <f t="shared" si="11"/>
        <v>100</v>
      </c>
      <c r="V43" s="752" t="s">
        <v>25</v>
      </c>
      <c r="W43" s="753">
        <f t="shared" si="12"/>
        <v>100</v>
      </c>
      <c r="X43" s="1897"/>
      <c r="Y43" s="2984"/>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84"/>
      <c r="Q44" s="1896">
        <f t="shared" si="14"/>
        <v>111</v>
      </c>
      <c r="R44" s="752" t="s">
        <v>25</v>
      </c>
      <c r="S44" s="753">
        <f t="shared" si="10"/>
        <v>100</v>
      </c>
      <c r="T44" s="752" t="s">
        <v>25</v>
      </c>
      <c r="U44" s="753">
        <f t="shared" si="11"/>
        <v>100</v>
      </c>
      <c r="V44" s="752" t="s">
        <v>25</v>
      </c>
      <c r="W44" s="753">
        <f t="shared" si="12"/>
        <v>100</v>
      </c>
      <c r="X44" s="1897"/>
      <c r="Y44" s="2984"/>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84"/>
      <c r="Q45" s="1896">
        <f t="shared" si="14"/>
        <v>111</v>
      </c>
      <c r="R45" s="755" t="s">
        <v>25</v>
      </c>
      <c r="S45" s="756">
        <f t="shared" si="10"/>
        <v>100</v>
      </c>
      <c r="T45" s="755" t="s">
        <v>25</v>
      </c>
      <c r="U45" s="756">
        <f t="shared" si="11"/>
        <v>100</v>
      </c>
      <c r="V45" s="755" t="s">
        <v>25</v>
      </c>
      <c r="W45" s="756">
        <f t="shared" si="12"/>
        <v>100</v>
      </c>
      <c r="X45" s="757"/>
      <c r="Y45" s="2984"/>
      <c r="Z45" s="758">
        <f t="shared" si="13"/>
        <v>111</v>
      </c>
      <c r="AA45" s="1900">
        <f t="shared" si="3"/>
        <v>1</v>
      </c>
      <c r="AB45" s="1900">
        <f t="shared" si="4"/>
        <v>1</v>
      </c>
      <c r="AC45" s="1900">
        <f t="shared" si="5"/>
        <v>1</v>
      </c>
    </row>
    <row r="46" spans="1:29" ht="15">
      <c r="A46" s="460" t="s">
        <v>2513</v>
      </c>
      <c r="B46" s="2491" t="s">
        <v>2550</v>
      </c>
      <c r="C46" s="665" t="s">
        <v>1</v>
      </c>
      <c r="D46" s="462"/>
      <c r="E46" s="463"/>
      <c r="F46" s="464"/>
      <c r="G46" s="465"/>
      <c r="H46" s="466"/>
      <c r="I46" s="463"/>
      <c r="J46" s="466"/>
      <c r="K46" s="761"/>
      <c r="L46" s="1254"/>
      <c r="M46" s="1255"/>
      <c r="N46" s="1242"/>
      <c r="O46" s="1255"/>
      <c r="P46" s="2976" t="str">
        <f>A46</f>
        <v>成交单价</v>
      </c>
      <c r="Q46" s="2976"/>
      <c r="R46" s="3012">
        <f>E46</f>
        <v>0</v>
      </c>
      <c r="S46" s="3012"/>
      <c r="T46" s="3012">
        <f>G46</f>
        <v>0</v>
      </c>
      <c r="U46" s="3012"/>
      <c r="V46" s="3012">
        <f>I46</f>
        <v>0</v>
      </c>
      <c r="W46" s="3012"/>
      <c r="X46" s="737"/>
      <c r="Y46" s="759"/>
      <c r="Z46" s="737"/>
      <c r="AA46" s="737"/>
      <c r="AB46" s="737"/>
      <c r="AC46" s="737"/>
    </row>
    <row r="47" spans="1:29" ht="15.75" thickBot="1">
      <c r="A47" s="467" t="s">
        <v>2460</v>
      </c>
      <c r="B47" s="666"/>
      <c r="C47" s="471" t="e">
        <f>R48</f>
        <v>#DIV/0!</v>
      </c>
      <c r="D47" s="470"/>
      <c r="E47" s="471" t="e">
        <f>R47</f>
        <v>#DIV/0!</v>
      </c>
      <c r="F47" s="472"/>
      <c r="G47" s="469" t="e">
        <f>T47</f>
        <v>#DIV/0!</v>
      </c>
      <c r="H47" s="470"/>
      <c r="I47" s="471" t="e">
        <f>V47</f>
        <v>#DIV/0!</v>
      </c>
      <c r="J47" s="470"/>
      <c r="K47" s="762"/>
      <c r="L47" s="1254"/>
      <c r="M47" s="1255"/>
      <c r="N47" s="1255"/>
      <c r="O47" s="1255"/>
      <c r="P47" s="2976" t="str">
        <f>A47</f>
        <v>比较价值（元/平方米）</v>
      </c>
      <c r="Q47" s="2976"/>
      <c r="R47" s="3064" t="e">
        <f>ROUND(PRODUCT(R46,AA7:AA45),0)</f>
        <v>#DIV/0!</v>
      </c>
      <c r="S47" s="3064"/>
      <c r="T47" s="3064" t="e">
        <f>ROUND(PRODUCT(T46,AB7:AB45),0)</f>
        <v>#DIV/0!</v>
      </c>
      <c r="U47" s="3064"/>
      <c r="V47" s="3064" t="e">
        <f>ROUND(PRODUCT(V46,AC7:AC45),0)</f>
        <v>#DIV/0!</v>
      </c>
      <c r="W47" s="3064"/>
      <c r="X47" s="737"/>
      <c r="Y47" s="737"/>
      <c r="Z47" s="737"/>
      <c r="AA47" s="737"/>
      <c r="AB47" s="737"/>
      <c r="AC47" s="737"/>
    </row>
    <row r="48" spans="1:29" ht="15.75" thickBot="1">
      <c r="A48" s="473" t="s">
        <v>2483</v>
      </c>
      <c r="B48" s="474"/>
      <c r="C48" s="475" t="e">
        <f>R48</f>
        <v>#DIV/0!</v>
      </c>
      <c r="D48" s="475"/>
      <c r="E48" s="475"/>
      <c r="F48" s="475"/>
      <c r="G48" s="475"/>
      <c r="H48" s="475"/>
      <c r="I48" s="475"/>
      <c r="J48" s="475"/>
      <c r="K48" s="763"/>
      <c r="L48" s="1254"/>
      <c r="M48" s="1255"/>
      <c r="N48" s="1255"/>
      <c r="O48" s="1255"/>
      <c r="P48" s="2978" t="str">
        <f>A48</f>
        <v>估价对象XX用房的比较价值（楼面单价，元/平方米）</v>
      </c>
      <c r="Q48" s="2979"/>
      <c r="R48" s="3065" t="e">
        <f>ROUND(AVERAGE(R47:V47),0)</f>
        <v>#DIV/0!</v>
      </c>
      <c r="S48" s="3065"/>
      <c r="T48" s="3065"/>
      <c r="U48" s="3065"/>
      <c r="V48" s="3065"/>
      <c r="W48" s="3065"/>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0"/>
      <c r="D54" s="739"/>
      <c r="E54" s="739"/>
      <c r="F54" s="739"/>
      <c r="G54" s="739"/>
      <c r="H54" s="739"/>
      <c r="I54" s="739"/>
      <c r="J54" s="739"/>
      <c r="K54" s="1261"/>
      <c r="L54" s="1262"/>
      <c r="M54" s="1257"/>
      <c r="N54" s="1257"/>
      <c r="O54" s="1257"/>
    </row>
    <row r="55" spans="1:15" ht="27">
      <c r="A55" s="667" t="s">
        <v>2551</v>
      </c>
      <c r="B55" s="668" t="s">
        <v>2552</v>
      </c>
      <c r="C55" s="2492" t="s">
        <v>2553</v>
      </c>
      <c r="D55" s="2493" t="s">
        <v>2554</v>
      </c>
      <c r="E55" s="669" t="s">
        <v>2555</v>
      </c>
      <c r="F55" s="670" t="s">
        <v>2556</v>
      </c>
      <c r="G55" s="62" t="s">
        <v>2557</v>
      </c>
      <c r="H55" s="62">
        <f>项目基本情况!G8</f>
        <v>0</v>
      </c>
      <c r="I55" s="2494" t="s">
        <v>2558</v>
      </c>
      <c r="J55" s="738"/>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1">
        <v>1</v>
      </c>
      <c r="H56" s="971">
        <v>1</v>
      </c>
      <c r="I56" s="1257"/>
      <c r="J56" s="1257"/>
      <c r="K56" s="1261"/>
      <c r="L56" s="1262"/>
      <c r="M56" s="1257"/>
      <c r="N56" s="1257"/>
      <c r="O56" s="970"/>
    </row>
    <row r="57" spans="1:15" s="675" customFormat="1">
      <c r="A57" s="676" t="s">
        <v>2560</v>
      </c>
      <c r="B57" s="178" t="e">
        <f>ROUND($C$48*C57*D57,0)</f>
        <v>#DIV/0!</v>
      </c>
      <c r="C57" s="117">
        <f>IF($C$55="北京市系数",G57,H57)</f>
        <v>0</v>
      </c>
      <c r="D57" s="1290">
        <v>0.25</v>
      </c>
      <c r="E57" s="677">
        <v>0</v>
      </c>
      <c r="F57" s="674" t="e">
        <f t="shared" si="15"/>
        <v>#DIV/0!</v>
      </c>
      <c r="G57" s="971">
        <f>SUMIF(修正!$A$45:$A$56,项目基本情况!$F$9,修正!B45:B56)</f>
        <v>0</v>
      </c>
      <c r="H57" s="972"/>
      <c r="I57" s="1255"/>
      <c r="J57" s="1260"/>
      <c r="K57" s="1256"/>
      <c r="L57" s="1256"/>
      <c r="M57" s="1255"/>
      <c r="N57" s="1255"/>
      <c r="O57" s="970"/>
    </row>
    <row r="58" spans="1:15" s="675" customFormat="1">
      <c r="A58" s="676" t="s">
        <v>2561</v>
      </c>
      <c r="B58" s="178" t="e">
        <f t="shared" ref="B58:B65" si="16">ROUND($C$48*C58*D58,0)</f>
        <v>#DIV/0!</v>
      </c>
      <c r="C58" s="117">
        <f t="shared" ref="C58:C65" si="17">IF($C$55="北京市系数",G58,H58)</f>
        <v>0</v>
      </c>
      <c r="D58" s="1290">
        <v>0.25</v>
      </c>
      <c r="E58" s="677">
        <v>0</v>
      </c>
      <c r="F58" s="674" t="e">
        <f t="shared" si="15"/>
        <v>#DIV/0!</v>
      </c>
      <c r="G58" s="971">
        <f>SUMIF(修正!$A$45:$A$56,项目基本情况!$F$9,修正!C45:C56)</f>
        <v>0</v>
      </c>
      <c r="H58" s="972"/>
      <c r="I58" s="1257"/>
      <c r="J58" s="1257"/>
      <c r="K58" s="1261"/>
      <c r="L58" s="1262"/>
      <c r="M58" s="1257"/>
      <c r="N58" s="1257"/>
      <c r="O58" s="970"/>
    </row>
    <row r="59" spans="1:15" s="675" customFormat="1">
      <c r="A59" s="676" t="s">
        <v>2562</v>
      </c>
      <c r="B59" s="178" t="e">
        <f t="shared" si="16"/>
        <v>#DIV/0!</v>
      </c>
      <c r="C59" s="117">
        <f t="shared" si="17"/>
        <v>0</v>
      </c>
      <c r="D59" s="1290">
        <v>0.25</v>
      </c>
      <c r="E59" s="677">
        <v>0</v>
      </c>
      <c r="F59" s="674" t="e">
        <f t="shared" si="15"/>
        <v>#DIV/0!</v>
      </c>
      <c r="G59" s="971">
        <f>SUMIF(修正!$A$45:$A$56,项目基本情况!$F$9,修正!D45:D56)</f>
        <v>0</v>
      </c>
      <c r="H59" s="972"/>
      <c r="I59" s="1255"/>
      <c r="J59" s="1260"/>
      <c r="K59" s="1256"/>
      <c r="L59" s="1256"/>
      <c r="M59" s="1255"/>
      <c r="N59" s="1255"/>
      <c r="O59" s="970"/>
    </row>
    <row r="60" spans="1:15" s="675" customFormat="1">
      <c r="A60" s="676" t="s">
        <v>2563</v>
      </c>
      <c r="B60" s="178" t="e">
        <f t="shared" si="16"/>
        <v>#DIV/0!</v>
      </c>
      <c r="C60" s="117">
        <f t="shared" si="17"/>
        <v>0</v>
      </c>
      <c r="D60" s="1290">
        <v>0.25</v>
      </c>
      <c r="E60" s="677">
        <v>0</v>
      </c>
      <c r="F60" s="674" t="e">
        <f t="shared" si="15"/>
        <v>#DIV/0!</v>
      </c>
      <c r="G60" s="971">
        <f>SUMIF(修正!$A$45:$A$56,项目基本情况!$F$9,修正!E45:E56)</f>
        <v>0</v>
      </c>
      <c r="H60" s="972"/>
      <c r="I60" s="1257"/>
      <c r="J60" s="1257"/>
      <c r="K60" s="1261"/>
      <c r="L60" s="1262"/>
      <c r="M60" s="1257"/>
      <c r="N60" s="1257"/>
      <c r="O60" s="970"/>
    </row>
    <row r="61" spans="1:15" s="675" customFormat="1">
      <c r="A61" s="676" t="s">
        <v>2564</v>
      </c>
      <c r="B61" s="178" t="e">
        <f t="shared" si="16"/>
        <v>#DIV/0!</v>
      </c>
      <c r="C61" s="117">
        <f t="shared" si="17"/>
        <v>0</v>
      </c>
      <c r="D61" s="1290">
        <v>0.25</v>
      </c>
      <c r="E61" s="677">
        <v>0</v>
      </c>
      <c r="F61" s="674" t="e">
        <f t="shared" si="15"/>
        <v>#DIV/0!</v>
      </c>
      <c r="G61" s="971">
        <f>SUMIF(修正!A45:A56,项目基本情况!F9,修正!F45:F56)</f>
        <v>0</v>
      </c>
      <c r="H61" s="972"/>
      <c r="I61" s="1255"/>
      <c r="J61" s="1260"/>
      <c r="K61" s="1256"/>
      <c r="L61" s="1256"/>
      <c r="M61" s="1255"/>
      <c r="N61" s="1255"/>
      <c r="O61" s="970"/>
    </row>
    <row r="62" spans="1:15" s="675" customFormat="1">
      <c r="A62" s="676" t="s">
        <v>2565</v>
      </c>
      <c r="B62" s="178" t="e">
        <f t="shared" si="16"/>
        <v>#DIV/0!</v>
      </c>
      <c r="C62" s="117">
        <f t="shared" si="17"/>
        <v>0</v>
      </c>
      <c r="D62" s="1290">
        <v>0.25</v>
      </c>
      <c r="E62" s="677">
        <v>0</v>
      </c>
      <c r="F62" s="674" t="e">
        <f t="shared" si="15"/>
        <v>#DIV/0!</v>
      </c>
      <c r="G62" s="971">
        <f>SUMIF(修正!A45:A56,项目基本情况!F9,修正!G45:G56)</f>
        <v>0</v>
      </c>
      <c r="H62" s="972"/>
      <c r="I62" s="1257"/>
      <c r="J62" s="1257"/>
      <c r="K62" s="1261"/>
      <c r="L62" s="1262"/>
      <c r="M62" s="1257"/>
      <c r="N62" s="1257"/>
      <c r="O62" s="970"/>
    </row>
    <row r="63" spans="1:15" s="675" customFormat="1">
      <c r="A63" s="676" t="s">
        <v>2566</v>
      </c>
      <c r="B63" s="178" t="e">
        <f t="shared" si="16"/>
        <v>#DIV/0!</v>
      </c>
      <c r="C63" s="117">
        <f>IF($C$55="北京市系数",G63,H63)</f>
        <v>0</v>
      </c>
      <c r="D63" s="1290">
        <v>0.25</v>
      </c>
      <c r="E63" s="677">
        <v>0</v>
      </c>
      <c r="F63" s="674" t="e">
        <f t="shared" si="15"/>
        <v>#DIV/0!</v>
      </c>
      <c r="G63" s="971">
        <f>SUMIF(修正!A45:A56,项目基本情况!F9,修正!H45:H56)</f>
        <v>0</v>
      </c>
      <c r="H63" s="972"/>
      <c r="I63" s="1255"/>
      <c r="J63" s="1260"/>
      <c r="K63" s="1256"/>
      <c r="L63" s="1256"/>
      <c r="M63" s="1255"/>
      <c r="N63" s="1255"/>
      <c r="O63" s="970"/>
    </row>
    <row r="64" spans="1:15" s="675" customFormat="1">
      <c r="A64" s="676" t="s">
        <v>2567</v>
      </c>
      <c r="B64" s="178" t="e">
        <f t="shared" si="16"/>
        <v>#DIV/0!</v>
      </c>
      <c r="C64" s="117">
        <f t="shared" si="17"/>
        <v>0</v>
      </c>
      <c r="D64" s="1290">
        <v>0.25</v>
      </c>
      <c r="E64" s="677">
        <v>0</v>
      </c>
      <c r="F64" s="674" t="e">
        <f t="shared" si="15"/>
        <v>#DIV/0!</v>
      </c>
      <c r="G64" s="971">
        <f>G63</f>
        <v>0</v>
      </c>
      <c r="H64" s="972"/>
      <c r="I64" s="1257"/>
      <c r="J64" s="1257"/>
      <c r="K64" s="1261"/>
      <c r="L64" s="1262"/>
      <c r="M64" s="1257"/>
      <c r="N64" s="1257"/>
      <c r="O64" s="970"/>
    </row>
    <row r="65" spans="1:17" s="675" customFormat="1">
      <c r="A65" s="676" t="s">
        <v>2568</v>
      </c>
      <c r="B65" s="178" t="e">
        <f t="shared" si="16"/>
        <v>#DIV/0!</v>
      </c>
      <c r="C65" s="117">
        <f t="shared" si="17"/>
        <v>0</v>
      </c>
      <c r="D65" s="1290">
        <v>0.25</v>
      </c>
      <c r="E65" s="677">
        <v>0</v>
      </c>
      <c r="F65" s="674" t="e">
        <f t="shared" si="15"/>
        <v>#DIV/0!</v>
      </c>
      <c r="G65" s="971">
        <f>G63</f>
        <v>0</v>
      </c>
      <c r="H65" s="972"/>
      <c r="I65" s="1255"/>
      <c r="J65" s="1260"/>
      <c r="K65" s="1256"/>
      <c r="L65" s="1256"/>
      <c r="M65" s="1255"/>
      <c r="N65" s="1255"/>
      <c r="O65" s="970"/>
    </row>
    <row r="66" spans="1:17" s="675" customFormat="1" ht="13.5" thickBot="1">
      <c r="A66" s="679" t="s">
        <v>2569</v>
      </c>
      <c r="B66" s="680" t="s">
        <v>39</v>
      </c>
      <c r="C66" s="680" t="s">
        <v>40</v>
      </c>
      <c r="D66" s="680" t="s">
        <v>36</v>
      </c>
      <c r="E66" s="680">
        <f>SUM(E56:E65)</f>
        <v>120</v>
      </c>
      <c r="F66" s="681"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69" customFormat="1">
      <c r="A68" s="737"/>
      <c r="B68" s="1667"/>
      <c r="C68" s="1667" t="str">
        <f>YEAR(C7)&amp;"-"&amp;MONTH(C7)&amp;"-1"</f>
        <v>2018-6-1</v>
      </c>
      <c r="D68" s="1667">
        <f>EDATE(C68,-3)</f>
        <v>43160</v>
      </c>
      <c r="E68" s="1667">
        <f t="shared" ref="E68:O68" si="18">EDATE(D68,-3)</f>
        <v>43070</v>
      </c>
      <c r="F68" s="1667">
        <f t="shared" si="18"/>
        <v>42979</v>
      </c>
      <c r="G68" s="1667">
        <f t="shared" si="18"/>
        <v>42887</v>
      </c>
      <c r="H68" s="1667">
        <f t="shared" si="18"/>
        <v>42795</v>
      </c>
      <c r="I68" s="1667">
        <f t="shared" si="18"/>
        <v>42705</v>
      </c>
      <c r="J68" s="1667">
        <f t="shared" si="18"/>
        <v>42614</v>
      </c>
      <c r="K68" s="1667">
        <f t="shared" si="18"/>
        <v>42522</v>
      </c>
      <c r="L68" s="1667">
        <f t="shared" si="18"/>
        <v>42430</v>
      </c>
      <c r="M68" s="1667">
        <f t="shared" si="18"/>
        <v>42339</v>
      </c>
      <c r="N68" s="1667">
        <f t="shared" si="18"/>
        <v>42248</v>
      </c>
      <c r="O68" s="1667">
        <f t="shared" si="18"/>
        <v>42156</v>
      </c>
    </row>
    <row r="69" spans="1:17" ht="21.75" thickBot="1">
      <c r="A69" s="741" t="s">
        <v>2465</v>
      </c>
      <c r="B69" s="737"/>
      <c r="C69" s="742"/>
      <c r="D69" s="742"/>
      <c r="E69" s="742"/>
      <c r="F69" s="743"/>
      <c r="G69" s="743"/>
      <c r="H69" s="742"/>
      <c r="I69" s="1271"/>
      <c r="J69" s="1271"/>
      <c r="K69" s="1269"/>
      <c r="L69" s="1270"/>
      <c r="M69" s="1271"/>
      <c r="N69" s="1271"/>
      <c r="O69" s="1271"/>
      <c r="P69" s="484"/>
      <c r="Q69" s="485"/>
    </row>
    <row r="70" spans="1:17" s="1671" customFormat="1" ht="15">
      <c r="A70" s="2495" t="s">
        <v>2570</v>
      </c>
      <c r="B70" s="1453"/>
      <c r="C70" s="1668" t="str">
        <f>YEAR(C68)&amp;"-"&amp;ROUNDUP(MONTH(C68)/3,0)</f>
        <v>2018-2</v>
      </c>
      <c r="D70" s="1668" t="str">
        <f>YEAR(D68)&amp;"-"&amp;ROUNDUP(MONTH(D68)/3,0)</f>
        <v>2018-1</v>
      </c>
      <c r="E70" s="1668" t="str">
        <f t="shared" ref="E70:O70" si="19">YEAR(E68)&amp;"-"&amp;ROUNDUP(MONTH(E68)/3,0)</f>
        <v>2017-4</v>
      </c>
      <c r="F70" s="1668" t="str">
        <f t="shared" si="19"/>
        <v>2017-3</v>
      </c>
      <c r="G70" s="1668" t="str">
        <f t="shared" si="19"/>
        <v>2017-2</v>
      </c>
      <c r="H70" s="1668" t="str">
        <f t="shared" si="19"/>
        <v>2017-1</v>
      </c>
      <c r="I70" s="1668" t="str">
        <f t="shared" si="19"/>
        <v>2016-4</v>
      </c>
      <c r="J70" s="1668" t="str">
        <f t="shared" si="19"/>
        <v>2016-3</v>
      </c>
      <c r="K70" s="1668" t="str">
        <f t="shared" si="19"/>
        <v>2016-2</v>
      </c>
      <c r="L70" s="1668" t="str">
        <f t="shared" si="19"/>
        <v>2016-1</v>
      </c>
      <c r="M70" s="1668" t="str">
        <f t="shared" si="19"/>
        <v>2015-4</v>
      </c>
      <c r="N70" s="1668" t="str">
        <f t="shared" si="19"/>
        <v>2015-3</v>
      </c>
      <c r="O70" s="1668" t="str">
        <f t="shared" si="19"/>
        <v>2015-2</v>
      </c>
      <c r="P70" s="1670"/>
    </row>
    <row r="71" spans="1:17" s="35" customFormat="1" ht="29.25" customHeight="1">
      <c r="A71" s="2496"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6"/>
      <c r="N71" s="579"/>
      <c r="O71" s="1672"/>
      <c r="P71" s="485"/>
    </row>
    <row r="72" spans="1:17" s="35" customFormat="1" ht="15.75" thickBot="1">
      <c r="A72" s="496" t="s">
        <v>2385</v>
      </c>
      <c r="B72" s="497"/>
      <c r="C72" s="498"/>
      <c r="D72" s="499"/>
      <c r="E72" s="499"/>
      <c r="F72" s="499"/>
      <c r="G72" s="499"/>
      <c r="H72" s="499"/>
      <c r="I72" s="499"/>
      <c r="J72" s="499"/>
      <c r="K72" s="499"/>
      <c r="L72" s="499"/>
      <c r="M72" s="500"/>
      <c r="N72" s="499"/>
      <c r="O72" s="1673"/>
      <c r="P72" s="485"/>
      <c r="Q72" s="485"/>
    </row>
    <row r="73" spans="1:17" s="35" customFormat="1" ht="15">
      <c r="A73" s="502" t="s">
        <v>2349</v>
      </c>
      <c r="B73" s="491"/>
      <c r="C73" s="503" t="s">
        <v>2350</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2353</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2356</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2363</v>
      </c>
      <c r="B116" s="509" t="s">
        <v>2579</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3"/>
      <c r="E1" s="733"/>
      <c r="F1" s="732" t="s">
        <v>2332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2538</v>
      </c>
      <c r="D2" s="980"/>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2539</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80" t="s">
        <v>2334</v>
      </c>
      <c r="B4" s="381"/>
      <c r="C4" s="3002" t="s">
        <v>2335</v>
      </c>
      <c r="D4" s="3003"/>
      <c r="E4" s="3004" t="s">
        <v>2336</v>
      </c>
      <c r="F4" s="3005"/>
      <c r="G4" s="3002" t="s">
        <v>2337</v>
      </c>
      <c r="H4" s="3003"/>
      <c r="I4" s="3002" t="s">
        <v>2338</v>
      </c>
      <c r="J4" s="3003"/>
      <c r="K4" s="594" t="s">
        <v>2339</v>
      </c>
      <c r="L4" s="1241"/>
      <c r="M4" s="1242"/>
      <c r="N4" s="1242"/>
      <c r="O4" s="1242"/>
      <c r="P4" s="3006" t="s">
        <v>2340</v>
      </c>
      <c r="Q4" s="3007"/>
      <c r="R4" s="2988" t="s">
        <v>2336</v>
      </c>
      <c r="S4" s="2989"/>
      <c r="T4" s="2988" t="s">
        <v>2337</v>
      </c>
      <c r="U4" s="2989"/>
      <c r="V4" s="3012" t="s">
        <v>2338</v>
      </c>
      <c r="W4" s="3012"/>
      <c r="X4" s="1897"/>
      <c r="Y4" s="2988" t="s">
        <v>2340</v>
      </c>
      <c r="Z4" s="2989"/>
      <c r="AA4" s="2999" t="s">
        <v>2336</v>
      </c>
      <c r="AB4" s="3000" t="s">
        <v>2337</v>
      </c>
      <c r="AC4" s="2999" t="s">
        <v>2338</v>
      </c>
    </row>
    <row r="5" spans="1:29" ht="15">
      <c r="A5" s="383"/>
      <c r="B5" s="384"/>
      <c r="C5" s="3015" t="s">
        <v>2341</v>
      </c>
      <c r="D5" s="3016"/>
      <c r="E5" s="3062" t="s">
        <v>2342</v>
      </c>
      <c r="F5" s="3014"/>
      <c r="G5" s="3015" t="s">
        <v>2343</v>
      </c>
      <c r="H5" s="3016"/>
      <c r="I5" s="3015" t="s">
        <v>2344</v>
      </c>
      <c r="J5" s="3016"/>
      <c r="K5" s="594"/>
      <c r="L5" s="1241"/>
      <c r="M5" s="1242"/>
      <c r="N5" s="1242"/>
      <c r="O5" s="1242"/>
      <c r="P5" s="3008"/>
      <c r="Q5" s="3009"/>
      <c r="R5" s="2990"/>
      <c r="S5" s="2991"/>
      <c r="T5" s="2990"/>
      <c r="U5" s="2991"/>
      <c r="V5" s="3012"/>
      <c r="W5" s="3012"/>
      <c r="X5" s="1897"/>
      <c r="Y5" s="2990"/>
      <c r="Z5" s="2991"/>
      <c r="AA5" s="3000"/>
      <c r="AB5" s="3000"/>
      <c r="AC5" s="3000"/>
    </row>
    <row r="6" spans="1:29" ht="15.75" thickBot="1">
      <c r="A6" s="385"/>
      <c r="B6" s="386"/>
      <c r="C6" s="3017" t="s">
        <v>2345</v>
      </c>
      <c r="D6" s="3018"/>
      <c r="E6" s="3048" t="s">
        <v>2345</v>
      </c>
      <c r="F6" s="3021"/>
      <c r="G6" s="3017" t="s">
        <v>2345</v>
      </c>
      <c r="H6" s="3018"/>
      <c r="I6" s="3017" t="s">
        <v>2345</v>
      </c>
      <c r="J6" s="3018"/>
      <c r="K6" s="594" t="s">
        <v>2346</v>
      </c>
      <c r="L6" s="1241"/>
      <c r="M6" s="1242"/>
      <c r="N6" s="1242"/>
      <c r="O6" s="1242"/>
      <c r="P6" s="3010"/>
      <c r="Q6" s="3011"/>
      <c r="R6" s="2990"/>
      <c r="S6" s="2991"/>
      <c r="T6" s="2992"/>
      <c r="U6" s="2993"/>
      <c r="V6" s="3012"/>
      <c r="W6" s="3012"/>
      <c r="X6" s="1897"/>
      <c r="Y6" s="2992"/>
      <c r="Z6" s="2993"/>
      <c r="AA6" s="3001"/>
      <c r="AB6" s="3001"/>
      <c r="AC6" s="3001"/>
    </row>
    <row r="7" spans="1:29" s="35" customFormat="1" ht="15.75" thickBot="1">
      <c r="A7" s="387" t="s">
        <v>2347</v>
      </c>
      <c r="B7" s="388"/>
      <c r="C7" s="389">
        <f>'数据-取费表'!B2</f>
        <v>43255</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2986" t="s">
        <v>2348</v>
      </c>
      <c r="Q7" s="2994"/>
      <c r="R7" s="748" t="s">
        <v>25</v>
      </c>
      <c r="S7" s="749">
        <f t="shared" ref="S7:S15" si="0">F7</f>
        <v>0</v>
      </c>
      <c r="T7" s="748" t="s">
        <v>25</v>
      </c>
      <c r="U7" s="749">
        <f t="shared" ref="U7:U15" si="1">H7</f>
        <v>0</v>
      </c>
      <c r="V7" s="748" t="s">
        <v>25</v>
      </c>
      <c r="W7" s="749">
        <f t="shared" ref="W7:W15" si="2">J7</f>
        <v>0</v>
      </c>
      <c r="X7" s="750"/>
      <c r="Y7" s="2986" t="s">
        <v>2348</v>
      </c>
      <c r="Z7" s="2987"/>
      <c r="AA7" s="751" t="e">
        <f>D7/F7</f>
        <v>#DIV/0!</v>
      </c>
      <c r="AB7" s="751" t="e">
        <f>D7/H7</f>
        <v>#DIV/0!</v>
      </c>
      <c r="AC7" s="751"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6" t="s">
        <v>2351</v>
      </c>
      <c r="Q8" s="2987"/>
      <c r="R8" s="748" t="s">
        <v>25</v>
      </c>
      <c r="S8" s="749">
        <f t="shared" si="0"/>
        <v>0</v>
      </c>
      <c r="T8" s="748" t="s">
        <v>25</v>
      </c>
      <c r="U8" s="749">
        <f t="shared" si="1"/>
        <v>0</v>
      </c>
      <c r="V8" s="748" t="s">
        <v>25</v>
      </c>
      <c r="W8" s="749">
        <f t="shared" si="2"/>
        <v>0</v>
      </c>
      <c r="X8" s="750"/>
      <c r="Y8" s="2986" t="s">
        <v>2351</v>
      </c>
      <c r="Z8" s="2987"/>
      <c r="AA8" s="751" t="e">
        <f t="shared" ref="AA8:AA40" si="3">D8/F8</f>
        <v>#DIV/0!</v>
      </c>
      <c r="AB8" s="751" t="e">
        <f t="shared" ref="AB8:AB40" si="4">D8/H8</f>
        <v>#DIV/0!</v>
      </c>
      <c r="AC8" s="751" t="e">
        <f t="shared" ref="AC8:AC40" si="5">D8/J8</f>
        <v>#DIV/0!</v>
      </c>
    </row>
    <row r="9" spans="1:29" s="35" customFormat="1">
      <c r="A9" s="395" t="s">
        <v>2352</v>
      </c>
      <c r="B9" s="28" t="s">
        <v>2353</v>
      </c>
      <c r="C9" s="2483" t="s">
        <v>2585</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2976" t="s">
        <v>2354</v>
      </c>
      <c r="Q9" s="1884" t="str">
        <f t="shared" ref="Q9:Q15" si="6">B9</f>
        <v>用途</v>
      </c>
      <c r="R9" s="748" t="s">
        <v>25</v>
      </c>
      <c r="S9" s="749">
        <f t="shared" si="0"/>
        <v>100</v>
      </c>
      <c r="T9" s="748" t="s">
        <v>25</v>
      </c>
      <c r="U9" s="749">
        <f t="shared" si="1"/>
        <v>100</v>
      </c>
      <c r="V9" s="748" t="s">
        <v>25</v>
      </c>
      <c r="W9" s="749">
        <f t="shared" si="2"/>
        <v>100</v>
      </c>
      <c r="X9" s="750"/>
      <c r="Y9" s="2837" t="s">
        <v>2355</v>
      </c>
      <c r="Z9" s="23" t="str">
        <f t="shared" ref="Z9:Z15" si="7">Q9</f>
        <v>用途</v>
      </c>
      <c r="AA9" s="751">
        <f t="shared" si="3"/>
        <v>1</v>
      </c>
      <c r="AB9" s="751">
        <f t="shared" si="4"/>
        <v>1</v>
      </c>
      <c r="AC9" s="751">
        <f t="shared" si="5"/>
        <v>1</v>
      </c>
    </row>
    <row r="10" spans="1:29" s="407" customFormat="1" ht="27">
      <c r="A10" s="401"/>
      <c r="B10" s="402" t="s">
        <v>2356</v>
      </c>
      <c r="C10" s="412"/>
      <c r="D10" s="52">
        <v>100</v>
      </c>
      <c r="E10" s="412"/>
      <c r="F10" s="52">
        <f>ROUND(100/'数据-取费表'!B14,0)</f>
        <v>112</v>
      </c>
      <c r="G10" s="412"/>
      <c r="H10" s="52">
        <f>ROUND(100/'数据-取费表'!B14,0)</f>
        <v>112</v>
      </c>
      <c r="I10" s="412"/>
      <c r="J10" s="52">
        <f>ROUND(100/'数据-取费表'!B14,0)</f>
        <v>112</v>
      </c>
      <c r="K10" s="655"/>
      <c r="L10" s="1246"/>
      <c r="M10" s="1247"/>
      <c r="N10" s="1247"/>
      <c r="O10" s="1248"/>
      <c r="P10" s="2976"/>
      <c r="Q10" s="1884" t="str">
        <f t="shared" si="6"/>
        <v>土地使用年限（年）</v>
      </c>
      <c r="R10" s="748" t="s">
        <v>25</v>
      </c>
      <c r="S10" s="749">
        <f t="shared" si="0"/>
        <v>112</v>
      </c>
      <c r="T10" s="748" t="s">
        <v>25</v>
      </c>
      <c r="U10" s="749">
        <f t="shared" si="1"/>
        <v>112</v>
      </c>
      <c r="V10" s="748" t="s">
        <v>25</v>
      </c>
      <c r="W10" s="749">
        <f t="shared" si="2"/>
        <v>112</v>
      </c>
      <c r="X10" s="750"/>
      <c r="Y10" s="2837"/>
      <c r="Z10" s="23" t="str">
        <f t="shared" si="7"/>
        <v>土地使用年限（年）</v>
      </c>
      <c r="AA10" s="751">
        <f t="shared" si="3"/>
        <v>0.8928571428571429</v>
      </c>
      <c r="AB10" s="751">
        <f t="shared" si="4"/>
        <v>0.8928571428571429</v>
      </c>
      <c r="AC10" s="751">
        <f t="shared" si="5"/>
        <v>0.8928571428571429</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76"/>
      <c r="Q11" s="1884" t="str">
        <f t="shared" si="6"/>
        <v>容积率</v>
      </c>
      <c r="R11" s="748" t="s">
        <v>25</v>
      </c>
      <c r="S11" s="749" t="e">
        <f t="shared" si="0"/>
        <v>#N/A</v>
      </c>
      <c r="T11" s="748" t="s">
        <v>25</v>
      </c>
      <c r="U11" s="749" t="e">
        <f t="shared" si="1"/>
        <v>#N/A</v>
      </c>
      <c r="V11" s="748" t="s">
        <v>25</v>
      </c>
      <c r="W11" s="749" t="e">
        <f t="shared" si="2"/>
        <v>#N/A</v>
      </c>
      <c r="X11" s="750"/>
      <c r="Y11" s="2837"/>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76"/>
      <c r="Q12" s="1884">
        <f t="shared" si="6"/>
        <v>111</v>
      </c>
      <c r="R12" s="748" t="s">
        <v>25</v>
      </c>
      <c r="S12" s="749">
        <f t="shared" si="0"/>
        <v>100</v>
      </c>
      <c r="T12" s="748" t="s">
        <v>25</v>
      </c>
      <c r="U12" s="749">
        <f t="shared" si="1"/>
        <v>100</v>
      </c>
      <c r="V12" s="748" t="s">
        <v>25</v>
      </c>
      <c r="W12" s="749">
        <f t="shared" si="2"/>
        <v>100</v>
      </c>
      <c r="X12" s="750"/>
      <c r="Y12" s="2837"/>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76"/>
      <c r="Q13" s="1884">
        <f t="shared" si="6"/>
        <v>111</v>
      </c>
      <c r="R13" s="748" t="s">
        <v>25</v>
      </c>
      <c r="S13" s="749">
        <f t="shared" si="0"/>
        <v>100</v>
      </c>
      <c r="T13" s="748" t="s">
        <v>25</v>
      </c>
      <c r="U13" s="749">
        <f t="shared" si="1"/>
        <v>100</v>
      </c>
      <c r="V13" s="748" t="s">
        <v>25</v>
      </c>
      <c r="W13" s="749">
        <f t="shared" si="2"/>
        <v>100</v>
      </c>
      <c r="X13" s="750"/>
      <c r="Y13" s="2837"/>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76"/>
      <c r="Q14" s="1884">
        <f t="shared" si="6"/>
        <v>111</v>
      </c>
      <c r="R14" s="748" t="s">
        <v>25</v>
      </c>
      <c r="S14" s="749">
        <f t="shared" si="0"/>
        <v>100</v>
      </c>
      <c r="T14" s="748" t="s">
        <v>25</v>
      </c>
      <c r="U14" s="749">
        <f t="shared" si="1"/>
        <v>100</v>
      </c>
      <c r="V14" s="748" t="s">
        <v>25</v>
      </c>
      <c r="W14" s="749">
        <f t="shared" si="2"/>
        <v>100</v>
      </c>
      <c r="X14" s="750"/>
      <c r="Y14" s="2837"/>
      <c r="Z14" s="23">
        <f t="shared" si="7"/>
        <v>111</v>
      </c>
      <c r="AA14" s="751">
        <f t="shared" si="3"/>
        <v>1</v>
      </c>
      <c r="AB14" s="751">
        <f t="shared" si="4"/>
        <v>1</v>
      </c>
      <c r="AC14" s="751">
        <f t="shared" si="5"/>
        <v>1</v>
      </c>
    </row>
    <row r="15" spans="1:29" ht="57">
      <c r="A15" s="419" t="s">
        <v>2358</v>
      </c>
      <c r="B15" s="613" t="s">
        <v>2586</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97" t="s">
        <v>2359</v>
      </c>
      <c r="Q15" s="1896" t="str">
        <f t="shared" si="6"/>
        <v>产业集聚程度</v>
      </c>
      <c r="R15" s="752" t="s">
        <v>25</v>
      </c>
      <c r="S15" s="753">
        <f t="shared" si="0"/>
        <v>100</v>
      </c>
      <c r="T15" s="752" t="s">
        <v>25</v>
      </c>
      <c r="U15" s="753">
        <f t="shared" si="1"/>
        <v>100</v>
      </c>
      <c r="V15" s="752" t="s">
        <v>25</v>
      </c>
      <c r="W15" s="753">
        <f t="shared" si="2"/>
        <v>100</v>
      </c>
      <c r="X15" s="1897"/>
      <c r="Y15" s="2997" t="s">
        <v>2359</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2998"/>
      <c r="Q16" s="1896"/>
      <c r="R16" s="752"/>
      <c r="S16" s="753"/>
      <c r="T16" s="752"/>
      <c r="U16" s="753"/>
      <c r="V16" s="752"/>
      <c r="W16" s="753"/>
      <c r="X16" s="1897"/>
      <c r="Y16" s="2998"/>
      <c r="Z16" s="1899"/>
      <c r="AA16" s="1900">
        <v>1</v>
      </c>
      <c r="AB16" s="1900">
        <v>1</v>
      </c>
      <c r="AC16" s="1900">
        <v>1</v>
      </c>
    </row>
    <row r="17" spans="1:29" ht="85.5">
      <c r="A17" s="408"/>
      <c r="B17" s="615" t="s">
        <v>2502</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98"/>
      <c r="Q17" s="1896" t="str">
        <f>B17</f>
        <v>交通便捷度</v>
      </c>
      <c r="R17" s="752" t="s">
        <v>25</v>
      </c>
      <c r="S17" s="753">
        <f>F17</f>
        <v>100</v>
      </c>
      <c r="T17" s="752" t="s">
        <v>25</v>
      </c>
      <c r="U17" s="753">
        <f>H17</f>
        <v>100</v>
      </c>
      <c r="V17" s="752" t="s">
        <v>25</v>
      </c>
      <c r="W17" s="753">
        <f>J17</f>
        <v>100</v>
      </c>
      <c r="X17" s="1897"/>
      <c r="Y17" s="2998"/>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2998"/>
      <c r="Q18" s="1896"/>
      <c r="R18" s="752"/>
      <c r="S18" s="753"/>
      <c r="T18" s="752"/>
      <c r="U18" s="753"/>
      <c r="V18" s="752"/>
      <c r="W18" s="753"/>
      <c r="X18" s="1897"/>
      <c r="Y18" s="2998"/>
      <c r="Z18" s="1899"/>
      <c r="AA18" s="1900">
        <v>1</v>
      </c>
      <c r="AB18" s="1900">
        <v>1</v>
      </c>
      <c r="AC18" s="1900">
        <v>1</v>
      </c>
    </row>
    <row r="19" spans="1:29" ht="15">
      <c r="A19" s="408"/>
      <c r="B19" s="615" t="s">
        <v>2542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98"/>
      <c r="Q19" s="1896" t="str">
        <f t="shared" ref="Q19:Q33" si="8">B19</f>
        <v>区域土地利用方向</v>
      </c>
      <c r="R19" s="752" t="s">
        <v>25</v>
      </c>
      <c r="S19" s="753">
        <f>F19</f>
        <v>100</v>
      </c>
      <c r="T19" s="752" t="s">
        <v>25</v>
      </c>
      <c r="U19" s="753">
        <f>H19</f>
        <v>100</v>
      </c>
      <c r="V19" s="752" t="s">
        <v>25</v>
      </c>
      <c r="W19" s="753">
        <f>J19</f>
        <v>100</v>
      </c>
      <c r="X19" s="1897"/>
      <c r="Y19" s="2998"/>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3"/>
      <c r="L20" s="1251"/>
      <c r="M20" s="1242"/>
      <c r="N20" s="1242"/>
      <c r="O20" s="1250"/>
      <c r="P20" s="2998"/>
      <c r="Q20" s="1896"/>
      <c r="R20" s="752"/>
      <c r="S20" s="753"/>
      <c r="T20" s="752"/>
      <c r="U20" s="753"/>
      <c r="V20" s="752"/>
      <c r="W20" s="753"/>
      <c r="X20" s="1897"/>
      <c r="Y20" s="2998"/>
      <c r="Z20" s="1899"/>
      <c r="AA20" s="1900"/>
      <c r="AB20" s="1900"/>
      <c r="AC20" s="1900"/>
    </row>
    <row r="21" spans="1:29" ht="71.25">
      <c r="A21" s="383"/>
      <c r="B21" s="615" t="s">
        <v>2587</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98"/>
      <c r="Q21" s="1896" t="str">
        <f t="shared" si="8"/>
        <v>环境状况</v>
      </c>
      <c r="R21" s="752" t="s">
        <v>25</v>
      </c>
      <c r="S21" s="753">
        <f>F21</f>
        <v>100</v>
      </c>
      <c r="T21" s="752" t="s">
        <v>25</v>
      </c>
      <c r="U21" s="753">
        <f>H21</f>
        <v>100</v>
      </c>
      <c r="V21" s="752" t="s">
        <v>25</v>
      </c>
      <c r="W21" s="753">
        <f>J21</f>
        <v>100</v>
      </c>
      <c r="X21" s="1897"/>
      <c r="Y21" s="2998"/>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2998"/>
      <c r="Q22" s="1896"/>
      <c r="R22" s="752"/>
      <c r="S22" s="753"/>
      <c r="T22" s="752"/>
      <c r="U22" s="753"/>
      <c r="V22" s="752"/>
      <c r="W22" s="753"/>
      <c r="X22" s="1897"/>
      <c r="Y22" s="2998"/>
      <c r="Z22" s="1899"/>
      <c r="AA22" s="1900">
        <v>1</v>
      </c>
      <c r="AB22" s="1900">
        <v>1</v>
      </c>
      <c r="AC22" s="1900">
        <v>1</v>
      </c>
    </row>
    <row r="23" spans="1:29" s="35" customFormat="1" ht="42.75">
      <c r="A23" s="633"/>
      <c r="B23" s="615" t="s">
        <v>2445</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98"/>
      <c r="Q23" s="1884" t="str">
        <f t="shared" si="8"/>
        <v>公共配套设施</v>
      </c>
      <c r="R23" s="748" t="s">
        <v>25</v>
      </c>
      <c r="S23" s="749">
        <f>F23</f>
        <v>100</v>
      </c>
      <c r="T23" s="748" t="s">
        <v>25</v>
      </c>
      <c r="U23" s="749">
        <f>H23</f>
        <v>100</v>
      </c>
      <c r="V23" s="748" t="s">
        <v>25</v>
      </c>
      <c r="W23" s="749">
        <f>J23</f>
        <v>100</v>
      </c>
      <c r="X23" s="750"/>
      <c r="Y23" s="2998"/>
      <c r="Z23" s="23" t="str">
        <f>Q23</f>
        <v>公共配套设施</v>
      </c>
      <c r="AA23" s="1900">
        <f>D23/F23</f>
        <v>1</v>
      </c>
      <c r="AB23" s="1900">
        <f>D23/H23</f>
        <v>1</v>
      </c>
      <c r="AC23" s="1900">
        <f>D23/J23</f>
        <v>1</v>
      </c>
    </row>
    <row r="24" spans="1:29" s="35" customFormat="1" ht="15">
      <c r="A24" s="633"/>
      <c r="B24" s="616"/>
      <c r="C24" s="2497"/>
      <c r="D24" s="427"/>
      <c r="E24" s="1469"/>
      <c r="F24" s="427"/>
      <c r="G24" s="1469"/>
      <c r="H24" s="427"/>
      <c r="I24" s="426"/>
      <c r="J24" s="427"/>
      <c r="K24" s="655"/>
      <c r="L24" s="1243"/>
      <c r="M24" s="1244"/>
      <c r="N24" s="1244"/>
      <c r="O24" s="1245"/>
      <c r="P24" s="2998"/>
      <c r="Q24" s="1884"/>
      <c r="R24" s="748"/>
      <c r="S24" s="749"/>
      <c r="T24" s="748"/>
      <c r="U24" s="749"/>
      <c r="V24" s="748"/>
      <c r="W24" s="749"/>
      <c r="X24" s="750"/>
      <c r="Y24" s="2998"/>
      <c r="Z24" s="23"/>
      <c r="AA24" s="751">
        <v>1</v>
      </c>
      <c r="AB24" s="751">
        <v>1</v>
      </c>
      <c r="AC24" s="751">
        <v>1</v>
      </c>
    </row>
    <row r="25" spans="1:29" s="35" customFormat="1" ht="28.5">
      <c r="A25" s="633"/>
      <c r="B25" s="617" t="s">
        <v>2446</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98"/>
      <c r="Q25" s="1884" t="str">
        <f t="shared" ref="Q25" si="9">B25</f>
        <v>基础设施水平</v>
      </c>
      <c r="R25" s="748" t="s">
        <v>25</v>
      </c>
      <c r="S25" s="749">
        <f>F25</f>
        <v>100</v>
      </c>
      <c r="T25" s="748" t="s">
        <v>25</v>
      </c>
      <c r="U25" s="749">
        <f>H25</f>
        <v>100</v>
      </c>
      <c r="V25" s="748" t="s">
        <v>25</v>
      </c>
      <c r="W25" s="749">
        <f>J25</f>
        <v>100</v>
      </c>
      <c r="X25" s="750"/>
      <c r="Y25" s="2998"/>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2998"/>
      <c r="Q26" s="1884"/>
      <c r="R26" s="748"/>
      <c r="S26" s="749"/>
      <c r="T26" s="748"/>
      <c r="U26" s="749"/>
      <c r="V26" s="748"/>
      <c r="W26" s="749"/>
      <c r="X26" s="750"/>
      <c r="Y26" s="2998"/>
      <c r="Z26" s="23"/>
      <c r="AA26" s="751">
        <v>1</v>
      </c>
      <c r="AB26" s="751">
        <v>1</v>
      </c>
      <c r="AC26" s="751">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98"/>
      <c r="Q27" s="1896" t="str">
        <f t="shared" si="8"/>
        <v>临街状况</v>
      </c>
      <c r="R27" s="752" t="s">
        <v>25</v>
      </c>
      <c r="S27" s="753">
        <f t="shared" ref="S27:S40" si="10">F27</f>
        <v>100</v>
      </c>
      <c r="T27" s="752" t="s">
        <v>25</v>
      </c>
      <c r="U27" s="753">
        <f t="shared" ref="U27:U40" si="11">H27</f>
        <v>100</v>
      </c>
      <c r="V27" s="752" t="s">
        <v>25</v>
      </c>
      <c r="W27" s="753">
        <f t="shared" ref="W27:W40" si="12">J27</f>
        <v>100</v>
      </c>
      <c r="X27" s="1897"/>
      <c r="Y27" s="2998"/>
      <c r="Z27" s="1899" t="str">
        <f t="shared" ref="Z27:Z40" si="13">Q27</f>
        <v>临街状况</v>
      </c>
      <c r="AA27" s="1900">
        <f t="shared" si="3"/>
        <v>1</v>
      </c>
      <c r="AB27" s="1900">
        <f t="shared" si="4"/>
        <v>1</v>
      </c>
      <c r="AC27" s="1900">
        <f t="shared" si="5"/>
        <v>1</v>
      </c>
    </row>
    <row r="28" spans="1:29" ht="27">
      <c r="A28" s="408"/>
      <c r="B28" s="617" t="s">
        <v>2477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98"/>
      <c r="Q28" s="1896" t="str">
        <f t="shared" si="8"/>
        <v>毗邻道路的类型与等级</v>
      </c>
      <c r="R28" s="752" t="s">
        <v>25</v>
      </c>
      <c r="S28" s="753">
        <f t="shared" si="10"/>
        <v>100</v>
      </c>
      <c r="T28" s="752" t="s">
        <v>25</v>
      </c>
      <c r="U28" s="753">
        <f t="shared" si="11"/>
        <v>100</v>
      </c>
      <c r="V28" s="752" t="s">
        <v>25</v>
      </c>
      <c r="W28" s="753">
        <f t="shared" si="12"/>
        <v>100</v>
      </c>
      <c r="X28" s="1897"/>
      <c r="Y28" s="2998"/>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2998"/>
      <c r="Q29" s="1896"/>
      <c r="R29" s="752"/>
      <c r="S29" s="753"/>
      <c r="T29" s="752"/>
      <c r="U29" s="753"/>
      <c r="V29" s="752"/>
      <c r="W29" s="753"/>
      <c r="X29" s="1897"/>
      <c r="Y29" s="2998"/>
      <c r="Z29" s="1899"/>
      <c r="AA29" s="1900">
        <v>1</v>
      </c>
      <c r="AB29" s="1900">
        <v>1</v>
      </c>
      <c r="AC29" s="1900">
        <v>1</v>
      </c>
    </row>
    <row r="30" spans="1:29" ht="15">
      <c r="A30" s="408"/>
      <c r="B30" s="637" t="s">
        <v>2544</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98"/>
      <c r="Q30" s="1896" t="str">
        <f t="shared" si="8"/>
        <v>土地级别</v>
      </c>
      <c r="R30" s="752" t="s">
        <v>25</v>
      </c>
      <c r="S30" s="753">
        <f t="shared" si="10"/>
        <v>100</v>
      </c>
      <c r="T30" s="752" t="s">
        <v>25</v>
      </c>
      <c r="U30" s="753">
        <f t="shared" si="11"/>
        <v>100</v>
      </c>
      <c r="V30" s="752" t="s">
        <v>25</v>
      </c>
      <c r="W30" s="753">
        <f t="shared" si="12"/>
        <v>100</v>
      </c>
      <c r="X30" s="1897"/>
      <c r="Y30" s="2998"/>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98"/>
      <c r="Q31" s="1896">
        <f t="shared" si="8"/>
        <v>111</v>
      </c>
      <c r="R31" s="752" t="s">
        <v>25</v>
      </c>
      <c r="S31" s="753">
        <f t="shared" si="10"/>
        <v>100</v>
      </c>
      <c r="T31" s="752" t="s">
        <v>25</v>
      </c>
      <c r="U31" s="753">
        <f t="shared" si="11"/>
        <v>100</v>
      </c>
      <c r="V31" s="752" t="s">
        <v>25</v>
      </c>
      <c r="W31" s="753">
        <f t="shared" si="12"/>
        <v>100</v>
      </c>
      <c r="X31" s="1897"/>
      <c r="Y31" s="2998"/>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63" t="s">
        <v>2365</v>
      </c>
      <c r="Q32" s="1896">
        <f t="shared" si="8"/>
        <v>111</v>
      </c>
      <c r="R32" s="752" t="s">
        <v>25</v>
      </c>
      <c r="S32" s="753">
        <f t="shared" si="10"/>
        <v>100</v>
      </c>
      <c r="T32" s="752" t="s">
        <v>25</v>
      </c>
      <c r="U32" s="753">
        <f t="shared" si="11"/>
        <v>100</v>
      </c>
      <c r="V32" s="752" t="s">
        <v>25</v>
      </c>
      <c r="W32" s="753">
        <f t="shared" si="12"/>
        <v>100</v>
      </c>
      <c r="X32" s="1897"/>
      <c r="Y32" s="2984" t="s">
        <v>2365</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84"/>
      <c r="Q33" s="1896">
        <f t="shared" si="8"/>
        <v>111</v>
      </c>
      <c r="R33" s="755" t="s">
        <v>25</v>
      </c>
      <c r="S33" s="756">
        <f t="shared" si="10"/>
        <v>100</v>
      </c>
      <c r="T33" s="755" t="s">
        <v>25</v>
      </c>
      <c r="U33" s="756">
        <f t="shared" si="11"/>
        <v>100</v>
      </c>
      <c r="V33" s="755" t="s">
        <v>25</v>
      </c>
      <c r="W33" s="756">
        <f t="shared" si="12"/>
        <v>100</v>
      </c>
      <c r="X33" s="757"/>
      <c r="Y33" s="2984"/>
      <c r="Z33" s="758">
        <f t="shared" si="13"/>
        <v>111</v>
      </c>
      <c r="AA33" s="1900">
        <f t="shared" si="3"/>
        <v>1</v>
      </c>
      <c r="AB33" s="1900">
        <f t="shared" si="4"/>
        <v>1</v>
      </c>
      <c r="AC33" s="1900">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84"/>
      <c r="Q34" s="1896" t="str">
        <f>B34</f>
        <v>宗地面积</v>
      </c>
      <c r="R34" s="752" t="s">
        <v>25</v>
      </c>
      <c r="S34" s="753" t="e">
        <f t="shared" si="10"/>
        <v>#N/A</v>
      </c>
      <c r="T34" s="752" t="s">
        <v>25</v>
      </c>
      <c r="U34" s="753" t="e">
        <f t="shared" si="11"/>
        <v>#N/A</v>
      </c>
      <c r="V34" s="752" t="s">
        <v>25</v>
      </c>
      <c r="W34" s="753" t="e">
        <f t="shared" si="12"/>
        <v>#N/A</v>
      </c>
      <c r="X34" s="1897"/>
      <c r="Y34" s="2984"/>
      <c r="Z34" s="1899" t="str">
        <f t="shared" si="13"/>
        <v>宗地面积</v>
      </c>
      <c r="AA34" s="1900" t="e">
        <f t="shared" si="3"/>
        <v>#N/A</v>
      </c>
      <c r="AB34" s="1900" t="e">
        <f t="shared" si="4"/>
        <v>#N/A</v>
      </c>
      <c r="AC34" s="1900" t="e">
        <f t="shared" si="5"/>
        <v>#N/A</v>
      </c>
    </row>
    <row r="35" spans="1:29" ht="15">
      <c r="A35" s="453"/>
      <c r="B35" s="402" t="s">
        <v>2546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2984"/>
      <c r="Q35" s="1896" t="str">
        <f t="shared" ref="Q35:Q40" si="14">B35</f>
        <v>宗地形状</v>
      </c>
      <c r="R35" s="752" t="s">
        <v>25</v>
      </c>
      <c r="S35" s="753">
        <f t="shared" si="10"/>
        <v>100</v>
      </c>
      <c r="T35" s="752" t="s">
        <v>25</v>
      </c>
      <c r="U35" s="753">
        <f t="shared" si="11"/>
        <v>100</v>
      </c>
      <c r="V35" s="752" t="s">
        <v>25</v>
      </c>
      <c r="W35" s="753">
        <f t="shared" si="12"/>
        <v>100</v>
      </c>
      <c r="X35" s="1897"/>
      <c r="Y35" s="2984"/>
      <c r="Z35" s="1899" t="str">
        <f t="shared" si="13"/>
        <v>宗地形状</v>
      </c>
      <c r="AA35" s="1900">
        <f t="shared" si="3"/>
        <v>1</v>
      </c>
      <c r="AB35" s="1900">
        <f t="shared" si="4"/>
        <v>1</v>
      </c>
      <c r="AC35" s="1900">
        <f t="shared" si="5"/>
        <v>1</v>
      </c>
    </row>
    <row r="36" spans="1:29" s="35" customFormat="1" ht="15">
      <c r="A36" s="454"/>
      <c r="B36" s="402" t="s">
        <v>2548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2984"/>
      <c r="Q36" s="1896" t="str">
        <f t="shared" si="14"/>
        <v>宗地开发程度</v>
      </c>
      <c r="R36" s="748" t="s">
        <v>25</v>
      </c>
      <c r="S36" s="749">
        <f t="shared" si="10"/>
        <v>100</v>
      </c>
      <c r="T36" s="748" t="s">
        <v>25</v>
      </c>
      <c r="U36" s="749">
        <f t="shared" si="11"/>
        <v>100</v>
      </c>
      <c r="V36" s="748" t="s">
        <v>25</v>
      </c>
      <c r="W36" s="749">
        <f t="shared" si="12"/>
        <v>100</v>
      </c>
      <c r="X36" s="750"/>
      <c r="Y36" s="2984"/>
      <c r="Z36" s="23" t="str">
        <f t="shared" si="13"/>
        <v>宗地开发程度</v>
      </c>
      <c r="AA36" s="751">
        <f t="shared" si="3"/>
        <v>1</v>
      </c>
      <c r="AB36" s="751">
        <f t="shared" si="4"/>
        <v>1</v>
      </c>
      <c r="AC36" s="751">
        <f t="shared" si="5"/>
        <v>1</v>
      </c>
    </row>
    <row r="37" spans="1:29" ht="15">
      <c r="A37" s="453"/>
      <c r="B37" s="402" t="s">
        <v>2549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2984" t="s">
        <v>2365</v>
      </c>
      <c r="Q37" s="1896" t="str">
        <f t="shared" si="14"/>
        <v>工程地质条件</v>
      </c>
      <c r="R37" s="752" t="s">
        <v>25</v>
      </c>
      <c r="S37" s="753">
        <f t="shared" si="10"/>
        <v>100</v>
      </c>
      <c r="T37" s="752" t="s">
        <v>25</v>
      </c>
      <c r="U37" s="753">
        <f t="shared" si="11"/>
        <v>100</v>
      </c>
      <c r="V37" s="752" t="s">
        <v>25</v>
      </c>
      <c r="W37" s="753">
        <f t="shared" si="12"/>
        <v>100</v>
      </c>
      <c r="X37" s="1897"/>
      <c r="Y37" s="2984" t="s">
        <v>2365</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84"/>
      <c r="Q38" s="1896">
        <f t="shared" si="14"/>
        <v>111</v>
      </c>
      <c r="R38" s="752" t="s">
        <v>25</v>
      </c>
      <c r="S38" s="753">
        <f t="shared" si="10"/>
        <v>100</v>
      </c>
      <c r="T38" s="752" t="s">
        <v>25</v>
      </c>
      <c r="U38" s="753">
        <f t="shared" si="11"/>
        <v>100</v>
      </c>
      <c r="V38" s="752" t="s">
        <v>25</v>
      </c>
      <c r="W38" s="753">
        <f t="shared" si="12"/>
        <v>100</v>
      </c>
      <c r="X38" s="1897"/>
      <c r="Y38" s="2984"/>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84"/>
      <c r="Q39" s="1896">
        <f t="shared" si="14"/>
        <v>111</v>
      </c>
      <c r="R39" s="752" t="s">
        <v>25</v>
      </c>
      <c r="S39" s="753">
        <f t="shared" si="10"/>
        <v>100</v>
      </c>
      <c r="T39" s="752" t="s">
        <v>25</v>
      </c>
      <c r="U39" s="753">
        <f t="shared" si="11"/>
        <v>100</v>
      </c>
      <c r="V39" s="752" t="s">
        <v>25</v>
      </c>
      <c r="W39" s="753">
        <f t="shared" si="12"/>
        <v>100</v>
      </c>
      <c r="X39" s="1897"/>
      <c r="Y39" s="2984"/>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84"/>
      <c r="Q40" s="1896">
        <f t="shared" si="14"/>
        <v>111</v>
      </c>
      <c r="R40" s="755" t="s">
        <v>25</v>
      </c>
      <c r="S40" s="756">
        <f t="shared" si="10"/>
        <v>100</v>
      </c>
      <c r="T40" s="755" t="s">
        <v>25</v>
      </c>
      <c r="U40" s="756">
        <f t="shared" si="11"/>
        <v>100</v>
      </c>
      <c r="V40" s="755" t="s">
        <v>25</v>
      </c>
      <c r="W40" s="756">
        <f t="shared" si="12"/>
        <v>100</v>
      </c>
      <c r="X40" s="757"/>
      <c r="Y40" s="2984"/>
      <c r="Z40" s="758">
        <f t="shared" si="13"/>
        <v>111</v>
      </c>
      <c r="AA40" s="1900">
        <f t="shared" si="3"/>
        <v>1</v>
      </c>
      <c r="AB40" s="1900">
        <f t="shared" si="4"/>
        <v>1</v>
      </c>
      <c r="AC40" s="1900">
        <f t="shared" si="5"/>
        <v>1</v>
      </c>
    </row>
    <row r="41" spans="1:29" ht="15">
      <c r="A41" s="460" t="s">
        <v>2513</v>
      </c>
      <c r="B41" s="2491" t="s">
        <v>2588</v>
      </c>
      <c r="C41" s="665" t="s">
        <v>1</v>
      </c>
      <c r="D41" s="462"/>
      <c r="E41" s="463"/>
      <c r="F41" s="464"/>
      <c r="G41" s="465"/>
      <c r="H41" s="466"/>
      <c r="I41" s="463"/>
      <c r="J41" s="466"/>
      <c r="K41" s="761"/>
      <c r="L41" s="1254"/>
      <c r="M41" s="1242"/>
      <c r="N41" s="1242"/>
      <c r="O41" s="1255"/>
      <c r="P41" s="2976" t="str">
        <f>A41</f>
        <v>成交单价</v>
      </c>
      <c r="Q41" s="2976"/>
      <c r="R41" s="3012">
        <f>E41</f>
        <v>0</v>
      </c>
      <c r="S41" s="3012"/>
      <c r="T41" s="3012">
        <f>G41</f>
        <v>0</v>
      </c>
      <c r="U41" s="3012"/>
      <c r="V41" s="3012">
        <f>I41</f>
        <v>0</v>
      </c>
      <c r="W41" s="3012"/>
      <c r="X41" s="737"/>
      <c r="Y41" s="759"/>
      <c r="Z41" s="737"/>
      <c r="AA41" s="737"/>
      <c r="AB41" s="737"/>
      <c r="AC41" s="737"/>
    </row>
    <row r="42" spans="1:29" ht="15.75" thickBot="1">
      <c r="A42" s="467" t="s">
        <v>2460</v>
      </c>
      <c r="B42" s="666"/>
      <c r="C42" s="471" t="e">
        <f>R43</f>
        <v>#DIV/0!</v>
      </c>
      <c r="D42" s="470"/>
      <c r="E42" s="471" t="e">
        <f>R42</f>
        <v>#DIV/0!</v>
      </c>
      <c r="F42" s="472"/>
      <c r="G42" s="469" t="e">
        <f>T42</f>
        <v>#DIV/0!</v>
      </c>
      <c r="H42" s="470"/>
      <c r="I42" s="471" t="e">
        <f>V42</f>
        <v>#DIV/0!</v>
      </c>
      <c r="J42" s="470"/>
      <c r="K42" s="762"/>
      <c r="L42" s="1254"/>
      <c r="M42" s="1242"/>
      <c r="N42" s="1242"/>
      <c r="O42" s="1255"/>
      <c r="P42" s="2976" t="str">
        <f>A42</f>
        <v>比较价值（元/平方米）</v>
      </c>
      <c r="Q42" s="2976"/>
      <c r="R42" s="3064" t="e">
        <f>ROUND(PRODUCT(R41,AA7:AA40),0)</f>
        <v>#DIV/0!</v>
      </c>
      <c r="S42" s="3064"/>
      <c r="T42" s="3064" t="e">
        <f>ROUND(PRODUCT(T41,AB7:AB40),0)</f>
        <v>#DIV/0!</v>
      </c>
      <c r="U42" s="3064"/>
      <c r="V42" s="3064" t="e">
        <f>ROUND(PRODUCT(V41,AC7:AC40),0)</f>
        <v>#DIV/0!</v>
      </c>
      <c r="W42" s="3064"/>
      <c r="X42" s="737"/>
      <c r="Y42" s="737"/>
      <c r="Z42" s="737"/>
      <c r="AA42" s="737"/>
      <c r="AB42" s="737"/>
      <c r="AC42" s="737"/>
    </row>
    <row r="43" spans="1:29" ht="15.75" thickBot="1">
      <c r="A43" s="473" t="s">
        <v>2483</v>
      </c>
      <c r="B43" s="474"/>
      <c r="C43" s="475" t="e">
        <f>R43</f>
        <v>#DIV/0!</v>
      </c>
      <c r="D43" s="475"/>
      <c r="E43" s="475"/>
      <c r="F43" s="475"/>
      <c r="G43" s="475"/>
      <c r="H43" s="475"/>
      <c r="I43" s="475"/>
      <c r="J43" s="475"/>
      <c r="K43" s="763"/>
      <c r="L43" s="1254"/>
      <c r="M43" s="1242"/>
      <c r="N43" s="1242"/>
      <c r="O43" s="1255"/>
      <c r="P43" s="2978" t="str">
        <f>A43</f>
        <v>估价对象XX用房的比较价值（楼面单价，元/平方米）</v>
      </c>
      <c r="Q43" s="2979"/>
      <c r="R43" s="3065" t="e">
        <f>ROUND(AVERAGE(R42:V42),0)</f>
        <v>#DIV/0!</v>
      </c>
      <c r="S43" s="3065"/>
      <c r="T43" s="3065"/>
      <c r="U43" s="3065"/>
      <c r="V43" s="3065"/>
      <c r="W43" s="3065"/>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92" t="s">
        <v>2553</v>
      </c>
      <c r="D50" s="2493" t="s">
        <v>2554</v>
      </c>
      <c r="E50" s="669" t="s">
        <v>2555</v>
      </c>
      <c r="F50" s="670" t="s">
        <v>2556</v>
      </c>
      <c r="G50" s="1899" t="s">
        <v>2589</v>
      </c>
      <c r="H50" s="1899">
        <f>项目基本情况!G8</f>
        <v>0</v>
      </c>
      <c r="I50" s="1846"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1">
        <v>1</v>
      </c>
      <c r="H51" s="971">
        <v>1</v>
      </c>
      <c r="I51" s="1257"/>
      <c r="J51" s="1260"/>
      <c r="K51" s="1256"/>
      <c r="L51" s="1256"/>
      <c r="M51" s="1255"/>
      <c r="N51" s="1255"/>
      <c r="O51" s="1255"/>
    </row>
    <row r="52" spans="1:17" s="675" customFormat="1">
      <c r="A52" s="676" t="s">
        <v>2560</v>
      </c>
      <c r="B52" s="178" t="e">
        <f>ROUND($C$43*C52*D52,0)</f>
        <v>#DIV/0!</v>
      </c>
      <c r="C52" s="117">
        <f>IF($C$50="北京市系数",G52,H52)</f>
        <v>0</v>
      </c>
      <c r="D52" s="1290">
        <v>0.25</v>
      </c>
      <c r="E52" s="677">
        <v>0</v>
      </c>
      <c r="F52" s="674" t="e">
        <f t="shared" si="15"/>
        <v>#DIV/0!</v>
      </c>
      <c r="G52" s="971">
        <f>SUMIF(修正!$A$45:$A$56,项目基本情况!$F$9,修正!B45:B56)</f>
        <v>0</v>
      </c>
      <c r="H52" s="972"/>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v>
      </c>
      <c r="D53" s="1290">
        <v>0.25</v>
      </c>
      <c r="E53" s="677">
        <v>0</v>
      </c>
      <c r="F53" s="674" t="e">
        <f t="shared" si="15"/>
        <v>#DIV/0!</v>
      </c>
      <c r="G53" s="971">
        <f>SUMIF(修正!$A$45:$A$56,项目基本情况!$F$9,修正!C45:C56)</f>
        <v>0</v>
      </c>
      <c r="H53" s="972"/>
      <c r="I53" s="1257"/>
      <c r="J53" s="1260"/>
      <c r="K53" s="1256"/>
      <c r="L53" s="1256"/>
      <c r="M53" s="1255"/>
      <c r="N53" s="1255"/>
      <c r="O53" s="1255"/>
    </row>
    <row r="54" spans="1:17" s="675" customFormat="1">
      <c r="A54" s="676" t="s">
        <v>2562</v>
      </c>
      <c r="B54" s="178" t="e">
        <f t="shared" si="16"/>
        <v>#DIV/0!</v>
      </c>
      <c r="C54" s="117">
        <f t="shared" si="17"/>
        <v>0</v>
      </c>
      <c r="D54" s="1290">
        <v>0.25</v>
      </c>
      <c r="E54" s="677">
        <v>0</v>
      </c>
      <c r="F54" s="674" t="e">
        <f t="shared" si="15"/>
        <v>#DIV/0!</v>
      </c>
      <c r="G54" s="971">
        <f>SUMIF(修正!$A$45:$A$56,项目基本情况!$F$9,修正!D45:D56)</f>
        <v>0</v>
      </c>
      <c r="H54" s="972"/>
      <c r="I54" s="1255"/>
      <c r="J54" s="1260"/>
      <c r="K54" s="1256"/>
      <c r="L54" s="1256"/>
      <c r="M54" s="1255"/>
      <c r="N54" s="1255"/>
      <c r="O54" s="1255"/>
    </row>
    <row r="55" spans="1:17" s="675" customFormat="1">
      <c r="A55" s="676" t="s">
        <v>2563</v>
      </c>
      <c r="B55" s="178" t="e">
        <f t="shared" si="16"/>
        <v>#DIV/0!</v>
      </c>
      <c r="C55" s="117">
        <f t="shared" si="17"/>
        <v>0</v>
      </c>
      <c r="D55" s="1290">
        <v>0.25</v>
      </c>
      <c r="E55" s="677">
        <v>0</v>
      </c>
      <c r="F55" s="674" t="e">
        <f t="shared" si="15"/>
        <v>#DIV/0!</v>
      </c>
      <c r="G55" s="971">
        <f>SUMIF(修正!$A$45:$A$56,项目基本情况!$F$9,修正!E45:E56)</f>
        <v>0</v>
      </c>
      <c r="H55" s="972"/>
      <c r="I55" s="1257"/>
      <c r="J55" s="1260"/>
      <c r="K55" s="1256"/>
      <c r="L55" s="1256"/>
      <c r="M55" s="1255"/>
      <c r="N55" s="1255"/>
      <c r="O55" s="1255"/>
    </row>
    <row r="56" spans="1:17" s="675" customFormat="1">
      <c r="A56" s="676" t="s">
        <v>2564</v>
      </c>
      <c r="B56" s="178" t="e">
        <f t="shared" si="16"/>
        <v>#DIV/0!</v>
      </c>
      <c r="C56" s="117">
        <f t="shared" si="17"/>
        <v>0</v>
      </c>
      <c r="D56" s="1290">
        <v>0.25</v>
      </c>
      <c r="E56" s="677">
        <v>0</v>
      </c>
      <c r="F56" s="674" t="e">
        <f t="shared" si="15"/>
        <v>#DIV/0!</v>
      </c>
      <c r="G56" s="971">
        <f>SUMIF(修正!A40:A51,项目基本情况!F9,修正!F45:F56)</f>
        <v>0</v>
      </c>
      <c r="H56" s="972"/>
      <c r="I56" s="1255"/>
      <c r="J56" s="1260"/>
      <c r="K56" s="1256"/>
      <c r="L56" s="1256"/>
      <c r="M56" s="1255"/>
      <c r="N56" s="1255"/>
      <c r="O56" s="1255"/>
    </row>
    <row r="57" spans="1:17" s="675" customFormat="1">
      <c r="A57" s="676" t="s">
        <v>2565</v>
      </c>
      <c r="B57" s="178" t="e">
        <f t="shared" si="16"/>
        <v>#DIV/0!</v>
      </c>
      <c r="C57" s="117">
        <f t="shared" si="17"/>
        <v>0</v>
      </c>
      <c r="D57" s="1290">
        <v>0.25</v>
      </c>
      <c r="E57" s="677">
        <v>0</v>
      </c>
      <c r="F57" s="674" t="e">
        <f t="shared" si="15"/>
        <v>#DIV/0!</v>
      </c>
      <c r="G57" s="971">
        <f>SUMIF(修正!A40:A51,项目基本情况!F9,修正!G45:G56)</f>
        <v>0</v>
      </c>
      <c r="H57" s="972"/>
      <c r="I57" s="1257"/>
      <c r="J57" s="1260"/>
      <c r="K57" s="1256"/>
      <c r="L57" s="1256"/>
      <c r="M57" s="1255"/>
      <c r="N57" s="1255"/>
      <c r="O57" s="1255"/>
    </row>
    <row r="58" spans="1:17" s="675" customFormat="1">
      <c r="A58" s="676" t="s">
        <v>2566</v>
      </c>
      <c r="B58" s="178" t="e">
        <f t="shared" si="16"/>
        <v>#DIV/0!</v>
      </c>
      <c r="C58" s="117">
        <f t="shared" si="17"/>
        <v>0</v>
      </c>
      <c r="D58" s="1290">
        <v>0.25</v>
      </c>
      <c r="E58" s="677">
        <v>0</v>
      </c>
      <c r="F58" s="674" t="e">
        <f t="shared" si="15"/>
        <v>#DIV/0!</v>
      </c>
      <c r="G58" s="971">
        <f>SUMIF(修正!A40:A51,项目基本情况!F9,修正!H45:H56)</f>
        <v>0</v>
      </c>
      <c r="H58" s="972"/>
      <c r="I58" s="1255"/>
      <c r="J58" s="1260"/>
      <c r="K58" s="1256"/>
      <c r="L58" s="1256"/>
      <c r="M58" s="1255"/>
      <c r="N58" s="1255"/>
      <c r="O58" s="1255"/>
    </row>
    <row r="59" spans="1:17" s="675" customFormat="1">
      <c r="A59" s="676" t="s">
        <v>2567</v>
      </c>
      <c r="B59" s="178" t="e">
        <f t="shared" si="16"/>
        <v>#DIV/0!</v>
      </c>
      <c r="C59" s="117">
        <f t="shared" si="17"/>
        <v>0</v>
      </c>
      <c r="D59" s="1290">
        <v>0.25</v>
      </c>
      <c r="E59" s="677">
        <v>0</v>
      </c>
      <c r="F59" s="674" t="e">
        <f t="shared" si="15"/>
        <v>#DIV/0!</v>
      </c>
      <c r="G59" s="971">
        <f>G58</f>
        <v>0</v>
      </c>
      <c r="H59" s="972"/>
      <c r="I59" s="1257"/>
      <c r="J59" s="1260"/>
      <c r="K59" s="1256"/>
      <c r="L59" s="1256"/>
      <c r="M59" s="1255"/>
      <c r="N59" s="1255"/>
      <c r="O59" s="1255"/>
    </row>
    <row r="60" spans="1:17" s="675" customFormat="1">
      <c r="A60" s="676" t="s">
        <v>2568</v>
      </c>
      <c r="B60" s="178" t="e">
        <f t="shared" si="16"/>
        <v>#DIV/0!</v>
      </c>
      <c r="C60" s="117">
        <f t="shared" si="17"/>
        <v>0</v>
      </c>
      <c r="D60" s="1290">
        <v>0.25</v>
      </c>
      <c r="E60" s="677">
        <v>0</v>
      </c>
      <c r="F60" s="674" t="e">
        <f t="shared" si="15"/>
        <v>#DIV/0!</v>
      </c>
      <c r="G60" s="971">
        <f>G58</f>
        <v>0</v>
      </c>
      <c r="H60" s="972"/>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2018-6-1</v>
      </c>
      <c r="D63" s="1667">
        <f>EDATE(C63,-3)</f>
        <v>43160</v>
      </c>
      <c r="E63" s="1667">
        <f t="shared" ref="E63:O63" si="18">EDATE(D63,-3)</f>
        <v>43070</v>
      </c>
      <c r="F63" s="1667">
        <f t="shared" si="18"/>
        <v>42979</v>
      </c>
      <c r="G63" s="1667">
        <f t="shared" si="18"/>
        <v>42887</v>
      </c>
      <c r="H63" s="1667">
        <f t="shared" si="18"/>
        <v>42795</v>
      </c>
      <c r="I63" s="1667">
        <f t="shared" si="18"/>
        <v>42705</v>
      </c>
      <c r="J63" s="1667">
        <f t="shared" si="18"/>
        <v>42614</v>
      </c>
      <c r="K63" s="1667">
        <f t="shared" si="18"/>
        <v>42522</v>
      </c>
      <c r="L63" s="1667">
        <f t="shared" si="18"/>
        <v>42430</v>
      </c>
      <c r="M63" s="1667">
        <f t="shared" si="18"/>
        <v>42339</v>
      </c>
      <c r="N63" s="1667">
        <f t="shared" si="18"/>
        <v>42248</v>
      </c>
      <c r="O63" s="1667">
        <f t="shared" si="18"/>
        <v>42156</v>
      </c>
    </row>
    <row r="64" spans="1:17" ht="21.75" thickBot="1">
      <c r="A64" s="741" t="s">
        <v>2465</v>
      </c>
      <c r="B64" s="737"/>
      <c r="C64" s="742"/>
      <c r="D64" s="742"/>
      <c r="E64" s="742"/>
      <c r="F64" s="743"/>
      <c r="G64" s="743"/>
      <c r="H64" s="742"/>
      <c r="I64" s="1271"/>
      <c r="J64" s="1271"/>
      <c r="K64" s="1269"/>
      <c r="L64" s="1270"/>
      <c r="M64" s="1271"/>
      <c r="N64" s="1271"/>
      <c r="O64" s="1271"/>
      <c r="P64" s="484"/>
      <c r="Q64" s="485"/>
    </row>
    <row r="65" spans="1:17" s="489" customFormat="1" ht="15">
      <c r="A65" s="2495" t="s">
        <v>2570</v>
      </c>
      <c r="B65" s="1453"/>
      <c r="C65" s="1668" t="str">
        <f>YEAR(C63)&amp;"-"&amp;ROUNDUP(MONTH(C63)/3,0)</f>
        <v>2018-2</v>
      </c>
      <c r="D65" s="1668" t="str">
        <f t="shared" ref="D65:O65" si="19">YEAR(D63)&amp;"-"&amp;ROUNDUP(MONTH(D63)/3,0)</f>
        <v>2018-1</v>
      </c>
      <c r="E65" s="1668" t="str">
        <f t="shared" si="19"/>
        <v>2017-4</v>
      </c>
      <c r="F65" s="1668" t="str">
        <f t="shared" si="19"/>
        <v>2017-3</v>
      </c>
      <c r="G65" s="1668" t="str">
        <f t="shared" si="19"/>
        <v>2017-2</v>
      </c>
      <c r="H65" s="1668" t="str">
        <f t="shared" si="19"/>
        <v>2017-1</v>
      </c>
      <c r="I65" s="1668" t="str">
        <f t="shared" si="19"/>
        <v>2016-4</v>
      </c>
      <c r="J65" s="1668" t="str">
        <f t="shared" si="19"/>
        <v>2016-3</v>
      </c>
      <c r="K65" s="1668" t="str">
        <f t="shared" si="19"/>
        <v>2016-2</v>
      </c>
      <c r="L65" s="1668" t="str">
        <f t="shared" si="19"/>
        <v>2016-1</v>
      </c>
      <c r="M65" s="1668" t="str">
        <f t="shared" si="19"/>
        <v>2015-4</v>
      </c>
      <c r="N65" s="1668" t="str">
        <f t="shared" si="19"/>
        <v>2015-3</v>
      </c>
      <c r="O65" s="1668" t="str">
        <f t="shared" si="19"/>
        <v>2015-2</v>
      </c>
      <c r="P65" s="488"/>
    </row>
    <row r="66" spans="1:17" s="35" customFormat="1" ht="33.75" customHeight="1">
      <c r="A66" s="2501" t="s">
        <v>2590</v>
      </c>
      <c r="B66" s="284" t="str">
        <f>"北京市平均增长率"&amp;TEXT(基准地价修正!P24,"0.00%")</f>
        <v>北京市平均增长率1.35%</v>
      </c>
      <c r="C66" s="587">
        <v>100</v>
      </c>
      <c r="D66" s="579"/>
      <c r="E66" s="579"/>
      <c r="F66" s="579"/>
      <c r="G66" s="579"/>
      <c r="H66" s="579"/>
      <c r="I66" s="579"/>
      <c r="J66" s="579"/>
      <c r="K66" s="579"/>
      <c r="L66" s="579"/>
      <c r="M66" s="1666"/>
      <c r="N66" s="579"/>
      <c r="O66" s="1672"/>
      <c r="P66" s="485"/>
    </row>
    <row r="67" spans="1:17" s="35" customFormat="1" ht="15.75" thickBot="1">
      <c r="A67" s="496" t="s">
        <v>2385</v>
      </c>
      <c r="B67" s="497"/>
      <c r="C67" s="498"/>
      <c r="D67" s="499"/>
      <c r="E67" s="499"/>
      <c r="F67" s="499"/>
      <c r="G67" s="499"/>
      <c r="H67" s="499"/>
      <c r="I67" s="499"/>
      <c r="J67" s="499"/>
      <c r="K67" s="499"/>
      <c r="L67" s="499"/>
      <c r="M67" s="500"/>
      <c r="N67" s="499"/>
      <c r="O67" s="1673"/>
      <c r="P67" s="485"/>
      <c r="Q67" s="485"/>
    </row>
    <row r="68" spans="1:17" s="35" customFormat="1" ht="15">
      <c r="A68" s="502" t="s">
        <v>2349</v>
      </c>
      <c r="B68" s="491"/>
      <c r="C68" s="503" t="s">
        <v>2350</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2353</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2356</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估价对象为北京市房地产，为盛天所有。根据《不动产权证书》[]，估价对象建筑面积为450.38平方米，（分摊）出让国有建设用地使用权面积为481.4平方米。估价对象用途为。</v>
      </c>
      <c r="B6" s="1914"/>
      <c r="C6" s="1914"/>
      <c r="D6" s="1914"/>
      <c r="E6" s="1914"/>
      <c r="F6" s="1914"/>
      <c r="G6" s="1914"/>
    </row>
    <row r="7" spans="1:7" ht="18.75">
      <c r="A7" s="1915" t="s">
        <v>1269</v>
      </c>
    </row>
    <row r="8" spans="1:7" ht="36">
      <c r="A8" s="1917"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2018年6月4日（评估专业人员实地查勘之日）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c r="B13" s="1914"/>
      <c r="C13" s="1914"/>
      <c r="D13" s="1914"/>
      <c r="E13" s="1914"/>
      <c r="F13" s="1914"/>
      <c r="G13" s="1914"/>
    </row>
    <row r="14" spans="1:7" ht="36">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59"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2591</v>
      </c>
      <c r="B1" s="2503"/>
      <c r="C1" s="162" t="s">
        <v>2592</v>
      </c>
      <c r="D1" s="2504">
        <f>SUM(D29:D30,D33:D39)</f>
        <v>0</v>
      </c>
      <c r="E1" s="2504"/>
      <c r="F1" s="2504"/>
      <c r="G1" s="2504"/>
      <c r="H1" s="2504"/>
      <c r="I1" s="2504"/>
      <c r="J1" s="2504"/>
      <c r="L1" s="2505" t="s">
        <v>2593</v>
      </c>
      <c r="M1" s="1117">
        <f>SUMPRODUCT((区片价!B5:B9=I2)*(区片价!C3:F3=E2)*(区片价!C5:F9))</f>
        <v>0</v>
      </c>
      <c r="N1" s="1120">
        <f>SUMPRODUCT((因素修正幅度!B5:B9=I2)*(因素修正幅度!C3:F3=E2)*(因素修正幅度!C5:F9))</f>
        <v>0</v>
      </c>
      <c r="O1" s="1459"/>
      <c r="P1" s="1459"/>
      <c r="Q1" s="1459"/>
      <c r="R1" s="1706" t="s">
        <v>2594</v>
      </c>
      <c r="S1" s="1706" t="s">
        <v>2595</v>
      </c>
      <c r="T1" s="1706" t="s">
        <v>2596</v>
      </c>
      <c r="U1" s="1706" t="s">
        <v>2597</v>
      </c>
      <c r="V1" s="1706" t="s">
        <v>2598</v>
      </c>
      <c r="W1" s="1710"/>
      <c r="X1" s="1710"/>
      <c r="Y1" s="1710"/>
      <c r="Z1" s="1710"/>
      <c r="AA1" s="1710"/>
      <c r="AB1" s="1710"/>
      <c r="AC1" s="1711"/>
      <c r="AD1" s="1712"/>
      <c r="AE1" s="1712"/>
      <c r="AF1" s="1712"/>
      <c r="AG1" s="1712"/>
      <c r="AH1" s="1712"/>
      <c r="AI1" s="1712"/>
      <c r="AJ1" s="1713"/>
    </row>
    <row r="2" spans="1:36" ht="24.75">
      <c r="A2" s="165" t="s">
        <v>2599</v>
      </c>
      <c r="B2" s="168" t="e">
        <f>C26</f>
        <v>#DIV/0!</v>
      </c>
      <c r="C2" s="2507" t="s">
        <v>2600</v>
      </c>
      <c r="D2" s="2508" t="s">
        <v>2601</v>
      </c>
      <c r="E2" s="2509"/>
      <c r="F2" s="2508" t="s">
        <v>2602</v>
      </c>
      <c r="G2" s="2510">
        <f>项目基本情况!F9</f>
        <v>0</v>
      </c>
      <c r="H2" s="2511" t="s">
        <v>2603</v>
      </c>
      <c r="I2" s="2510">
        <f>项目基本情况!F10</f>
        <v>0</v>
      </c>
      <c r="J2" s="2512"/>
      <c r="L2" s="2513" t="s">
        <v>2604</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2605</v>
      </c>
      <c r="B3" s="168" t="e">
        <f>ROUND(B2/D1,0)</f>
        <v>#DIV/0!</v>
      </c>
      <c r="C3" s="2507" t="s">
        <v>2606</v>
      </c>
      <c r="D3" s="2508" t="s">
        <v>2607</v>
      </c>
      <c r="E3" s="2514"/>
      <c r="F3" s="2515" t="s">
        <v>2608</v>
      </c>
      <c r="G3" s="940">
        <f>项目基本情况!C15</f>
        <v>0</v>
      </c>
      <c r="H3" s="115" t="s">
        <v>2609</v>
      </c>
      <c r="I3" s="973">
        <v>7</v>
      </c>
      <c r="J3" s="2512" t="s">
        <v>2610</v>
      </c>
      <c r="L3" s="2513" t="s">
        <v>2611</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69"/>
      <c r="B4" s="3070"/>
      <c r="C4" s="3070"/>
      <c r="D4" s="3071"/>
      <c r="E4" s="3071"/>
      <c r="F4" s="3071"/>
      <c r="G4" s="3071"/>
      <c r="H4" s="3071"/>
      <c r="I4" s="3071"/>
      <c r="J4" s="3072"/>
      <c r="L4" s="2513" t="s">
        <v>2612</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5" customFormat="1" ht="15.75" thickBot="1">
      <c r="A5" s="2516" t="s">
        <v>2613</v>
      </c>
      <c r="B5" s="2517" t="s">
        <v>2614</v>
      </c>
      <c r="C5" s="941" t="e">
        <f>ROUND(IF(E2="商业",IF(F16="增加",C6*C7+C16,C6*C7-C16),IF(E2="住宅",IF(F16="增加",C6*C12+C16,C6*C12-C16),IF(F16="增加",C6+C16,C6-C16))),0)</f>
        <v>#DIV/0!</v>
      </c>
      <c r="D5" s="1874">
        <f>ROUND(IF(E2="商业",IF(F16="增加",C6+C16,C6-C16)),0)</f>
        <v>0</v>
      </c>
      <c r="E5" s="2518"/>
      <c r="F5" s="2518"/>
      <c r="G5" s="2519"/>
      <c r="H5" s="2519"/>
      <c r="I5" s="2519"/>
      <c r="J5" s="2520"/>
      <c r="K5" s="2521"/>
      <c r="L5" s="2513" t="s">
        <v>2615</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2"/>
      <c r="AD5" s="2523"/>
      <c r="AE5" s="2523"/>
      <c r="AF5" s="2523"/>
      <c r="AG5" s="2523"/>
      <c r="AH5" s="2523"/>
      <c r="AI5" s="2523"/>
      <c r="AJ5" s="2524"/>
    </row>
    <row r="6" spans="1:36" ht="15.75" thickBot="1">
      <c r="A6" s="2526">
        <v>1</v>
      </c>
      <c r="B6" s="2527" t="s">
        <v>2616</v>
      </c>
      <c r="C6" s="942">
        <f>SUMIF(L1:L12,G2,M1:M12)</f>
        <v>0</v>
      </c>
      <c r="D6" s="2528" t="s">
        <v>2617</v>
      </c>
      <c r="E6" s="2529"/>
      <c r="F6" s="2529"/>
      <c r="G6" s="2530"/>
      <c r="H6" s="2530"/>
      <c r="I6" s="2530"/>
      <c r="J6" s="2531"/>
      <c r="K6" s="2532"/>
      <c r="L6" s="2513" t="s">
        <v>2618</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2"/>
      <c r="AD6" s="2523"/>
      <c r="AE6" s="2523"/>
      <c r="AF6" s="2523"/>
      <c r="AG6" s="2523"/>
      <c r="AH6" s="2523"/>
      <c r="AI6" s="2523"/>
      <c r="AJ6" s="2524"/>
    </row>
    <row r="7" spans="1:36" ht="24">
      <c r="A7" s="3073" t="str">
        <f>IF(E2="商业",IF(C8="不临58条商业街","",2),"")</f>
        <v/>
      </c>
      <c r="B7" s="2533" t="s">
        <v>2619</v>
      </c>
      <c r="C7" s="943" t="e">
        <f>IF(C8="不临58条商业街",1,ROUND(1+(1.6*E8+1.2*E9+0.8*E10+0.4*E11)*C9,4))</f>
        <v>#DIV/0!</v>
      </c>
      <c r="D7" s="2534" t="s">
        <v>2620</v>
      </c>
      <c r="E7" s="974"/>
      <c r="F7" s="2535"/>
      <c r="G7" s="2536"/>
      <c r="H7" s="2536"/>
      <c r="I7" s="2536"/>
      <c r="J7" s="2537"/>
      <c r="K7" s="2532"/>
      <c r="L7" s="2513" t="s">
        <v>2621</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2622</v>
      </c>
      <c r="X7" s="1708">
        <f>G2</f>
        <v>0</v>
      </c>
      <c r="Y7" s="1708" t="s">
        <v>2623</v>
      </c>
      <c r="Z7" s="1709">
        <f>G3</f>
        <v>0</v>
      </c>
      <c r="AA7" s="1710"/>
      <c r="AB7" s="1710"/>
      <c r="AC7" s="1711"/>
      <c r="AD7" s="1712"/>
      <c r="AE7" s="1712"/>
      <c r="AF7" s="1712"/>
      <c r="AG7" s="1712"/>
      <c r="AH7" s="1712"/>
      <c r="AI7" s="1712"/>
      <c r="AJ7" s="1713"/>
    </row>
    <row r="8" spans="1:36" ht="15">
      <c r="A8" s="3074"/>
      <c r="B8" s="115" t="s">
        <v>2624</v>
      </c>
      <c r="C8" s="2538"/>
      <c r="D8" s="944" t="s">
        <v>89</v>
      </c>
      <c r="E8" s="945" t="e">
        <f>ROUND(C11/E7,4)</f>
        <v>#DIV/0!</v>
      </c>
      <c r="F8" s="2539" t="s">
        <v>2625</v>
      </c>
      <c r="G8" s="2540"/>
      <c r="H8" s="2540"/>
      <c r="I8" s="2540"/>
      <c r="J8" s="2541"/>
      <c r="L8" s="2513" t="s">
        <v>2626</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66" t="s">
        <v>2627</v>
      </c>
      <c r="X8" s="3067"/>
      <c r="Y8" s="1714" t="s">
        <v>2628</v>
      </c>
      <c r="Z8" s="1714" t="s">
        <v>2629</v>
      </c>
      <c r="AA8" s="1714" t="s">
        <v>2630</v>
      </c>
      <c r="AB8" s="1714" t="s">
        <v>2631</v>
      </c>
      <c r="AC8" s="1714" t="s">
        <v>2632</v>
      </c>
      <c r="AD8" s="1714" t="s">
        <v>2633</v>
      </c>
      <c r="AE8" s="1714" t="s">
        <v>2634</v>
      </c>
      <c r="AF8" s="1714" t="s">
        <v>2635</v>
      </c>
      <c r="AG8" s="1714" t="s">
        <v>2636</v>
      </c>
      <c r="AH8" s="1714" t="s">
        <v>2637</v>
      </c>
      <c r="AI8" s="1714" t="s">
        <v>2638</v>
      </c>
      <c r="AJ8" s="1714" t="s">
        <v>2639</v>
      </c>
    </row>
    <row r="9" spans="1:36" ht="15">
      <c r="A9" s="3074"/>
      <c r="B9" s="115" t="s">
        <v>2640</v>
      </c>
      <c r="C9" s="946">
        <f>SUMIF(修正!C59:C119,C8,修正!E59:E119)</f>
        <v>0</v>
      </c>
      <c r="D9" s="117" t="s">
        <v>90</v>
      </c>
      <c r="E9" s="117" t="e">
        <f>ROUND(C11/E7,4)</f>
        <v>#DIV/0!</v>
      </c>
      <c r="F9" s="2539" t="s">
        <v>2641</v>
      </c>
      <c r="G9" s="2540"/>
      <c r="H9" s="2540"/>
      <c r="I9" s="2540"/>
      <c r="J9" s="2541"/>
      <c r="L9" s="2513" t="s">
        <v>2642</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68" t="s">
        <v>2643</v>
      </c>
      <c r="X9" s="1715" t="s">
        <v>2644</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4"/>
      <c r="B10" s="115" t="s">
        <v>2645</v>
      </c>
      <c r="C10" s="117">
        <f>SUMIF(修正!C59:C119,C8,修正!F59:F119)</f>
        <v>0</v>
      </c>
      <c r="D10" s="117" t="s">
        <v>91</v>
      </c>
      <c r="E10" s="117" t="e">
        <f>ROUND(C11/E7,4)</f>
        <v>#DIV/0!</v>
      </c>
      <c r="F10" s="2539" t="s">
        <v>2646</v>
      </c>
      <c r="G10" s="2540"/>
      <c r="H10" s="2540"/>
      <c r="I10" s="2540"/>
      <c r="J10" s="2541"/>
      <c r="L10" s="2513" t="s">
        <v>2647</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6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4"/>
      <c r="B11" s="2542" t="s">
        <v>2648</v>
      </c>
      <c r="C11" s="947">
        <f>C10/4</f>
        <v>0</v>
      </c>
      <c r="D11" s="947" t="s">
        <v>92</v>
      </c>
      <c r="E11" s="947" t="e">
        <f>ROUND(C11/E7,4)</f>
        <v>#DIV/0!</v>
      </c>
      <c r="F11" s="2543" t="s">
        <v>2649</v>
      </c>
      <c r="G11" s="2544"/>
      <c r="H11" s="2544"/>
      <c r="I11" s="2544"/>
      <c r="J11" s="2545"/>
      <c r="L11" s="2513" t="s">
        <v>2650</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68" t="s">
        <v>2651</v>
      </c>
      <c r="X11" s="1719" t="s">
        <v>2652</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3" t="str">
        <f>IF(E2="住宅",2,"")</f>
        <v/>
      </c>
      <c r="B12" s="2546" t="s">
        <v>2653</v>
      </c>
      <c r="C12" s="943">
        <f>ROUND(C15*D15*E15*F15*G15*H15*I15*J15,4)</f>
        <v>1.32</v>
      </c>
      <c r="D12" s="2547" t="s">
        <v>2654</v>
      </c>
      <c r="E12" s="2548"/>
      <c r="F12" s="2548"/>
      <c r="G12" s="2549"/>
      <c r="H12" s="2549"/>
      <c r="I12" s="2549"/>
      <c r="J12" s="2550"/>
      <c r="L12" s="2551" t="s">
        <v>2655</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68"/>
      <c r="X12" s="1721" t="s">
        <v>2656</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75"/>
      <c r="B13" s="2552" t="s">
        <v>2657</v>
      </c>
      <c r="C13" s="2553" t="s">
        <v>2658</v>
      </c>
      <c r="D13" s="2554" t="s">
        <v>2659</v>
      </c>
      <c r="E13" s="2554" t="s">
        <v>2660</v>
      </c>
      <c r="F13" s="20" t="s">
        <v>2661</v>
      </c>
      <c r="G13" s="2555" t="s">
        <v>2662</v>
      </c>
      <c r="H13" s="2555" t="s">
        <v>2662</v>
      </c>
      <c r="I13" s="2555" t="s">
        <v>2662</v>
      </c>
      <c r="J13" s="2556" t="s">
        <v>2662</v>
      </c>
      <c r="L13" s="1459"/>
      <c r="M13" s="1459"/>
      <c r="N13" s="1459"/>
      <c r="O13" s="1459"/>
      <c r="P13" s="1459"/>
      <c r="Q13" s="1459"/>
      <c r="R13" s="1706">
        <v>12</v>
      </c>
      <c r="S13" s="1707"/>
      <c r="T13" s="1706" t="e">
        <f t="shared" si="0"/>
        <v>#DIV/0!</v>
      </c>
      <c r="U13" s="1707"/>
      <c r="V13" s="1706" t="e">
        <f t="shared" si="1"/>
        <v>#DIV/0!</v>
      </c>
      <c r="W13" s="3068"/>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75"/>
      <c r="B14" s="2557"/>
      <c r="C14" s="2558" t="s">
        <v>2663</v>
      </c>
      <c r="D14" s="2559" t="s">
        <v>2664</v>
      </c>
      <c r="E14" s="2559" t="s">
        <v>2664</v>
      </c>
      <c r="F14" s="2560" t="s">
        <v>2665</v>
      </c>
      <c r="G14" s="2561" t="s">
        <v>2666</v>
      </c>
      <c r="H14" s="2562"/>
      <c r="I14" s="2563"/>
      <c r="J14" s="2564"/>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76"/>
      <c r="B15" s="2565" t="s">
        <v>2667</v>
      </c>
      <c r="C15" s="150">
        <f>IF(C14="有",1.1,1)</f>
        <v>1.1000000000000001</v>
      </c>
      <c r="D15" s="150">
        <f>IF(D14="有",1.1,1)</f>
        <v>1</v>
      </c>
      <c r="E15" s="150">
        <f>IF(E14="有",1.1,1)</f>
        <v>1</v>
      </c>
      <c r="F15" s="150">
        <f>IF(F14="500米范围内",1.2,IF(F14="500-1000米",1.1,1))</f>
        <v>1.2</v>
      </c>
      <c r="G15" s="975">
        <v>1</v>
      </c>
      <c r="H15" s="975">
        <v>1</v>
      </c>
      <c r="I15" s="975">
        <v>1</v>
      </c>
      <c r="J15" s="976">
        <v>1</v>
      </c>
      <c r="L15" s="2566" t="s">
        <v>2668</v>
      </c>
      <c r="M15" s="944" t="s">
        <v>2669</v>
      </c>
      <c r="N15" s="944" t="s">
        <v>2670</v>
      </c>
      <c r="O15" s="944" t="s">
        <v>2671</v>
      </c>
      <c r="P15" s="2567" t="s">
        <v>2672</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3" t="b">
        <f>IF(E2="办公",2,IF(E2="工业",2,IF(E2="住宅",3,IF(E2="商业",IF(C8="不临58条商业街",2,3)))))</f>
        <v>0</v>
      </c>
      <c r="B16" s="2533" t="s">
        <v>2673</v>
      </c>
      <c r="C16" s="1882" t="e">
        <f>ROUND(SUM(G17:J17)/C17,0)</f>
        <v>#DIV/0!</v>
      </c>
      <c r="D16" s="2568" t="s">
        <v>2674</v>
      </c>
      <c r="E16" s="2569"/>
      <c r="F16" s="2570"/>
      <c r="G16" s="2571"/>
      <c r="H16" s="2571"/>
      <c r="I16" s="2571"/>
      <c r="J16" s="2572"/>
      <c r="L16" s="1457" t="s">
        <v>2675</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4"/>
      <c r="B17" s="2573" t="s">
        <v>2676</v>
      </c>
      <c r="C17" s="948">
        <f>SUMPRODUCT((修正!A2:A5=E2)*(修正!B1:M1=G2)*(修正!B2:M5))</f>
        <v>0</v>
      </c>
      <c r="D17" s="2574" t="s">
        <v>2677</v>
      </c>
      <c r="E17" s="947" t="str">
        <f>IF(OR(G2="八级",G2="九级",G2="十级",G2="十一级",G2="十二级"),"五通一平","七通一平")</f>
        <v>七通一平</v>
      </c>
      <c r="F17" s="948" t="s">
        <v>2678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2679</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6"/>
      <c r="AH17" s="2506"/>
      <c r="AI17" s="2506"/>
      <c r="AJ17" s="2506"/>
    </row>
    <row r="18" spans="1:37" s="2525" customFormat="1" ht="15.75" thickBot="1">
      <c r="A18" s="2575" t="s">
        <v>2680</v>
      </c>
      <c r="B18" s="2576" t="s">
        <v>2681</v>
      </c>
      <c r="C18" s="950">
        <f>SUMIF(修正!C18:C39,E3,修正!E18:E39)</f>
        <v>0</v>
      </c>
      <c r="D18" s="2577"/>
      <c r="E18" s="2578"/>
      <c r="F18" s="2579"/>
      <c r="G18" s="2580"/>
      <c r="H18" s="2580"/>
      <c r="I18" s="2580"/>
      <c r="J18" s="2581"/>
      <c r="K18" s="2582"/>
      <c r="O18" s="1459"/>
      <c r="P18" s="1459"/>
      <c r="Q18" s="1459"/>
      <c r="R18" s="1459"/>
      <c r="S18" s="1459"/>
      <c r="T18" s="1459"/>
      <c r="U18" s="1459"/>
      <c r="V18" s="1459"/>
      <c r="W18" s="1459"/>
      <c r="X18" s="1459"/>
      <c r="Y18" s="1459"/>
      <c r="Z18" s="1459"/>
      <c r="AA18" s="1459"/>
      <c r="AB18" s="1459"/>
      <c r="AC18" s="1459"/>
      <c r="AD18" s="1459"/>
      <c r="AE18" s="1460"/>
      <c r="AF18" s="1460"/>
      <c r="AG18" s="2583"/>
      <c r="AH18" s="2583"/>
      <c r="AI18" s="2583"/>
    </row>
    <row r="19" spans="1:37" s="2525" customFormat="1" ht="27.75" thickBot="1">
      <c r="A19" s="2575" t="s">
        <v>2682</v>
      </c>
      <c r="B19" s="2576" t="s">
        <v>2683</v>
      </c>
      <c r="C19" s="951" t="e">
        <f>ROUND(IF(H19="按公示增长率计算",SUMPRODUCT((地价!A3:A22=YEAR(G19)&amp;"-"&amp;ROUNDUP(MONTH(G19)/3,0))*(地价!X2:AB2=E2)*(地价!X3:AB22)),IF(H19="地价指数",M20/M19,(1+I19)^O19)),4)</f>
        <v>#DIV/0!</v>
      </c>
      <c r="D19" s="2584" t="s">
        <v>2684</v>
      </c>
      <c r="E19" s="952">
        <v>41640</v>
      </c>
      <c r="F19" s="2584" t="s">
        <v>2685</v>
      </c>
      <c r="G19" s="953">
        <f>'数据-取费表'!B2</f>
        <v>43255</v>
      </c>
      <c r="H19" s="2585" t="s">
        <v>2686</v>
      </c>
      <c r="I19" s="954" t="str">
        <f>IF(H19="季度增幅（自定义）",SUMIF(N21:N24,E2,O21:O24),"")</f>
        <v/>
      </c>
      <c r="J19" s="2581"/>
      <c r="K19" s="2582"/>
      <c r="L19" s="2586" t="s">
        <v>2687</v>
      </c>
      <c r="M19" s="1823">
        <f>ROUND(SUMIF(地价!B2:F2,E2,地价!B22:F22),0)</f>
        <v>0</v>
      </c>
      <c r="N19" s="1463" t="s">
        <v>2688</v>
      </c>
      <c r="O19" s="955">
        <f>ROUNDDOWN(DATEDIF(E19,G19,"M")/3,0)</f>
        <v>17</v>
      </c>
      <c r="P19" s="1460"/>
      <c r="R19" s="1459"/>
      <c r="S19" s="1459"/>
      <c r="T19" s="1459"/>
      <c r="U19" s="1459"/>
      <c r="V19" s="1459"/>
      <c r="W19" s="1459"/>
      <c r="X19" s="1459"/>
      <c r="Y19" s="1459"/>
      <c r="Z19" s="1459"/>
      <c r="AA19" s="1459"/>
      <c r="AB19" s="1459"/>
      <c r="AC19" s="1459"/>
      <c r="AD19" s="1459"/>
      <c r="AE19" s="2582"/>
      <c r="AF19" s="2587"/>
      <c r="AG19" s="2588"/>
      <c r="AH19" s="2583"/>
      <c r="AI19" s="2589"/>
      <c r="AJ19" s="2589"/>
      <c r="AK19" s="2589"/>
    </row>
    <row r="20" spans="1:37" s="2525" customFormat="1" ht="27.75" thickBot="1">
      <c r="A20" s="2590" t="s">
        <v>2689</v>
      </c>
      <c r="B20" s="2591" t="s">
        <v>2690</v>
      </c>
      <c r="C20" s="956" t="e">
        <f>ROUND(POWER(1+G20,J20-I20)*(POWER(1+G20,I20)-1)/(POWER(1+G20,J20)-1),4)</f>
        <v>#DIV/0!</v>
      </c>
      <c r="D20" s="2592" t="s">
        <v>2691</v>
      </c>
      <c r="E20" s="1853">
        <f ca="1">存贷款利率!D4/100</f>
        <v>4.3499999999999997E-2</v>
      </c>
      <c r="F20" s="2592" t="s">
        <v>2679</v>
      </c>
      <c r="G20" s="962">
        <f>SUMIF(M15:P15,E2,M17:P17)</f>
        <v>0</v>
      </c>
      <c r="H20" s="2592" t="s">
        <v>2692</v>
      </c>
      <c r="I20" s="963">
        <f>'数据-取费表'!B13</f>
        <v>29.82</v>
      </c>
      <c r="J20" s="964">
        <f>IF(E2="住宅",70,IF(E2="商业",40,50))</f>
        <v>50</v>
      </c>
      <c r="K20" s="2582"/>
      <c r="L20" s="2593" t="s">
        <v>2693</v>
      </c>
      <c r="M20" s="1824">
        <f>ROUND(SUMPRODUCT((地价!A4:A22=YEAR(G19)&amp;"-"&amp;ROUNDUP(MONTH(G19)/3,0))*(地价!B2:F2=E2)*(地价!B4:F22)),0)</f>
        <v>0</v>
      </c>
      <c r="N20" s="2594" t="s">
        <v>2694</v>
      </c>
      <c r="O20" s="2595" t="s">
        <v>2695</v>
      </c>
      <c r="P20" s="2596" t="s">
        <v>2696</v>
      </c>
      <c r="R20" s="1459"/>
      <c r="S20" s="1459"/>
      <c r="T20" s="1459"/>
      <c r="U20" s="1459"/>
      <c r="V20" s="1459"/>
      <c r="W20" s="1459"/>
      <c r="X20" s="1459"/>
      <c r="Y20" s="1459"/>
      <c r="Z20" s="1459"/>
      <c r="AA20" s="1459"/>
      <c r="AB20" s="1459"/>
      <c r="AC20" s="1459"/>
      <c r="AD20" s="1459"/>
      <c r="AE20" s="2582"/>
      <c r="AF20" s="2582"/>
    </row>
    <row r="21" spans="1:37" s="2525" customFormat="1" ht="14.25">
      <c r="A21" s="2597" t="s">
        <v>2697</v>
      </c>
      <c r="B21" s="2598" t="s">
        <v>2698</v>
      </c>
      <c r="C21" s="965" t="b">
        <f>IF(B21="容积率修正",IF(G3&lt;=10,D22,J22),C23)</f>
        <v>0</v>
      </c>
      <c r="D21" s="2599"/>
      <c r="E21" s="2599"/>
      <c r="F21" s="2599"/>
      <c r="G21" s="2599"/>
      <c r="H21" s="2599"/>
      <c r="I21" s="2599"/>
      <c r="J21" s="2600"/>
      <c r="K21" s="2582"/>
      <c r="N21" s="2601" t="s">
        <v>2699</v>
      </c>
      <c r="O21" s="1661"/>
      <c r="P21" s="1662">
        <f>SUMPRODUCT((地价!A3:A22=YEAR(G19)&amp;"-"&amp;ROUNDUP(MONTH(G19)/3,0))*(地价!AD2:AH2=N21)*(地价!AD3:AH22))</f>
        <v>1.5699999999999999E-2</v>
      </c>
      <c r="R21" s="1459"/>
      <c r="S21" s="1459"/>
      <c r="T21" s="1459"/>
      <c r="U21" s="1459"/>
      <c r="V21" s="1459"/>
      <c r="W21" s="1459"/>
      <c r="X21" s="1459"/>
      <c r="Y21" s="1459"/>
      <c r="Z21" s="1459"/>
      <c r="AA21" s="1459"/>
      <c r="AB21" s="1459"/>
      <c r="AC21" s="1459"/>
      <c r="AD21" s="1459"/>
      <c r="AE21" s="2582"/>
      <c r="AF21" s="2582"/>
    </row>
    <row r="22" spans="1:37" s="2525" customFormat="1" ht="14.25">
      <c r="A22" s="2602">
        <v>1</v>
      </c>
      <c r="B22" s="2603" t="s">
        <v>2700</v>
      </c>
      <c r="C22" s="1896" t="s">
        <v>2701</v>
      </c>
      <c r="D22" s="1896" t="b">
        <f>IF(E22=G22,F22,IF(G3&lt;=10,ROUND(F22+(H22-F22)*(G3-E22)/(G22-E22),4),"——"))</f>
        <v>0</v>
      </c>
      <c r="E22" s="940">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6" t="str">
        <f>IF(G3&gt;10,D113,"——")</f>
        <v>——</v>
      </c>
      <c r="K22" s="2582"/>
      <c r="N22" s="2601" t="s">
        <v>2702</v>
      </c>
      <c r="O22" s="1661"/>
      <c r="P22" s="1662">
        <f>SUMPRODUCT((地价!A3:A22=YEAR(G19)&amp;"-"&amp;ROUNDUP(MONTH(G19)/3,0))*(地价!AD2:AH2=N22)*(地价!AD3:AH22))</f>
        <v>1.5699999999999999E-2</v>
      </c>
      <c r="R22" s="1459"/>
      <c r="S22" s="1459"/>
      <c r="T22" s="1459"/>
      <c r="U22" s="1459"/>
      <c r="V22" s="1459"/>
      <c r="W22" s="1459"/>
      <c r="X22" s="1459"/>
      <c r="Y22" s="1459"/>
      <c r="Z22" s="1459"/>
      <c r="AA22" s="1459"/>
      <c r="AB22" s="1459"/>
      <c r="AC22" s="1459"/>
      <c r="AD22" s="1459"/>
      <c r="AE22" s="2582"/>
      <c r="AF22" s="2582"/>
    </row>
    <row r="23" spans="1:37" ht="27">
      <c r="A23" s="2602">
        <v>2</v>
      </c>
      <c r="B23" s="2603" t="s">
        <v>2703</v>
      </c>
      <c r="C23" s="957">
        <f>ROUND(IF(G3&gt;1,IF(I3&lt;7,SUMPRODUCT((B93:B98=I3)*(C92:N92=G2)*(C93:N98)),SUMIF(C92:N92,G2,C100:N100)),IF(I3&lt;7,SUMPRODUCT((B102:B107=I3)*(C92:N92=G2)*(C102:N107)),SUMIF(C92:N92,G2,C109:N109))),4)</f>
        <v>0</v>
      </c>
      <c r="D23" s="2562"/>
      <c r="E23" s="2562"/>
      <c r="F23" s="2604"/>
      <c r="G23" s="2605"/>
      <c r="H23" s="2606"/>
      <c r="I23" s="2607"/>
      <c r="J23" s="2608"/>
      <c r="N23" s="2601" t="s">
        <v>2704</v>
      </c>
      <c r="O23" s="1661"/>
      <c r="P23" s="1662">
        <f>SUMPRODUCT((地价!A3:A22=YEAR(G19)&amp;"-"&amp;ROUNDUP(MONTH(G19)/3,0))*(地价!AD2:AH2=N23)*(地价!AD3:AH22))</f>
        <v>2.5000000000000001E-2</v>
      </c>
      <c r="R23" s="1459"/>
      <c r="S23" s="1459"/>
      <c r="T23" s="1459"/>
      <c r="U23" s="1459"/>
      <c r="V23" s="1459"/>
      <c r="W23" s="1459"/>
      <c r="X23" s="1459"/>
      <c r="Y23" s="1459"/>
      <c r="Z23" s="1459"/>
      <c r="AA23" s="1459"/>
      <c r="AB23" s="1459"/>
      <c r="AC23" s="1459"/>
      <c r="AD23" s="1459"/>
      <c r="AE23" s="1460"/>
      <c r="AF23" s="1460"/>
      <c r="AK23" s="2583"/>
    </row>
    <row r="24" spans="1:37" s="2525" customFormat="1" ht="15.75" thickBot="1">
      <c r="A24" s="2609" t="s">
        <v>2705</v>
      </c>
      <c r="B24" s="2610" t="s">
        <v>2706</v>
      </c>
      <c r="C24" s="967">
        <f>SUMIF(A46:A88,E2,B46:B88)</f>
        <v>0</v>
      </c>
      <c r="D24" s="2611"/>
      <c r="E24" s="2612"/>
      <c r="F24" s="2612"/>
      <c r="G24" s="2612"/>
      <c r="H24" s="2612"/>
      <c r="I24" s="2612"/>
      <c r="J24" s="2613"/>
      <c r="K24" s="2582"/>
      <c r="N24" s="2614" t="s">
        <v>2707</v>
      </c>
      <c r="O24" s="1663"/>
      <c r="P24" s="1664">
        <f>SUMPRODUCT((地价!A3:A22=YEAR(G19)&amp;"-"&amp;ROUNDUP(MONTH(G19)/3,0))*(地价!AD2:AH2=N24)*(地价!AD3:AH22))</f>
        <v>1.35E-2</v>
      </c>
      <c r="R24" s="1459"/>
      <c r="S24" s="1459"/>
      <c r="T24" s="1459"/>
      <c r="U24" s="1459"/>
      <c r="V24" s="1459"/>
      <c r="W24" s="1459"/>
      <c r="X24" s="1459"/>
      <c r="Y24" s="1459"/>
      <c r="Z24" s="1459"/>
      <c r="AA24" s="1459"/>
      <c r="AB24" s="1459"/>
      <c r="AC24" s="1459"/>
      <c r="AD24" s="1459"/>
      <c r="AE24" s="2582"/>
      <c r="AF24" s="2582"/>
    </row>
    <row r="25" spans="1:37" ht="15" thickBot="1">
      <c r="A25" s="2590" t="s">
        <v>2708</v>
      </c>
      <c r="B25" s="2615" t="s">
        <v>2709</v>
      </c>
      <c r="C25" s="958"/>
      <c r="D25" s="2536"/>
      <c r="E25" s="2536"/>
      <c r="F25" s="2616"/>
      <c r="G25" s="2536"/>
      <c r="H25" s="2536"/>
      <c r="I25" s="2536"/>
      <c r="J25" s="2537"/>
      <c r="L25" s="1459"/>
      <c r="M25" s="1459"/>
      <c r="N25" s="2617" t="s">
        <v>2710</v>
      </c>
      <c r="O25" s="1665"/>
      <c r="P25" s="1664">
        <f>SUMPRODUCT((地价!A3:A22=YEAR(G19)&amp;"-"&amp;ROUNDUP(MONTH(G19)/3,0))*(地价!AD2:AH2=N25)*(地价!AD3:AH22))</f>
        <v>2.2700000000000001E-2</v>
      </c>
      <c r="R25" s="1459"/>
      <c r="S25" s="1459"/>
      <c r="T25" s="1459"/>
      <c r="U25" s="1459"/>
      <c r="V25" s="1459"/>
      <c r="W25" s="1459"/>
      <c r="X25" s="1459"/>
      <c r="Y25" s="1459"/>
      <c r="Z25" s="1459"/>
      <c r="AA25" s="1459"/>
      <c r="AB25" s="1459"/>
      <c r="AC25" s="1459"/>
      <c r="AD25" s="1459"/>
      <c r="AE25" s="1460"/>
      <c r="AF25" s="1460"/>
    </row>
    <row r="26" spans="1:37" ht="15">
      <c r="A26" s="2618"/>
      <c r="B26" s="2603" t="s">
        <v>2711</v>
      </c>
      <c r="C26" s="123" t="e">
        <f>E29+SUM(E33:E39)</f>
        <v>#DIV/0!</v>
      </c>
      <c r="D26" s="2619"/>
      <c r="E26" s="2562"/>
      <c r="F26" s="2620"/>
      <c r="G26" s="2562"/>
      <c r="H26" s="2562"/>
      <c r="I26" s="2562"/>
      <c r="J26" s="2621"/>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8"/>
      <c r="B27" s="2622" t="s">
        <v>2712</v>
      </c>
      <c r="C27" s="959" t="e">
        <f>E30+SUM(I33:I39)</f>
        <v>#DIV/0!</v>
      </c>
      <c r="D27" s="2623"/>
      <c r="E27" s="2624"/>
      <c r="F27" s="2625"/>
      <c r="G27" s="2624"/>
      <c r="H27" s="2624"/>
      <c r="I27" s="2624"/>
      <c r="J27" s="2626"/>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90"/>
      <c r="B28" s="2627" t="s">
        <v>2713</v>
      </c>
      <c r="C28" s="2628" t="s">
        <v>2714</v>
      </c>
      <c r="D28" s="2628" t="s">
        <v>2715</v>
      </c>
      <c r="E28" s="2629" t="s">
        <v>2716</v>
      </c>
      <c r="F28" s="2630"/>
      <c r="G28" s="2549"/>
      <c r="H28" s="2549"/>
      <c r="I28" s="2549"/>
      <c r="J28" s="2550"/>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1"/>
      <c r="B29" s="2632" t="s">
        <v>2717</v>
      </c>
      <c r="C29" s="123" t="e">
        <f>ROUND(C5*C18*C19*C20*C21*C24,0)</f>
        <v>#DIV/0!</v>
      </c>
      <c r="D29" s="2633"/>
      <c r="E29" s="971" t="e">
        <f>ROUND(C29*D29,0)</f>
        <v>#DIV/0!</v>
      </c>
      <c r="F29" s="2634" t="s">
        <v>2718</v>
      </c>
      <c r="G29" s="2635"/>
      <c r="H29" s="2635"/>
      <c r="I29" s="2635"/>
      <c r="J29" s="2636"/>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6"/>
      <c r="AH29" s="2506"/>
      <c r="AI29" s="2506"/>
      <c r="AJ29" s="2506"/>
    </row>
    <row r="30" spans="1:37" ht="25.5" thickBot="1">
      <c r="A30" s="2637"/>
      <c r="B30" s="2638" t="s">
        <v>2719</v>
      </c>
      <c r="C30" s="150" t="e">
        <f>ROUND(IF(E2="工业",C29*M39,C29*M38),0)</f>
        <v>#DIV/0!</v>
      </c>
      <c r="D30" s="2639"/>
      <c r="E30" s="971" t="e">
        <f>ROUND(C30*D30,0)</f>
        <v>#DIV/0!</v>
      </c>
      <c r="F30" s="2640" t="s">
        <v>2720</v>
      </c>
      <c r="G30" s="2641"/>
      <c r="H30" s="2641"/>
      <c r="I30" s="2641"/>
      <c r="J30" s="2642"/>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6"/>
      <c r="AH30" s="2506"/>
      <c r="AI30" s="2506"/>
      <c r="AJ30" s="2506"/>
    </row>
    <row r="31" spans="1:37">
      <c r="A31" s="2643"/>
      <c r="B31" s="2644" t="s">
        <v>2721</v>
      </c>
      <c r="C31" s="2645" t="s">
        <v>2722</v>
      </c>
      <c r="D31" s="2549"/>
      <c r="E31" s="2645"/>
      <c r="F31" s="2645"/>
      <c r="G31" s="2547" t="s">
        <v>2723</v>
      </c>
      <c r="H31" s="2549"/>
      <c r="I31" s="2646"/>
      <c r="J31" s="2550"/>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6"/>
      <c r="AH31" s="2506"/>
      <c r="AI31" s="2506"/>
      <c r="AJ31" s="2506"/>
    </row>
    <row r="32" spans="1:37" ht="24">
      <c r="A32" s="2631"/>
      <c r="B32" s="2647"/>
      <c r="C32" s="482" t="s">
        <v>2714</v>
      </c>
      <c r="D32" s="479" t="s">
        <v>2715</v>
      </c>
      <c r="E32" s="479" t="s">
        <v>2716</v>
      </c>
      <c r="F32" s="367" t="s">
        <v>2724</v>
      </c>
      <c r="G32" s="957" t="s">
        <v>2714</v>
      </c>
      <c r="H32" s="957" t="s">
        <v>2715</v>
      </c>
      <c r="I32" s="957" t="s">
        <v>2716</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6"/>
      <c r="AH32" s="2506"/>
      <c r="AI32" s="2506"/>
      <c r="AJ32" s="2506"/>
    </row>
    <row r="33" spans="1:37">
      <c r="A33" s="3085" t="s">
        <v>2725</v>
      </c>
      <c r="B33" s="2648" t="s">
        <v>2726</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6"/>
      <c r="B34" s="2553" t="s">
        <v>2727</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6"/>
      <c r="B35" s="2553" t="s">
        <v>2728</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87"/>
      <c r="B36" s="2553" t="s">
        <v>2729</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1"/>
      <c r="B37" s="2553" t="s">
        <v>2730</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2731</v>
      </c>
      <c r="M37" s="2537"/>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1"/>
      <c r="B38" s="2553" t="s">
        <v>2732</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2733</v>
      </c>
      <c r="M38" s="2654">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7"/>
      <c r="B39" s="2655" t="s">
        <v>2734</v>
      </c>
      <c r="C39" s="150" t="e">
        <f>ROUND(C5*C19*C20*C24*F39,0)</f>
        <v>#DIV/0!</v>
      </c>
      <c r="D39" s="2639"/>
      <c r="E39" s="150" t="e">
        <f t="shared" si="6"/>
        <v>#DIV/0!</v>
      </c>
      <c r="F39" s="960">
        <f>SUMIF(修正!A45:A56,G2,修正!H45:H56)</f>
        <v>0</v>
      </c>
      <c r="G39" s="150" t="e">
        <f t="shared" si="7"/>
        <v>#DIV/0!</v>
      </c>
      <c r="H39" s="150">
        <f t="shared" si="9"/>
        <v>0</v>
      </c>
      <c r="I39" s="150" t="e">
        <f t="shared" si="8"/>
        <v>#DIV/0!</v>
      </c>
      <c r="J39" s="2656"/>
      <c r="L39" s="2657" t="s">
        <v>2672</v>
      </c>
      <c r="M39" s="2658">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60"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9"/>
      <c r="AH40" s="2659"/>
      <c r="AI40" s="2659"/>
      <c r="AJ40" s="2659"/>
    </row>
    <row r="41" spans="1:37" s="2660" customFormat="1">
      <c r="A41" s="1460"/>
      <c r="B41" s="2661"/>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9"/>
      <c r="AH41" s="2659"/>
      <c r="AI41" s="2659"/>
      <c r="AJ41" s="2659"/>
    </row>
    <row r="42" spans="1:37" s="2660" customFormat="1">
      <c r="A42" s="1460"/>
      <c r="B42" s="2661"/>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9"/>
      <c r="AH42" s="2659"/>
      <c r="AI42" s="2659"/>
      <c r="AJ42" s="2659"/>
    </row>
    <row r="43" spans="1:37" s="2660" customFormat="1">
      <c r="A43" s="1460"/>
      <c r="B43" s="2661"/>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9"/>
      <c r="AH43" s="2659"/>
      <c r="AI43" s="2659"/>
      <c r="AJ43" s="2659"/>
    </row>
    <row r="44" spans="1:37" s="2660" customFormat="1">
      <c r="A44" s="1460"/>
      <c r="B44" s="2661"/>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9"/>
      <c r="AH44" s="2659"/>
      <c r="AI44" s="2659"/>
      <c r="AJ44" s="2659"/>
    </row>
    <row r="45" spans="1:37" s="2660" customFormat="1" ht="15.75" thickBot="1">
      <c r="A45" s="2662" t="s">
        <v>2735</v>
      </c>
      <c r="B45" s="2663"/>
      <c r="C45" s="9"/>
      <c r="D45" s="9"/>
      <c r="E45" s="9"/>
      <c r="F45" s="7"/>
      <c r="G45" s="9"/>
      <c r="H45" s="7"/>
      <c r="I45" s="9"/>
      <c r="J45" s="9"/>
      <c r="K45" s="9"/>
      <c r="L45" s="9"/>
      <c r="M45" s="9"/>
      <c r="N45" s="2504"/>
      <c r="O45" s="1459"/>
      <c r="P45" s="1459"/>
      <c r="Q45" s="1459"/>
      <c r="R45" s="1459"/>
      <c r="S45" s="1459"/>
      <c r="T45" s="1459"/>
      <c r="U45" s="1459"/>
      <c r="V45" s="1459"/>
      <c r="W45" s="1459"/>
      <c r="X45" s="1459"/>
      <c r="Y45" s="1459"/>
      <c r="Z45" s="1460"/>
      <c r="AA45" s="1460"/>
      <c r="AB45" s="1460"/>
      <c r="AC45" s="1460"/>
      <c r="AD45" s="1460"/>
      <c r="AE45" s="1460"/>
      <c r="AF45" s="1460"/>
      <c r="AG45" s="2659"/>
      <c r="AH45" s="2659"/>
      <c r="AI45" s="2659"/>
      <c r="AJ45" s="2659"/>
    </row>
    <row r="46" spans="1:37" s="2660" customFormat="1" ht="15">
      <c r="A46" s="2664" t="s">
        <v>2736</v>
      </c>
      <c r="B46" s="2665">
        <f>1+E48</f>
        <v>1</v>
      </c>
      <c r="C46" s="2666"/>
      <c r="D46" s="816"/>
      <c r="E46" s="817"/>
      <c r="F46" s="2667"/>
      <c r="G46" s="7"/>
      <c r="H46" s="9"/>
      <c r="I46" s="9"/>
      <c r="J46" s="9"/>
      <c r="K46" s="9"/>
      <c r="L46" s="9"/>
      <c r="M46" s="2504"/>
      <c r="N46" s="2668"/>
      <c r="O46" s="1459"/>
      <c r="P46" s="1459"/>
      <c r="Q46" s="1459"/>
      <c r="R46" s="1459"/>
      <c r="S46" s="1459"/>
      <c r="T46" s="1459"/>
      <c r="U46" s="1459"/>
      <c r="V46" s="1459"/>
      <c r="W46" s="1459"/>
      <c r="X46" s="1459"/>
      <c r="Y46" s="1460"/>
      <c r="Z46" s="1460"/>
      <c r="AA46" s="1460"/>
      <c r="AB46" s="1460"/>
      <c r="AC46" s="1460"/>
      <c r="AD46" s="1460"/>
      <c r="AE46" s="1460"/>
      <c r="AF46" s="2659"/>
      <c r="AG46" s="2659"/>
      <c r="AH46" s="2659"/>
      <c r="AI46" s="2659"/>
    </row>
    <row r="47" spans="1:37" s="2660" customFormat="1" ht="24.75">
      <c r="A47" s="2669" t="s">
        <v>2737</v>
      </c>
      <c r="B47" s="822" t="s">
        <v>2738</v>
      </c>
      <c r="C47" s="822" t="s">
        <v>2739</v>
      </c>
      <c r="D47" s="822" t="s">
        <v>2740</v>
      </c>
      <c r="E47" s="823" t="s">
        <v>2741</v>
      </c>
      <c r="F47" s="2670" t="s">
        <v>2742</v>
      </c>
      <c r="G47" s="822" t="s">
        <v>2743</v>
      </c>
      <c r="H47" s="2671" t="s">
        <v>2744</v>
      </c>
      <c r="I47" s="822" t="s">
        <v>2745</v>
      </c>
      <c r="J47" s="587" t="s">
        <v>2746</v>
      </c>
      <c r="K47" s="587" t="s">
        <v>2747</v>
      </c>
      <c r="L47" s="587" t="s">
        <v>2748</v>
      </c>
      <c r="M47" s="587" t="s">
        <v>2749</v>
      </c>
      <c r="N47" s="587" t="s">
        <v>2750</v>
      </c>
      <c r="O47" s="1459"/>
      <c r="P47" s="1459"/>
      <c r="Q47" s="1459"/>
      <c r="R47" s="1459"/>
      <c r="S47" s="1459"/>
      <c r="T47" s="1459"/>
      <c r="U47" s="1459"/>
      <c r="V47" s="1459"/>
      <c r="W47" s="1459"/>
      <c r="X47" s="1459"/>
      <c r="Y47" s="1459"/>
      <c r="Z47" s="1459"/>
      <c r="AA47" s="1460"/>
      <c r="AB47" s="1460"/>
      <c r="AC47" s="1460"/>
      <c r="AD47" s="1460"/>
      <c r="AE47" s="1460"/>
      <c r="AF47" s="1460"/>
      <c r="AG47" s="1460"/>
      <c r="AH47" s="2659"/>
      <c r="AI47" s="2659"/>
      <c r="AJ47" s="2659"/>
      <c r="AK47" s="2659"/>
    </row>
    <row r="48" spans="1:37" s="2660" customFormat="1" ht="38.25">
      <c r="A48" s="2669" t="s">
        <v>2751</v>
      </c>
      <c r="B48" s="2672" t="str">
        <f>估价对象房地状况!C16</f>
        <v>估价对象位于XX商圈，周边商业氛围成熟，人流量大，商业繁华度好</v>
      </c>
      <c r="C48" s="2559"/>
      <c r="D48" s="1373">
        <f t="shared" ref="D48:D56" si="10">SUMIF($J$47:$N$47,C48,J48:N48)</f>
        <v>0</v>
      </c>
      <c r="E48" s="828">
        <f>ROUND(SUM(D48:D56),4)</f>
        <v>0</v>
      </c>
      <c r="F48" s="2275"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9"/>
      <c r="AI48" s="2659"/>
      <c r="AJ48" s="2659"/>
      <c r="AK48" s="2659"/>
    </row>
    <row r="49" spans="1:37" s="2660" customFormat="1" ht="51">
      <c r="A49" s="2669" t="s">
        <v>2752</v>
      </c>
      <c r="B49" s="2673" t="str">
        <f>估价对象房地状况!C18</f>
        <v>估价对象周边道路状况、公共交通通达情况、停车便捷程度，综合评价交通便捷度较好</v>
      </c>
      <c r="C49" s="2559"/>
      <c r="D49" s="1373">
        <f t="shared" si="10"/>
        <v>0</v>
      </c>
      <c r="E49" s="831"/>
      <c r="F49" s="2275"/>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9"/>
      <c r="AI49" s="2659"/>
      <c r="AJ49" s="2659"/>
      <c r="AK49" s="2659"/>
    </row>
    <row r="50" spans="1:37" s="2660" customFormat="1" ht="24">
      <c r="A50" s="2669" t="s">
        <v>2753</v>
      </c>
      <c r="B50" s="2673">
        <f>估价对象房地状况!C19</f>
        <v>0</v>
      </c>
      <c r="C50" s="2559"/>
      <c r="D50" s="1373">
        <f t="shared" si="10"/>
        <v>0</v>
      </c>
      <c r="E50" s="831"/>
      <c r="F50" s="2275"/>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9"/>
      <c r="AI50" s="2659"/>
      <c r="AJ50" s="2659"/>
      <c r="AK50" s="2659"/>
    </row>
    <row r="51" spans="1:37" s="2660" customFormat="1" ht="36.75">
      <c r="A51" s="2669" t="s">
        <v>2754</v>
      </c>
      <c r="B51" s="2674" t="s">
        <v>2755</v>
      </c>
      <c r="C51" s="2559"/>
      <c r="D51" s="1373">
        <f t="shared" si="10"/>
        <v>0</v>
      </c>
      <c r="E51" s="831"/>
      <c r="F51" s="2275"/>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9"/>
      <c r="AI51" s="2659"/>
      <c r="AJ51" s="2659"/>
      <c r="AK51" s="2659"/>
    </row>
    <row r="52" spans="1:37" s="2660" customFormat="1" ht="24">
      <c r="A52" s="2669" t="s">
        <v>2756</v>
      </c>
      <c r="B52" s="2673">
        <f>估价对象房地状况!C24</f>
        <v>0</v>
      </c>
      <c r="C52" s="2559"/>
      <c r="D52" s="1373">
        <f t="shared" si="10"/>
        <v>0</v>
      </c>
      <c r="E52" s="831"/>
      <c r="F52" s="2275"/>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9"/>
      <c r="AI52" s="2659"/>
      <c r="AJ52" s="2659"/>
      <c r="AK52" s="2659"/>
    </row>
    <row r="53" spans="1:37" s="2660" customFormat="1" ht="24">
      <c r="A53" s="2669" t="s">
        <v>2757</v>
      </c>
      <c r="B53" s="2675" t="s">
        <v>2758</v>
      </c>
      <c r="C53" s="2559"/>
      <c r="D53" s="1373">
        <f t="shared" si="10"/>
        <v>0</v>
      </c>
      <c r="E53" s="831"/>
      <c r="F53" s="2275"/>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9"/>
      <c r="AI53" s="2659"/>
      <c r="AJ53" s="2659"/>
      <c r="AK53" s="2659"/>
    </row>
    <row r="54" spans="1:37" s="2660" customFormat="1" ht="25.5">
      <c r="A54" s="2676" t="s">
        <v>2759</v>
      </c>
      <c r="B54" s="2677" t="str">
        <f>估价对象房地状况!C21</f>
        <v>估价对象所在区域公共配套设施齐备情况</v>
      </c>
      <c r="C54" s="2559"/>
      <c r="D54" s="1373">
        <f t="shared" si="10"/>
        <v>0</v>
      </c>
      <c r="E54" s="831"/>
      <c r="F54" s="2275"/>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9"/>
      <c r="AI54" s="2659"/>
      <c r="AJ54" s="2659"/>
      <c r="AK54" s="2659"/>
    </row>
    <row r="55" spans="1:37" s="2660" customFormat="1" ht="25.5">
      <c r="A55" s="2676" t="s">
        <v>2760</v>
      </c>
      <c r="B55" s="2673" t="str">
        <f>估价对象房地状况!C22</f>
        <v>估价对象所在区域基础设施水平</v>
      </c>
      <c r="C55" s="2559"/>
      <c r="D55" s="1373">
        <f t="shared" si="10"/>
        <v>0</v>
      </c>
      <c r="E55" s="831"/>
      <c r="F55" s="2275"/>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9"/>
      <c r="AI55" s="2659"/>
      <c r="AJ55" s="2659"/>
      <c r="AK55" s="2659"/>
    </row>
    <row r="56" spans="1:37" s="2660" customFormat="1" ht="39" thickBot="1">
      <c r="A56" s="2678" t="s">
        <v>2761</v>
      </c>
      <c r="B56" s="2679" t="str">
        <f>估价对象房地状况!C20</f>
        <v>区域自然环境：；人文环境；综合评价环境状况一般</v>
      </c>
      <c r="C56" s="2559"/>
      <c r="D56" s="1373">
        <f t="shared" si="10"/>
        <v>0</v>
      </c>
      <c r="E56" s="837"/>
      <c r="F56" s="2275"/>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9"/>
      <c r="AI56" s="2659"/>
      <c r="AJ56" s="2659"/>
      <c r="AK56" s="2659"/>
    </row>
    <row r="57" spans="1:37" s="2660" customFormat="1" ht="15">
      <c r="A57" s="2664" t="s">
        <v>2762</v>
      </c>
      <c r="B57" s="2680">
        <f>1+E59</f>
        <v>1</v>
      </c>
      <c r="C57" s="816"/>
      <c r="D57" s="816"/>
      <c r="E57" s="817"/>
      <c r="F57" s="2667"/>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9"/>
      <c r="AI57" s="2659"/>
      <c r="AJ57" s="2659"/>
      <c r="AK57" s="2659"/>
    </row>
    <row r="58" spans="1:37" s="2660" customFormat="1" ht="24.75">
      <c r="A58" s="2669" t="s">
        <v>2737</v>
      </c>
      <c r="B58" s="2673"/>
      <c r="C58" s="822" t="s">
        <v>2739</v>
      </c>
      <c r="D58" s="822" t="s">
        <v>2740</v>
      </c>
      <c r="E58" s="823" t="s">
        <v>2741</v>
      </c>
      <c r="F58" s="2670" t="s">
        <v>2742</v>
      </c>
      <c r="G58" s="822" t="s">
        <v>2763</v>
      </c>
      <c r="H58" s="2671" t="s">
        <v>2764</v>
      </c>
      <c r="I58" s="822" t="s">
        <v>2765</v>
      </c>
      <c r="J58" s="587" t="s">
        <v>2397</v>
      </c>
      <c r="K58" s="587" t="s">
        <v>2398</v>
      </c>
      <c r="L58" s="587" t="s">
        <v>2399</v>
      </c>
      <c r="M58" s="587" t="s">
        <v>2400</v>
      </c>
      <c r="N58" s="587" t="s">
        <v>2401</v>
      </c>
      <c r="O58" s="1459"/>
      <c r="P58" s="1459"/>
      <c r="Q58" s="1459"/>
      <c r="R58" s="1459"/>
      <c r="S58" s="1459"/>
      <c r="T58" s="1459"/>
      <c r="U58" s="1459"/>
      <c r="V58" s="1459"/>
      <c r="W58" s="1459"/>
      <c r="X58" s="1459"/>
      <c r="Y58" s="1459"/>
      <c r="Z58" s="1459"/>
      <c r="AA58" s="1460"/>
      <c r="AB58" s="1460"/>
      <c r="AC58" s="1460"/>
      <c r="AD58" s="1460"/>
      <c r="AE58" s="1460"/>
      <c r="AF58" s="1460"/>
      <c r="AG58" s="1460"/>
      <c r="AH58" s="2659"/>
      <c r="AI58" s="2659"/>
      <c r="AJ58" s="2659"/>
      <c r="AK58" s="2659"/>
    </row>
    <row r="59" spans="1:37" s="2660" customFormat="1" ht="38.25">
      <c r="A59" s="2669" t="s">
        <v>2766</v>
      </c>
      <c r="B59" s="2672" t="str">
        <f>估价对象房地状况!C17</f>
        <v>估价对象位于XX商圈，周边办公楼项目较多，入驻率高，办公集聚程度较好</v>
      </c>
      <c r="C59" s="2559"/>
      <c r="D59" s="1373">
        <f t="shared" ref="D59:D67" si="15">SUMIF($J$58:$N$58,C59,J59:N59)</f>
        <v>0</v>
      </c>
      <c r="E59" s="828">
        <f>ROUND(SUM(D59:D67),4)</f>
        <v>0</v>
      </c>
      <c r="F59" s="2275"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9"/>
      <c r="AI59" s="2659"/>
      <c r="AJ59" s="2659"/>
      <c r="AK59" s="2659"/>
    </row>
    <row r="60" spans="1:37" s="2660" customFormat="1" ht="51">
      <c r="A60" s="2669" t="s">
        <v>2752</v>
      </c>
      <c r="B60" s="2673" t="str">
        <f>估价对象房地状况!C18</f>
        <v>估价对象周边道路状况、公共交通通达情况、停车便捷程度，综合评价交通便捷度较好</v>
      </c>
      <c r="C60" s="2559"/>
      <c r="D60" s="1373">
        <f t="shared" si="15"/>
        <v>0</v>
      </c>
      <c r="E60" s="831"/>
      <c r="F60" s="2275"/>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9"/>
      <c r="AI60" s="2659"/>
      <c r="AJ60" s="2659"/>
      <c r="AK60" s="2659"/>
    </row>
    <row r="61" spans="1:37" s="2660" customFormat="1" ht="24">
      <c r="A61" s="2669" t="s">
        <v>2753</v>
      </c>
      <c r="B61" s="2673">
        <f>估价对象房地状况!C19</f>
        <v>0</v>
      </c>
      <c r="C61" s="2559"/>
      <c r="D61" s="1373">
        <f t="shared" si="15"/>
        <v>0</v>
      </c>
      <c r="E61" s="831"/>
      <c r="F61" s="2275"/>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9"/>
      <c r="AI61" s="2659"/>
      <c r="AJ61" s="2659"/>
      <c r="AK61" s="2659"/>
    </row>
    <row r="62" spans="1:37" s="2660" customFormat="1" ht="36.75">
      <c r="A62" s="2669" t="s">
        <v>2754</v>
      </c>
      <c r="B62" s="2674" t="s">
        <v>2755</v>
      </c>
      <c r="C62" s="2559"/>
      <c r="D62" s="1373">
        <f t="shared" si="15"/>
        <v>0</v>
      </c>
      <c r="E62" s="831"/>
      <c r="F62" s="2275"/>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9"/>
      <c r="AI62" s="2659"/>
      <c r="AJ62" s="2659"/>
      <c r="AK62" s="2659"/>
    </row>
    <row r="63" spans="1:37" s="2660" customFormat="1" ht="24">
      <c r="A63" s="2669" t="s">
        <v>2756</v>
      </c>
      <c r="B63" s="2673">
        <f>估价对象房地状况!C24</f>
        <v>0</v>
      </c>
      <c r="C63" s="2559"/>
      <c r="D63" s="1373">
        <f t="shared" si="15"/>
        <v>0</v>
      </c>
      <c r="E63" s="831"/>
      <c r="F63" s="2275"/>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9"/>
      <c r="AI63" s="2659"/>
      <c r="AJ63" s="2659"/>
      <c r="AK63" s="2659"/>
    </row>
    <row r="64" spans="1:37" s="2660" customFormat="1" ht="24">
      <c r="A64" s="2669" t="s">
        <v>2757</v>
      </c>
      <c r="B64" s="2675" t="s">
        <v>2758</v>
      </c>
      <c r="C64" s="2559"/>
      <c r="D64" s="1373">
        <f t="shared" si="15"/>
        <v>0</v>
      </c>
      <c r="E64" s="831"/>
      <c r="F64" s="2275"/>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9"/>
      <c r="AI64" s="2659"/>
      <c r="AJ64" s="2659"/>
      <c r="AK64" s="2659"/>
    </row>
    <row r="65" spans="1:37" s="2660" customFormat="1" ht="25.5">
      <c r="A65" s="2669" t="s">
        <v>2759</v>
      </c>
      <c r="B65" s="2677" t="str">
        <f>估价对象房地状况!C21</f>
        <v>估价对象所在区域公共配套设施齐备情况</v>
      </c>
      <c r="C65" s="2559"/>
      <c r="D65" s="1373">
        <f t="shared" si="15"/>
        <v>0</v>
      </c>
      <c r="E65" s="831"/>
      <c r="F65" s="2275"/>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9"/>
      <c r="AI65" s="2659"/>
      <c r="AJ65" s="2659"/>
      <c r="AK65" s="2659"/>
    </row>
    <row r="66" spans="1:37" s="2660" customFormat="1" ht="25.5">
      <c r="A66" s="2669" t="s">
        <v>2760</v>
      </c>
      <c r="B66" s="2677" t="str">
        <f>估价对象房地状况!C22</f>
        <v>估价对象所在区域基础设施水平</v>
      </c>
      <c r="C66" s="2559"/>
      <c r="D66" s="1373">
        <f t="shared" si="15"/>
        <v>0</v>
      </c>
      <c r="E66" s="831"/>
      <c r="F66" s="2275"/>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9"/>
      <c r="AI66" s="2659"/>
      <c r="AJ66" s="2659"/>
      <c r="AK66" s="2659"/>
    </row>
    <row r="67" spans="1:37" s="2660" customFormat="1" ht="39" thickBot="1">
      <c r="A67" s="2678" t="s">
        <v>2761</v>
      </c>
      <c r="B67" s="2681" t="str">
        <f>估价对象房地状况!C20</f>
        <v>区域自然环境：；人文环境；综合评价环境状况一般</v>
      </c>
      <c r="C67" s="2559"/>
      <c r="D67" s="1373">
        <f t="shared" si="15"/>
        <v>0</v>
      </c>
      <c r="E67" s="837"/>
      <c r="F67" s="2275"/>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9"/>
      <c r="AI67" s="2659"/>
      <c r="AJ67" s="2659"/>
      <c r="AK67" s="2659"/>
    </row>
    <row r="68" spans="1:37" s="2660" customFormat="1" ht="15">
      <c r="A68" s="2664" t="s">
        <v>2767</v>
      </c>
      <c r="B68" s="2680">
        <f>1+E70</f>
        <v>1</v>
      </c>
      <c r="C68" s="816"/>
      <c r="D68" s="816"/>
      <c r="E68" s="817"/>
      <c r="F68" s="2667"/>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9"/>
      <c r="AI68" s="2659"/>
      <c r="AJ68" s="2659"/>
      <c r="AK68" s="2659"/>
    </row>
    <row r="69" spans="1:37" s="2660" customFormat="1" ht="24.75">
      <c r="A69" s="2669" t="s">
        <v>2737</v>
      </c>
      <c r="B69" s="2673"/>
      <c r="C69" s="822" t="s">
        <v>2739</v>
      </c>
      <c r="D69" s="822" t="s">
        <v>2740</v>
      </c>
      <c r="E69" s="823" t="s">
        <v>2741</v>
      </c>
      <c r="F69" s="2670" t="s">
        <v>2742</v>
      </c>
      <c r="G69" s="822" t="s">
        <v>2763</v>
      </c>
      <c r="H69" s="2671" t="s">
        <v>2764</v>
      </c>
      <c r="I69" s="822" t="s">
        <v>2765</v>
      </c>
      <c r="J69" s="587" t="s">
        <v>2397</v>
      </c>
      <c r="K69" s="587" t="s">
        <v>2398</v>
      </c>
      <c r="L69" s="587" t="s">
        <v>2399</v>
      </c>
      <c r="M69" s="587" t="s">
        <v>2400</v>
      </c>
      <c r="N69" s="587" t="s">
        <v>2401</v>
      </c>
      <c r="O69" s="1459"/>
      <c r="P69" s="1459"/>
      <c r="Q69" s="1459"/>
      <c r="R69" s="1459"/>
      <c r="S69" s="1459"/>
      <c r="T69" s="1459"/>
      <c r="U69" s="1459"/>
      <c r="V69" s="1459"/>
      <c r="W69" s="1459"/>
      <c r="X69" s="1459"/>
      <c r="Y69" s="1459"/>
      <c r="Z69" s="1459"/>
      <c r="AA69" s="1460"/>
      <c r="AB69" s="1460"/>
      <c r="AC69" s="1460"/>
      <c r="AD69" s="1460"/>
      <c r="AE69" s="1460"/>
      <c r="AF69" s="1460"/>
      <c r="AG69" s="1460"/>
      <c r="AH69" s="2659"/>
      <c r="AI69" s="2659"/>
      <c r="AJ69" s="2659"/>
      <c r="AK69" s="2659"/>
    </row>
    <row r="70" spans="1:37" s="2660" customFormat="1" ht="51">
      <c r="A70" s="2669" t="s">
        <v>2768</v>
      </c>
      <c r="B70" s="2672" t="str">
        <f>估价对象房地状况!C15</f>
        <v>估价对象周边居住用地比例、居住小区规模和社区发展完善程度，综合评价居住社区成熟度一般</v>
      </c>
      <c r="C70" s="2559"/>
      <c r="D70" s="1373">
        <f t="shared" ref="D70:D78" si="20">SUMIF($J$69:$N$69,C70,J70:N70)</f>
        <v>0</v>
      </c>
      <c r="E70" s="828">
        <f>ROUND(SUM(D70:D78),4)</f>
        <v>0</v>
      </c>
      <c r="F70" s="2275"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9"/>
      <c r="AI70" s="2659"/>
      <c r="AJ70" s="2659"/>
      <c r="AK70" s="2659"/>
    </row>
    <row r="71" spans="1:37" s="2660" customFormat="1" ht="51">
      <c r="A71" s="2669" t="s">
        <v>2752</v>
      </c>
      <c r="B71" s="2673" t="str">
        <f>估价对象房地状况!C18</f>
        <v>估价对象周边道路状况、公共交通通达情况、停车便捷程度，综合评价交通便捷度较好</v>
      </c>
      <c r="C71" s="2559"/>
      <c r="D71" s="1373">
        <f t="shared" si="20"/>
        <v>0</v>
      </c>
      <c r="E71" s="839"/>
      <c r="F71" s="2682"/>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9"/>
      <c r="AI71" s="2659"/>
      <c r="AJ71" s="2659"/>
      <c r="AK71" s="2659"/>
    </row>
    <row r="72" spans="1:37" s="2660" customFormat="1" ht="24">
      <c r="A72" s="2669" t="s">
        <v>2753</v>
      </c>
      <c r="B72" s="2673">
        <f>估价对象房地状况!C19</f>
        <v>0</v>
      </c>
      <c r="C72" s="2559"/>
      <c r="D72" s="1373">
        <f t="shared" si="20"/>
        <v>0</v>
      </c>
      <c r="E72" s="839"/>
      <c r="F72" s="2682"/>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9"/>
      <c r="AI72" s="2659"/>
      <c r="AJ72" s="2659"/>
      <c r="AK72" s="2659"/>
    </row>
    <row r="73" spans="1:37" s="2660" customFormat="1" ht="14.25">
      <c r="A73" s="2669" t="s">
        <v>2769</v>
      </c>
      <c r="B73" s="2673">
        <f>估价对象房地状况!C24</f>
        <v>0</v>
      </c>
      <c r="C73" s="2559"/>
      <c r="D73" s="1373">
        <f t="shared" si="20"/>
        <v>0</v>
      </c>
      <c r="E73" s="839"/>
      <c r="F73" s="2682"/>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9"/>
      <c r="AI73" s="2659"/>
      <c r="AJ73" s="2659"/>
      <c r="AK73" s="2659"/>
    </row>
    <row r="74" spans="1:37" s="2660" customFormat="1" ht="25.5">
      <c r="A74" s="2669" t="s">
        <v>2759</v>
      </c>
      <c r="B74" s="2677" t="str">
        <f>估价对象房地状况!C21</f>
        <v>估价对象所在区域公共配套设施齐备情况</v>
      </c>
      <c r="C74" s="2559"/>
      <c r="D74" s="1373">
        <f t="shared" si="20"/>
        <v>0</v>
      </c>
      <c r="E74" s="839"/>
      <c r="F74" s="2682"/>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9"/>
      <c r="AI74" s="2659"/>
      <c r="AJ74" s="2659"/>
      <c r="AK74" s="2659"/>
    </row>
    <row r="75" spans="1:37" s="2660" customFormat="1" ht="25.5">
      <c r="A75" s="2669" t="s">
        <v>2760</v>
      </c>
      <c r="B75" s="2677" t="str">
        <f>估价对象房地状况!C22</f>
        <v>估价对象所在区域基础设施水平</v>
      </c>
      <c r="C75" s="2559"/>
      <c r="D75" s="1373">
        <f t="shared" si="20"/>
        <v>0</v>
      </c>
      <c r="E75" s="839"/>
      <c r="F75" s="2682"/>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9"/>
      <c r="AI75" s="2659"/>
      <c r="AJ75" s="2659"/>
      <c r="AK75" s="2659"/>
    </row>
    <row r="76" spans="1:37" ht="24">
      <c r="A76" s="2669" t="s">
        <v>2757</v>
      </c>
      <c r="B76" s="2675" t="s">
        <v>2758</v>
      </c>
      <c r="C76" s="2559"/>
      <c r="D76" s="1373">
        <f t="shared" si="20"/>
        <v>0</v>
      </c>
      <c r="E76" s="839"/>
      <c r="F76" s="2682"/>
      <c r="G76" s="1374"/>
      <c r="H76" s="1378" t="str">
        <f t="shared" si="21"/>
        <v>——</v>
      </c>
      <c r="I76" s="827">
        <v>0.05</v>
      </c>
      <c r="J76" s="1375">
        <f t="shared" si="22"/>
        <v>0</v>
      </c>
      <c r="K76" s="1375">
        <f t="shared" si="23"/>
        <v>0</v>
      </c>
      <c r="L76" s="1375">
        <v>0</v>
      </c>
      <c r="M76" s="1375">
        <f t="shared" si="24"/>
        <v>0</v>
      </c>
      <c r="N76" s="1375">
        <f t="shared" si="24"/>
        <v>0</v>
      </c>
      <c r="Z76" s="2506"/>
      <c r="AA76" s="2583"/>
      <c r="AG76" s="2659"/>
      <c r="AK76" s="2583"/>
    </row>
    <row r="77" spans="1:37" ht="38.25">
      <c r="A77" s="2669" t="s">
        <v>2761</v>
      </c>
      <c r="B77" s="2672" t="str">
        <f>估价对象房地状况!C20</f>
        <v>区域自然环境：；人文环境；综合评价环境状况一般</v>
      </c>
      <c r="C77" s="2559"/>
      <c r="D77" s="1373">
        <f t="shared" si="20"/>
        <v>0</v>
      </c>
      <c r="E77" s="839"/>
      <c r="F77" s="2682"/>
      <c r="G77" s="1374"/>
      <c r="H77" s="1378" t="str">
        <f t="shared" si="21"/>
        <v>——</v>
      </c>
      <c r="I77" s="827">
        <v>0.15</v>
      </c>
      <c r="J77" s="1375">
        <f t="shared" si="22"/>
        <v>0</v>
      </c>
      <c r="K77" s="1375">
        <f t="shared" si="23"/>
        <v>0</v>
      </c>
      <c r="L77" s="1375">
        <v>0</v>
      </c>
      <c r="M77" s="1375">
        <f t="shared" si="24"/>
        <v>0</v>
      </c>
      <c r="N77" s="1375">
        <f t="shared" si="24"/>
        <v>0</v>
      </c>
      <c r="Z77" s="2506"/>
      <c r="AA77" s="2583"/>
      <c r="AG77" s="2659"/>
      <c r="AK77" s="2583"/>
    </row>
    <row r="78" spans="1:37" ht="24.75" thickBot="1">
      <c r="A78" s="2678" t="s">
        <v>2770</v>
      </c>
      <c r="B78" s="2683"/>
      <c r="C78" s="2559"/>
      <c r="D78" s="1373">
        <f t="shared" si="20"/>
        <v>0</v>
      </c>
      <c r="E78" s="840"/>
      <c r="F78" s="2682"/>
      <c r="G78" s="1374"/>
      <c r="H78" s="1378" t="str">
        <f t="shared" si="21"/>
        <v>——</v>
      </c>
      <c r="I78" s="836">
        <v>0.04</v>
      </c>
      <c r="J78" s="1375">
        <f t="shared" si="22"/>
        <v>0</v>
      </c>
      <c r="K78" s="1375">
        <f t="shared" si="23"/>
        <v>0</v>
      </c>
      <c r="L78" s="1375">
        <v>0</v>
      </c>
      <c r="M78" s="1375">
        <f t="shared" si="24"/>
        <v>0</v>
      </c>
      <c r="N78" s="1375">
        <f t="shared" si="24"/>
        <v>0</v>
      </c>
      <c r="Z78" s="2506"/>
      <c r="AA78" s="2583"/>
      <c r="AG78" s="2659"/>
      <c r="AK78" s="2583"/>
    </row>
    <row r="79" spans="1:37" ht="15">
      <c r="A79" s="2664" t="s">
        <v>2771</v>
      </c>
      <c r="B79" s="2680">
        <f>1+E81</f>
        <v>1</v>
      </c>
      <c r="C79" s="816"/>
      <c r="D79" s="816"/>
      <c r="E79" s="817"/>
      <c r="F79" s="2667"/>
      <c r="G79" s="7"/>
      <c r="H79" s="7"/>
      <c r="I79" s="7"/>
      <c r="J79" s="9"/>
      <c r="K79" s="9"/>
      <c r="L79" s="9"/>
      <c r="M79" s="9"/>
      <c r="N79" s="9"/>
      <c r="Z79" s="2506"/>
      <c r="AA79" s="2583"/>
      <c r="AG79" s="2659"/>
      <c r="AK79" s="2583"/>
    </row>
    <row r="80" spans="1:37" ht="24.75">
      <c r="A80" s="2669" t="s">
        <v>2737</v>
      </c>
      <c r="B80" s="2673"/>
      <c r="C80" s="822" t="s">
        <v>2739</v>
      </c>
      <c r="D80" s="822" t="s">
        <v>2740</v>
      </c>
      <c r="E80" s="823" t="s">
        <v>2741</v>
      </c>
      <c r="F80" s="2670" t="s">
        <v>2742</v>
      </c>
      <c r="G80" s="822" t="s">
        <v>2763</v>
      </c>
      <c r="H80" s="2671" t="s">
        <v>2764</v>
      </c>
      <c r="I80" s="822" t="s">
        <v>2765</v>
      </c>
      <c r="J80" s="587" t="s">
        <v>2397</v>
      </c>
      <c r="K80" s="587" t="s">
        <v>2398</v>
      </c>
      <c r="L80" s="587" t="s">
        <v>2399</v>
      </c>
      <c r="M80" s="587" t="s">
        <v>2400</v>
      </c>
      <c r="N80" s="587" t="s">
        <v>2401</v>
      </c>
      <c r="Z80" s="2506"/>
      <c r="AA80" s="2583"/>
      <c r="AG80" s="2659"/>
      <c r="AK80" s="2583"/>
    </row>
    <row r="81" spans="1:37" ht="38.25">
      <c r="A81" s="2669" t="s">
        <v>2772</v>
      </c>
      <c r="B81" s="2673" t="str">
        <f>估价对象房地状况!G15</f>
        <v>估价对象位于XX开发区，园区建设成熟度XX，产业集聚程度XX</v>
      </c>
      <c r="C81" s="2559"/>
      <c r="D81" s="1373">
        <f t="shared" ref="D81:D88" si="25">SUMIF($J$80:$N$80,C81,J81:N81)</f>
        <v>0</v>
      </c>
      <c r="E81" s="828">
        <f>ROUND(SUM(D81:D88),4)</f>
        <v>0</v>
      </c>
      <c r="F81" s="2275"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506"/>
      <c r="AA81" s="2583"/>
      <c r="AG81" s="2659"/>
      <c r="AK81" s="2583"/>
    </row>
    <row r="82" spans="1:37" ht="51">
      <c r="A82" s="2669" t="s">
        <v>2752</v>
      </c>
      <c r="B82" s="2673" t="str">
        <f>估价对象房地状况!G16</f>
        <v>估价对象周边道路状况、公共交通通达情况、停车便捷程度，综合评价交通便捷度较好</v>
      </c>
      <c r="C82" s="2559"/>
      <c r="D82" s="1373">
        <f t="shared" si="25"/>
        <v>0</v>
      </c>
      <c r="E82" s="839"/>
      <c r="F82" s="2682"/>
      <c r="G82" s="1374"/>
      <c r="H82" s="1378" t="str">
        <f t="shared" si="26"/>
        <v>——</v>
      </c>
      <c r="I82" s="827">
        <v>0.33</v>
      </c>
      <c r="J82" s="1375">
        <f t="shared" si="27"/>
        <v>0</v>
      </c>
      <c r="K82" s="1375">
        <f t="shared" si="28"/>
        <v>0</v>
      </c>
      <c r="L82" s="1375">
        <v>0</v>
      </c>
      <c r="M82" s="1375">
        <f t="shared" si="29"/>
        <v>0</v>
      </c>
      <c r="N82" s="1375">
        <f t="shared" si="29"/>
        <v>0</v>
      </c>
      <c r="Z82" s="2506"/>
      <c r="AA82" s="2583"/>
      <c r="AG82" s="2659"/>
      <c r="AK82" s="2583"/>
    </row>
    <row r="83" spans="1:37" ht="24">
      <c r="A83" s="2669" t="s">
        <v>2753</v>
      </c>
      <c r="B83" s="2673">
        <f>估价对象房地状况!G17</f>
        <v>0</v>
      </c>
      <c r="C83" s="2559"/>
      <c r="D83" s="1373">
        <f t="shared" si="25"/>
        <v>0</v>
      </c>
      <c r="E83" s="839"/>
      <c r="F83" s="2682"/>
      <c r="G83" s="1374"/>
      <c r="H83" s="1378" t="str">
        <f t="shared" si="26"/>
        <v>——</v>
      </c>
      <c r="I83" s="827">
        <v>0.05</v>
      </c>
      <c r="J83" s="1375">
        <f t="shared" si="27"/>
        <v>0</v>
      </c>
      <c r="K83" s="1375">
        <f t="shared" si="28"/>
        <v>0</v>
      </c>
      <c r="L83" s="1375">
        <v>0</v>
      </c>
      <c r="M83" s="1375">
        <f t="shared" si="29"/>
        <v>0</v>
      </c>
      <c r="N83" s="1375">
        <f t="shared" si="29"/>
        <v>0</v>
      </c>
      <c r="Z83" s="2506"/>
      <c r="AA83" s="2583"/>
      <c r="AG83" s="2659"/>
      <c r="AK83" s="2583"/>
    </row>
    <row r="84" spans="1:37" ht="14.25">
      <c r="A84" s="2669" t="s">
        <v>2769</v>
      </c>
      <c r="B84" s="2673">
        <f>估价对象房地状况!G22</f>
        <v>0</v>
      </c>
      <c r="C84" s="2559"/>
      <c r="D84" s="1373">
        <f t="shared" si="25"/>
        <v>0</v>
      </c>
      <c r="E84" s="839"/>
      <c r="F84" s="2682"/>
      <c r="G84" s="1374"/>
      <c r="H84" s="1378" t="str">
        <f t="shared" si="26"/>
        <v>——</v>
      </c>
      <c r="I84" s="827">
        <v>0.04</v>
      </c>
      <c r="J84" s="1375">
        <f t="shared" si="27"/>
        <v>0</v>
      </c>
      <c r="K84" s="1375">
        <f t="shared" si="28"/>
        <v>0</v>
      </c>
      <c r="L84" s="1375">
        <v>0</v>
      </c>
      <c r="M84" s="1375">
        <f t="shared" si="29"/>
        <v>0</v>
      </c>
      <c r="N84" s="1375">
        <f t="shared" si="29"/>
        <v>0</v>
      </c>
      <c r="Z84" s="2506"/>
      <c r="AA84" s="2583"/>
      <c r="AG84" s="2659"/>
      <c r="AK84" s="2583"/>
    </row>
    <row r="85" spans="1:37" ht="25.5">
      <c r="A85" s="2669" t="s">
        <v>2759</v>
      </c>
      <c r="B85" s="2677" t="str">
        <f>估价对象房地状况!G19</f>
        <v>估价对象所在区域公共配套设施齐备情况</v>
      </c>
      <c r="C85" s="2559"/>
      <c r="D85" s="1373">
        <f t="shared" si="25"/>
        <v>0</v>
      </c>
      <c r="E85" s="839"/>
      <c r="F85" s="2682"/>
      <c r="G85" s="1374"/>
      <c r="H85" s="1378" t="str">
        <f t="shared" si="26"/>
        <v>——</v>
      </c>
      <c r="I85" s="827">
        <v>0.06</v>
      </c>
      <c r="J85" s="1375">
        <f t="shared" si="27"/>
        <v>0</v>
      </c>
      <c r="K85" s="1375">
        <f t="shared" si="28"/>
        <v>0</v>
      </c>
      <c r="L85" s="1375">
        <v>0</v>
      </c>
      <c r="M85" s="1375">
        <f t="shared" si="29"/>
        <v>0</v>
      </c>
      <c r="N85" s="1375">
        <f t="shared" si="29"/>
        <v>0</v>
      </c>
      <c r="Z85" s="2506"/>
      <c r="AA85" s="2583"/>
      <c r="AG85" s="2659"/>
      <c r="AK85" s="2583"/>
    </row>
    <row r="86" spans="1:37" ht="25.5">
      <c r="A86" s="2669" t="s">
        <v>2760</v>
      </c>
      <c r="B86" s="2677" t="str">
        <f>估价对象房地状况!G20</f>
        <v>估价对象所在区域基础设施水平</v>
      </c>
      <c r="C86" s="2559"/>
      <c r="D86" s="1373">
        <f t="shared" si="25"/>
        <v>0</v>
      </c>
      <c r="E86" s="839"/>
      <c r="F86" s="2682"/>
      <c r="G86" s="1374"/>
      <c r="H86" s="1378" t="str">
        <f t="shared" si="26"/>
        <v>——</v>
      </c>
      <c r="I86" s="827">
        <v>0.15</v>
      </c>
      <c r="J86" s="1375">
        <f t="shared" si="27"/>
        <v>0</v>
      </c>
      <c r="K86" s="1375">
        <f t="shared" si="28"/>
        <v>0</v>
      </c>
      <c r="L86" s="1375">
        <v>0</v>
      </c>
      <c r="M86" s="1375">
        <f t="shared" si="29"/>
        <v>0</v>
      </c>
      <c r="N86" s="1375">
        <f t="shared" si="29"/>
        <v>0</v>
      </c>
      <c r="Z86" s="2506"/>
      <c r="AA86" s="2583"/>
      <c r="AG86" s="2659"/>
      <c r="AK86" s="2583"/>
    </row>
    <row r="87" spans="1:37" ht="24">
      <c r="A87" s="2669" t="s">
        <v>2757</v>
      </c>
      <c r="B87" s="2675" t="s">
        <v>2758</v>
      </c>
      <c r="C87" s="2559"/>
      <c r="D87" s="1373">
        <f t="shared" si="25"/>
        <v>0</v>
      </c>
      <c r="E87" s="839"/>
      <c r="F87" s="2682"/>
      <c r="G87" s="1374"/>
      <c r="H87" s="1378" t="str">
        <f t="shared" si="26"/>
        <v>——</v>
      </c>
      <c r="I87" s="827">
        <v>0.05</v>
      </c>
      <c r="J87" s="1375">
        <f t="shared" si="27"/>
        <v>0</v>
      </c>
      <c r="K87" s="1375">
        <f t="shared" si="28"/>
        <v>0</v>
      </c>
      <c r="L87" s="1375">
        <v>0</v>
      </c>
      <c r="M87" s="1375">
        <f t="shared" si="29"/>
        <v>0</v>
      </c>
      <c r="N87" s="1375">
        <f t="shared" si="29"/>
        <v>0</v>
      </c>
      <c r="Z87" s="2506"/>
      <c r="AA87" s="2583"/>
      <c r="AG87" s="2659"/>
      <c r="AK87" s="2583"/>
    </row>
    <row r="88" spans="1:37" ht="39" thickBot="1">
      <c r="A88" s="2678" t="s">
        <v>2773</v>
      </c>
      <c r="B88" s="2684" t="str">
        <f>估价对象房地状况!G18</f>
        <v>该园区内是否有污染型企业，绿化情况，卫生条件，整体环境状况判断</v>
      </c>
      <c r="C88" s="2685"/>
      <c r="D88" s="1379">
        <f t="shared" si="25"/>
        <v>0</v>
      </c>
      <c r="E88" s="840"/>
      <c r="F88" s="2682"/>
      <c r="G88" s="1374"/>
      <c r="H88" s="1378" t="str">
        <f t="shared" si="26"/>
        <v>——</v>
      </c>
      <c r="I88" s="836">
        <v>0.06</v>
      </c>
      <c r="J88" s="1375">
        <f t="shared" si="27"/>
        <v>0</v>
      </c>
      <c r="K88" s="1375">
        <f t="shared" si="28"/>
        <v>0</v>
      </c>
      <c r="L88" s="1375">
        <v>0</v>
      </c>
      <c r="M88" s="1375">
        <f t="shared" si="29"/>
        <v>0</v>
      </c>
      <c r="N88" s="1375">
        <f t="shared" si="29"/>
        <v>0</v>
      </c>
      <c r="Z88" s="2506"/>
      <c r="AA88" s="2583"/>
      <c r="AG88" s="2659"/>
      <c r="AK88" s="2583"/>
    </row>
    <row r="90" spans="1:37">
      <c r="A90" s="3077" t="s">
        <v>2774</v>
      </c>
      <c r="B90" s="3077"/>
      <c r="C90" s="3077"/>
      <c r="D90" s="3077"/>
      <c r="E90" s="3077"/>
      <c r="F90" s="3077"/>
      <c r="G90" s="3077"/>
      <c r="H90" s="3077"/>
      <c r="I90" s="3077"/>
      <c r="J90" s="3077"/>
      <c r="K90" s="2686"/>
      <c r="L90" s="2686"/>
      <c r="M90" s="2686"/>
      <c r="N90" s="2686"/>
    </row>
    <row r="91" spans="1:37">
      <c r="A91" s="3079" t="s">
        <v>2775</v>
      </c>
      <c r="B91" s="3079" t="s">
        <v>2776</v>
      </c>
      <c r="C91" s="2634" t="s">
        <v>2777</v>
      </c>
      <c r="D91" s="2635"/>
      <c r="E91" s="2635"/>
      <c r="F91" s="2635"/>
      <c r="G91" s="2635"/>
      <c r="H91" s="2635"/>
      <c r="I91" s="2635"/>
      <c r="J91" s="2687"/>
      <c r="K91" s="2688"/>
      <c r="L91" s="2688"/>
      <c r="M91" s="2688"/>
      <c r="N91" s="2688"/>
    </row>
    <row r="92" spans="1:37">
      <c r="A92" s="3079"/>
      <c r="B92" s="3079"/>
      <c r="C92" s="971" t="s">
        <v>2628</v>
      </c>
      <c r="D92" s="971" t="s">
        <v>2629</v>
      </c>
      <c r="E92" s="971" t="s">
        <v>2630</v>
      </c>
      <c r="F92" s="971" t="s">
        <v>2631</v>
      </c>
      <c r="G92" s="971" t="s">
        <v>2632</v>
      </c>
      <c r="H92" s="971" t="s">
        <v>2633</v>
      </c>
      <c r="I92" s="971" t="s">
        <v>2634</v>
      </c>
      <c r="J92" s="971" t="s">
        <v>2635</v>
      </c>
      <c r="K92" s="971" t="s">
        <v>2636</v>
      </c>
      <c r="L92" s="971" t="s">
        <v>2637</v>
      </c>
      <c r="M92" s="971" t="s">
        <v>2638</v>
      </c>
      <c r="N92" s="971" t="s">
        <v>2639</v>
      </c>
    </row>
    <row r="93" spans="1:37">
      <c r="A93" s="3080" t="s">
        <v>2778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1"/>
      <c r="B99" s="2689" t="s">
        <v>2644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0" t="s">
        <v>2779</v>
      </c>
      <c r="B101" s="2693" t="s">
        <v>2780</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1"/>
      <c r="B108" s="3083" t="s">
        <v>2781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2"/>
      <c r="B109" s="308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8" t="s">
        <v>2782</v>
      </c>
      <c r="B110" s="3078"/>
      <c r="C110" s="3078"/>
      <c r="D110" s="3078"/>
      <c r="E110" s="3078"/>
      <c r="F110" s="3078"/>
      <c r="G110" s="3078"/>
      <c r="H110" s="3078"/>
      <c r="I110" s="3078"/>
      <c r="J110" s="3078"/>
      <c r="K110" s="2695"/>
      <c r="L110" s="2695"/>
      <c r="M110" s="2695"/>
      <c r="N110" s="2695"/>
    </row>
    <row r="112" spans="1:14" ht="13.5" thickBot="1"/>
    <row r="113" spans="1:13" ht="25.5" thickBot="1">
      <c r="A113" s="927" t="s">
        <v>2783</v>
      </c>
      <c r="B113" s="1376">
        <f>G3</f>
        <v>0</v>
      </c>
      <c r="C113" s="928" t="s">
        <v>2784</v>
      </c>
      <c r="D113" s="929">
        <f>SUMPRODUCT((A115:A118=F113)*(B114:M114=H113)*B115:M118)</f>
        <v>0</v>
      </c>
      <c r="E113" s="2697" t="s">
        <v>2668</v>
      </c>
      <c r="F113" s="2698">
        <f>E2</f>
        <v>0</v>
      </c>
      <c r="G113" s="2697" t="s">
        <v>2602</v>
      </c>
      <c r="H113" s="2698">
        <f>G2</f>
        <v>0</v>
      </c>
      <c r="I113" s="2697"/>
      <c r="J113" s="2699"/>
      <c r="K113" s="2699"/>
      <c r="L113" s="2699"/>
      <c r="M113" s="2699"/>
    </row>
    <row r="114" spans="1:13">
      <c r="A114" s="932"/>
      <c r="B114" s="2700" t="s">
        <v>2785</v>
      </c>
      <c r="C114" s="2700" t="s">
        <v>2786</v>
      </c>
      <c r="D114" s="2700" t="s">
        <v>2787</v>
      </c>
      <c r="E114" s="2701" t="s">
        <v>2788</v>
      </c>
      <c r="F114" s="2701" t="s">
        <v>2789</v>
      </c>
      <c r="G114" s="2701" t="s">
        <v>2790</v>
      </c>
      <c r="H114" s="2702" t="s">
        <v>2791</v>
      </c>
      <c r="I114" s="2702" t="s">
        <v>2792</v>
      </c>
      <c r="J114" s="2703" t="s">
        <v>2793</v>
      </c>
      <c r="K114" s="2703" t="s">
        <v>2794</v>
      </c>
      <c r="L114" s="2703" t="s">
        <v>2795</v>
      </c>
      <c r="M114" s="2704" t="s">
        <v>2796</v>
      </c>
    </row>
    <row r="115" spans="1:13">
      <c r="A115" s="933" t="s">
        <v>2669</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2670</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2671</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2672</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088" t="s">
        <v>787</v>
      </c>
      <c r="B1" s="3088"/>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5" t="s">
        <v>794</v>
      </c>
      <c r="B5" s="856" t="s">
        <v>795</v>
      </c>
      <c r="C5" s="1099">
        <v>8.8999999999999996E-2</v>
      </c>
      <c r="D5" s="1099">
        <v>7.3999999999999996E-2</v>
      </c>
      <c r="E5" s="1099">
        <v>7.4999999999999997E-2</v>
      </c>
      <c r="F5" s="1100">
        <v>0.1</v>
      </c>
    </row>
    <row r="6" spans="1:6" ht="14.25" thickBot="1">
      <c r="A6" s="855" t="s">
        <v>161</v>
      </c>
      <c r="B6" s="849" t="s">
        <v>796</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797</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798</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799</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800</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801</v>
      </c>
      <c r="C72" s="1107"/>
      <c r="D72" s="1107"/>
      <c r="E72" s="1107"/>
      <c r="F72" s="1102">
        <v>0.05</v>
      </c>
    </row>
    <row r="73" spans="1:6" ht="14.25" thickBot="1">
      <c r="A73" s="855" t="s">
        <v>87</v>
      </c>
      <c r="B73" s="849" t="s">
        <v>802</v>
      </c>
      <c r="C73" s="1107"/>
      <c r="D73" s="1107"/>
      <c r="E73" s="1107"/>
      <c r="F73" s="1102">
        <v>0.05</v>
      </c>
    </row>
    <row r="74" spans="1:6" ht="14.25" thickBot="1">
      <c r="A74" s="855" t="s">
        <v>87</v>
      </c>
      <c r="B74" s="849" t="s">
        <v>803</v>
      </c>
      <c r="C74" s="1107"/>
      <c r="D74" s="1107"/>
      <c r="E74" s="1107"/>
      <c r="F74" s="1102">
        <v>0.05</v>
      </c>
    </row>
    <row r="75" spans="1:6" ht="14.25" thickBot="1">
      <c r="A75" s="872" t="s">
        <v>87</v>
      </c>
      <c r="B75" s="865" t="s">
        <v>804</v>
      </c>
      <c r="C75" s="1104"/>
      <c r="D75" s="1104"/>
      <c r="E75" s="1104"/>
      <c r="F75" s="1108">
        <v>0.05</v>
      </c>
    </row>
    <row r="76" spans="1:6" ht="14.25" thickBot="1">
      <c r="A76" s="855" t="s">
        <v>480</v>
      </c>
      <c r="B76" s="856" t="s">
        <v>805</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806</v>
      </c>
      <c r="C102" s="1107"/>
      <c r="D102" s="1107"/>
      <c r="E102" s="1107"/>
      <c r="F102" s="1102">
        <v>0.05</v>
      </c>
    </row>
    <row r="103" spans="1:6" ht="24.75" thickBot="1">
      <c r="A103" s="855" t="s">
        <v>480</v>
      </c>
      <c r="B103" s="849" t="s">
        <v>807</v>
      </c>
      <c r="C103" s="1107"/>
      <c r="D103" s="1107"/>
      <c r="E103" s="1107"/>
      <c r="F103" s="1102">
        <v>0.05</v>
      </c>
    </row>
    <row r="104" spans="1:6" ht="14.25" thickBot="1">
      <c r="A104" s="855" t="s">
        <v>480</v>
      </c>
      <c r="B104" s="849" t="s">
        <v>808</v>
      </c>
      <c r="C104" s="1107"/>
      <c r="D104" s="1107"/>
      <c r="E104" s="1107"/>
      <c r="F104" s="1102">
        <v>0.05</v>
      </c>
    </row>
    <row r="105" spans="1:6" ht="14.25" thickBot="1">
      <c r="A105" s="855" t="s">
        <v>480</v>
      </c>
      <c r="B105" s="849" t="s">
        <v>809</v>
      </c>
      <c r="C105" s="1107"/>
      <c r="D105" s="1107"/>
      <c r="E105" s="1107"/>
      <c r="F105" s="1102">
        <v>0.05</v>
      </c>
    </row>
    <row r="106" spans="1:6" ht="14.25" thickBot="1">
      <c r="A106" s="855" t="s">
        <v>480</v>
      </c>
      <c r="B106" s="849" t="s">
        <v>810</v>
      </c>
      <c r="C106" s="1107"/>
      <c r="D106" s="1107"/>
      <c r="E106" s="1107"/>
      <c r="F106" s="1102">
        <v>0.05</v>
      </c>
    </row>
    <row r="107" spans="1:6" ht="24.75" thickBot="1">
      <c r="A107" s="855" t="s">
        <v>480</v>
      </c>
      <c r="B107" s="849" t="s">
        <v>811</v>
      </c>
      <c r="C107" s="1107"/>
      <c r="D107" s="1107"/>
      <c r="E107" s="1107"/>
      <c r="F107" s="1102">
        <v>0.05</v>
      </c>
    </row>
    <row r="108" spans="1:6" ht="24.75" thickBot="1">
      <c r="A108" s="855" t="s">
        <v>480</v>
      </c>
      <c r="B108" s="849" t="s">
        <v>812</v>
      </c>
      <c r="C108" s="1107"/>
      <c r="D108" s="1107"/>
      <c r="E108" s="1107"/>
      <c r="F108" s="1102">
        <v>0.05</v>
      </c>
    </row>
    <row r="109" spans="1:6" ht="24.75" thickBot="1">
      <c r="A109" s="872" t="s">
        <v>480</v>
      </c>
      <c r="B109" s="865" t="s">
        <v>813</v>
      </c>
      <c r="C109" s="1104"/>
      <c r="D109" s="1104"/>
      <c r="E109" s="1104"/>
      <c r="F109" s="1108">
        <v>0.05</v>
      </c>
    </row>
    <row r="110" spans="1:6" ht="14.25" thickBot="1">
      <c r="A110" s="855" t="s">
        <v>70</v>
      </c>
      <c r="B110" s="856" t="s">
        <v>814</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815</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816</v>
      </c>
      <c r="C138" s="1101">
        <v>0.105</v>
      </c>
      <c r="D138" s="1101">
        <v>0.125</v>
      </c>
      <c r="E138" s="1101">
        <v>0.112</v>
      </c>
      <c r="F138" s="1106"/>
    </row>
    <row r="139" spans="1:6" ht="14.25" thickBot="1">
      <c r="A139" s="855" t="s">
        <v>70</v>
      </c>
      <c r="B139" s="849" t="s">
        <v>817</v>
      </c>
      <c r="C139" s="1101">
        <v>0.127</v>
      </c>
      <c r="D139" s="1101">
        <v>0.127</v>
      </c>
      <c r="E139" s="1101">
        <v>0.122</v>
      </c>
      <c r="F139" s="1102">
        <v>0.13</v>
      </c>
    </row>
    <row r="140" spans="1:6" ht="14.25" thickBot="1">
      <c r="A140" s="855" t="s">
        <v>70</v>
      </c>
      <c r="B140" s="849" t="s">
        <v>818</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819</v>
      </c>
      <c r="C144" s="1110">
        <v>0.126</v>
      </c>
      <c r="D144" s="1110">
        <v>0.126</v>
      </c>
      <c r="E144" s="1110">
        <v>0.121</v>
      </c>
      <c r="F144" s="1106"/>
    </row>
    <row r="145" spans="1:6" ht="14.25" thickBot="1">
      <c r="A145" s="872" t="s">
        <v>70</v>
      </c>
      <c r="B145" s="1111" t="s">
        <v>820</v>
      </c>
      <c r="C145" s="1112"/>
      <c r="D145" s="1112"/>
      <c r="E145" s="1112"/>
      <c r="F145" s="1113">
        <v>0.05</v>
      </c>
    </row>
    <row r="146" spans="1:6" ht="24.75" thickBot="1">
      <c r="A146" s="1114" t="s">
        <v>70</v>
      </c>
      <c r="B146" s="863" t="s">
        <v>821</v>
      </c>
      <c r="C146" s="1107"/>
      <c r="D146" s="1107"/>
      <c r="E146" s="1107"/>
      <c r="F146" s="1115">
        <v>0.05</v>
      </c>
    </row>
    <row r="147" spans="1:6" ht="24.75" thickBot="1">
      <c r="A147" s="855" t="s">
        <v>70</v>
      </c>
      <c r="B147" s="849" t="s">
        <v>822</v>
      </c>
      <c r="C147" s="1107"/>
      <c r="D147" s="1107"/>
      <c r="E147" s="1107"/>
      <c r="F147" s="1102">
        <v>0.05</v>
      </c>
    </row>
    <row r="148" spans="1:6" ht="24.75" thickBot="1">
      <c r="A148" s="855" t="s">
        <v>70</v>
      </c>
      <c r="B148" s="849" t="s">
        <v>823</v>
      </c>
      <c r="C148" s="1107"/>
      <c r="D148" s="1107"/>
      <c r="E148" s="1107"/>
      <c r="F148" s="1102">
        <v>0.05</v>
      </c>
    </row>
    <row r="149" spans="1:6" ht="24.75" thickBot="1">
      <c r="A149" s="855" t="s">
        <v>70</v>
      </c>
      <c r="B149" s="849" t="s">
        <v>824</v>
      </c>
      <c r="C149" s="1107"/>
      <c r="D149" s="1107"/>
      <c r="E149" s="1107"/>
      <c r="F149" s="1102">
        <v>0.05</v>
      </c>
    </row>
    <row r="150" spans="1:6" ht="24.75" thickBot="1">
      <c r="A150" s="855" t="s">
        <v>70</v>
      </c>
      <c r="B150" s="849" t="s">
        <v>825</v>
      </c>
      <c r="C150" s="1107"/>
      <c r="D150" s="1107"/>
      <c r="E150" s="1107"/>
      <c r="F150" s="1102">
        <v>0.05</v>
      </c>
    </row>
    <row r="151" spans="1:6" ht="24.75" thickBot="1">
      <c r="A151" s="855" t="s">
        <v>70</v>
      </c>
      <c r="B151" s="849" t="s">
        <v>826</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827</v>
      </c>
      <c r="C153" s="1107"/>
      <c r="D153" s="1107"/>
      <c r="E153" s="1107"/>
      <c r="F153" s="1102">
        <v>0.05</v>
      </c>
    </row>
    <row r="154" spans="1:6" ht="14.25" thickBot="1">
      <c r="A154" s="855" t="s">
        <v>70</v>
      </c>
      <c r="B154" s="849" t="s">
        <v>828</v>
      </c>
      <c r="C154" s="1107"/>
      <c r="D154" s="1107"/>
      <c r="E154" s="1107"/>
      <c r="F154" s="1102">
        <v>0.05</v>
      </c>
    </row>
    <row r="155" spans="1:6" ht="24.75" thickBot="1">
      <c r="A155" s="855" t="s">
        <v>70</v>
      </c>
      <c r="B155" s="849" t="s">
        <v>829</v>
      </c>
      <c r="C155" s="1107"/>
      <c r="D155" s="1107"/>
      <c r="E155" s="1107"/>
      <c r="F155" s="1102">
        <v>0.05</v>
      </c>
    </row>
    <row r="156" spans="1:6" ht="24.75" thickBot="1">
      <c r="A156" s="855" t="s">
        <v>70</v>
      </c>
      <c r="B156" s="849" t="s">
        <v>830</v>
      </c>
      <c r="C156" s="1107"/>
      <c r="D156" s="1107"/>
      <c r="E156" s="1107"/>
      <c r="F156" s="1102">
        <v>0.05</v>
      </c>
    </row>
    <row r="157" spans="1:6" ht="14.25" thickBot="1">
      <c r="A157" s="872" t="s">
        <v>70</v>
      </c>
      <c r="B157" s="865" t="s">
        <v>831</v>
      </c>
      <c r="C157" s="1104"/>
      <c r="D157" s="1104"/>
      <c r="E157" s="1104"/>
      <c r="F157" s="1108">
        <v>0.05</v>
      </c>
    </row>
    <row r="158" spans="1:6" ht="14.25" thickBot="1">
      <c r="A158" s="855" t="s">
        <v>483</v>
      </c>
      <c r="B158" s="856" t="s">
        <v>832</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833</v>
      </c>
      <c r="C171" s="1101">
        <v>0.127</v>
      </c>
      <c r="D171" s="1101">
        <v>0.126</v>
      </c>
      <c r="E171" s="1101">
        <v>0.126</v>
      </c>
      <c r="F171" s="1102">
        <v>0.11799999999999999</v>
      </c>
    </row>
    <row r="172" spans="1:6" ht="14.25" thickBot="1">
      <c r="A172" s="855" t="s">
        <v>483</v>
      </c>
      <c r="B172" s="849" t="s">
        <v>834</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835</v>
      </c>
      <c r="C174" s="1101">
        <v>0.13</v>
      </c>
      <c r="D174" s="1101">
        <v>0.13</v>
      </c>
      <c r="E174" s="1101">
        <v>0.13</v>
      </c>
      <c r="F174" s="1102">
        <v>0.13</v>
      </c>
    </row>
    <row r="175" spans="1:6" ht="14.25" thickBot="1">
      <c r="A175" s="855" t="s">
        <v>483</v>
      </c>
      <c r="B175" s="849" t="s">
        <v>836</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837</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838</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839</v>
      </c>
      <c r="C185" s="1101">
        <v>0.127</v>
      </c>
      <c r="D185" s="1101">
        <v>0.127</v>
      </c>
      <c r="E185" s="1101">
        <v>0.128</v>
      </c>
      <c r="F185" s="1102">
        <v>0.13</v>
      </c>
    </row>
    <row r="186" spans="1:6" ht="24.75" thickBot="1">
      <c r="A186" s="855" t="s">
        <v>483</v>
      </c>
      <c r="B186" s="849" t="s">
        <v>840</v>
      </c>
      <c r="C186" s="1107"/>
      <c r="D186" s="1107"/>
      <c r="E186" s="1107"/>
      <c r="F186" s="1102">
        <v>0.05</v>
      </c>
    </row>
    <row r="187" spans="1:6" ht="14.25" thickBot="1">
      <c r="A187" s="855" t="s">
        <v>483</v>
      </c>
      <c r="B187" s="849" t="s">
        <v>841</v>
      </c>
      <c r="C187" s="1107"/>
      <c r="D187" s="1107"/>
      <c r="E187" s="1107"/>
      <c r="F187" s="1102">
        <v>0.05</v>
      </c>
    </row>
    <row r="188" spans="1:6" ht="14.25" thickBot="1">
      <c r="A188" s="855" t="s">
        <v>483</v>
      </c>
      <c r="B188" s="849" t="s">
        <v>842</v>
      </c>
      <c r="C188" s="1107"/>
      <c r="D188" s="1107"/>
      <c r="E188" s="1107"/>
      <c r="F188" s="1102">
        <v>0.05</v>
      </c>
    </row>
    <row r="189" spans="1:6" ht="24.75" thickBot="1">
      <c r="A189" s="855" t="s">
        <v>483</v>
      </c>
      <c r="B189" s="849" t="s">
        <v>843</v>
      </c>
      <c r="C189" s="1107"/>
      <c r="D189" s="1107"/>
      <c r="E189" s="1107"/>
      <c r="F189" s="1102">
        <v>0.05</v>
      </c>
    </row>
    <row r="190" spans="1:6" ht="24.75" thickBot="1">
      <c r="A190" s="855" t="s">
        <v>483</v>
      </c>
      <c r="B190" s="849" t="s">
        <v>844</v>
      </c>
      <c r="C190" s="1107"/>
      <c r="D190" s="1107"/>
      <c r="E190" s="1107"/>
      <c r="F190" s="1102">
        <v>0.05</v>
      </c>
    </row>
    <row r="191" spans="1:6" ht="24.75" thickBot="1">
      <c r="A191" s="855" t="s">
        <v>483</v>
      </c>
      <c r="B191" s="849" t="s">
        <v>845</v>
      </c>
      <c r="C191" s="1107"/>
      <c r="D191" s="1107"/>
      <c r="E191" s="1107"/>
      <c r="F191" s="1102">
        <v>0.05</v>
      </c>
    </row>
    <row r="192" spans="1:6" ht="24.75" thickBot="1">
      <c r="A192" s="855" t="s">
        <v>483</v>
      </c>
      <c r="B192" s="849" t="s">
        <v>846</v>
      </c>
      <c r="C192" s="1107"/>
      <c r="D192" s="1107"/>
      <c r="E192" s="1107"/>
      <c r="F192" s="1102">
        <v>0.05</v>
      </c>
    </row>
    <row r="193" spans="1:6" ht="24.75" thickBot="1">
      <c r="A193" s="855" t="s">
        <v>483</v>
      </c>
      <c r="B193" s="849" t="s">
        <v>847</v>
      </c>
      <c r="C193" s="1107"/>
      <c r="D193" s="1107"/>
      <c r="E193" s="1107"/>
      <c r="F193" s="1102">
        <v>0.05</v>
      </c>
    </row>
    <row r="194" spans="1:6" ht="24.75" thickBot="1">
      <c r="A194" s="855" t="s">
        <v>483</v>
      </c>
      <c r="B194" s="849" t="s">
        <v>848</v>
      </c>
      <c r="C194" s="1107"/>
      <c r="D194" s="1107"/>
      <c r="E194" s="1107"/>
      <c r="F194" s="1102">
        <v>0.05</v>
      </c>
    </row>
    <row r="195" spans="1:6" ht="14.25" thickBot="1">
      <c r="A195" s="855" t="s">
        <v>483</v>
      </c>
      <c r="B195" s="849" t="s">
        <v>849</v>
      </c>
      <c r="C195" s="1107"/>
      <c r="D195" s="1107"/>
      <c r="E195" s="1107"/>
      <c r="F195" s="1102">
        <v>0.05</v>
      </c>
    </row>
    <row r="196" spans="1:6" ht="24.75" thickBot="1">
      <c r="A196" s="855" t="s">
        <v>483</v>
      </c>
      <c r="B196" s="849" t="s">
        <v>850</v>
      </c>
      <c r="C196" s="1107"/>
      <c r="D196" s="1107"/>
      <c r="E196" s="1107"/>
      <c r="F196" s="1102">
        <v>0.05</v>
      </c>
    </row>
    <row r="197" spans="1:6" ht="24.75" thickBot="1">
      <c r="A197" s="855" t="s">
        <v>483</v>
      </c>
      <c r="B197" s="849" t="s">
        <v>851</v>
      </c>
      <c r="C197" s="1107"/>
      <c r="D197" s="1107"/>
      <c r="E197" s="1107"/>
      <c r="F197" s="1102">
        <v>0.05</v>
      </c>
    </row>
    <row r="198" spans="1:6" ht="24.75" thickBot="1">
      <c r="A198" s="855" t="s">
        <v>483</v>
      </c>
      <c r="B198" s="849" t="s">
        <v>852</v>
      </c>
      <c r="C198" s="1107"/>
      <c r="D198" s="1107"/>
      <c r="E198" s="1107"/>
      <c r="F198" s="1102">
        <v>0.05</v>
      </c>
    </row>
    <row r="199" spans="1:6" ht="24.75" thickBot="1">
      <c r="A199" s="855" t="s">
        <v>483</v>
      </c>
      <c r="B199" s="849" t="s">
        <v>853</v>
      </c>
      <c r="C199" s="1107"/>
      <c r="D199" s="1107"/>
      <c r="E199" s="1107"/>
      <c r="F199" s="1102">
        <v>0.05</v>
      </c>
    </row>
    <row r="200" spans="1:6" ht="24.75" thickBot="1">
      <c r="A200" s="855" t="s">
        <v>483</v>
      </c>
      <c r="B200" s="849" t="s">
        <v>854</v>
      </c>
      <c r="C200" s="1107"/>
      <c r="D200" s="1107"/>
      <c r="E200" s="1107"/>
      <c r="F200" s="1102">
        <v>0.05</v>
      </c>
    </row>
    <row r="201" spans="1:6" ht="24.75" thickBot="1">
      <c r="A201" s="855" t="s">
        <v>483</v>
      </c>
      <c r="B201" s="849" t="s">
        <v>855</v>
      </c>
      <c r="C201" s="1107"/>
      <c r="D201" s="1107"/>
      <c r="E201" s="1107"/>
      <c r="F201" s="1102">
        <v>0.05</v>
      </c>
    </row>
    <row r="202" spans="1:6" ht="24.75" thickBot="1">
      <c r="A202" s="855" t="s">
        <v>483</v>
      </c>
      <c r="B202" s="849" t="s">
        <v>856</v>
      </c>
      <c r="C202" s="1107"/>
      <c r="D202" s="1107"/>
      <c r="E202" s="1107"/>
      <c r="F202" s="1102">
        <v>0.05</v>
      </c>
    </row>
    <row r="203" spans="1:6" ht="24.75" thickBot="1">
      <c r="A203" s="855" t="s">
        <v>483</v>
      </c>
      <c r="B203" s="849" t="s">
        <v>857</v>
      </c>
      <c r="C203" s="1107"/>
      <c r="D203" s="1107"/>
      <c r="E203" s="1107"/>
      <c r="F203" s="1102">
        <v>0.05</v>
      </c>
    </row>
    <row r="204" spans="1:6" ht="14.25" thickBot="1">
      <c r="A204" s="855" t="s">
        <v>483</v>
      </c>
      <c r="B204" s="849" t="s">
        <v>858</v>
      </c>
      <c r="C204" s="1107"/>
      <c r="D204" s="1107"/>
      <c r="E204" s="1107"/>
      <c r="F204" s="1102">
        <v>0.05</v>
      </c>
    </row>
    <row r="205" spans="1:6" ht="14.25" thickBot="1">
      <c r="A205" s="872" t="s">
        <v>483</v>
      </c>
      <c r="B205" s="865" t="s">
        <v>859</v>
      </c>
      <c r="C205" s="1104"/>
      <c r="D205" s="1104"/>
      <c r="E205" s="1104"/>
      <c r="F205" s="1108">
        <v>0.05</v>
      </c>
    </row>
    <row r="206" spans="1:6" ht="14.25" thickBot="1">
      <c r="A206" s="855" t="s">
        <v>485</v>
      </c>
      <c r="B206" s="856" t="s">
        <v>860</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861</v>
      </c>
      <c r="C210" s="1101">
        <v>0.15</v>
      </c>
      <c r="D210" s="1101">
        <v>0.15</v>
      </c>
      <c r="E210" s="1101">
        <v>0.15</v>
      </c>
      <c r="F210" s="1102">
        <v>0.13800000000000001</v>
      </c>
    </row>
    <row r="211" spans="1:6" ht="14.25" thickBot="1">
      <c r="A211" s="855" t="s">
        <v>485</v>
      </c>
      <c r="B211" s="849" t="s">
        <v>862</v>
      </c>
      <c r="C211" s="1101">
        <v>0.13700000000000001</v>
      </c>
      <c r="D211" s="1101">
        <v>0.13500000000000001</v>
      </c>
      <c r="E211" s="1101">
        <v>0.13600000000000001</v>
      </c>
      <c r="F211" s="1102">
        <v>0.1</v>
      </c>
    </row>
    <row r="212" spans="1:6" ht="14.25" thickBot="1">
      <c r="A212" s="855" t="s">
        <v>485</v>
      </c>
      <c r="B212" s="849" t="s">
        <v>863</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864</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865</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866</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867</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868</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869</v>
      </c>
      <c r="C231" s="1101">
        <v>0.128</v>
      </c>
      <c r="D231" s="1101">
        <v>0.125</v>
      </c>
      <c r="E231" s="1101">
        <v>0.13200000000000001</v>
      </c>
      <c r="F231" s="1106"/>
    </row>
    <row r="232" spans="1:6" ht="14.25" thickBot="1">
      <c r="A232" s="855" t="s">
        <v>485</v>
      </c>
      <c r="B232" s="849" t="s">
        <v>870</v>
      </c>
      <c r="C232" s="1101">
        <v>0.14499999999999999</v>
      </c>
      <c r="D232" s="1101">
        <v>0.14399999999999999</v>
      </c>
      <c r="E232" s="1101">
        <v>0.14599999999999999</v>
      </c>
      <c r="F232" s="1102">
        <v>0.13800000000000001</v>
      </c>
    </row>
    <row r="233" spans="1:6" ht="14.25" thickBot="1">
      <c r="A233" s="855" t="s">
        <v>485</v>
      </c>
      <c r="B233" s="849" t="s">
        <v>871</v>
      </c>
      <c r="C233" s="1101">
        <v>0.14499999999999999</v>
      </c>
      <c r="D233" s="1101">
        <v>0.14299999999999999</v>
      </c>
      <c r="E233" s="1101">
        <v>0.14199999999999999</v>
      </c>
      <c r="F233" s="1106"/>
    </row>
    <row r="234" spans="1:6" ht="14.25" thickBot="1">
      <c r="A234" s="855" t="s">
        <v>485</v>
      </c>
      <c r="B234" s="849" t="s">
        <v>872</v>
      </c>
      <c r="C234" s="1101">
        <v>0.14000000000000001</v>
      </c>
      <c r="D234" s="1101">
        <v>0.14000000000000001</v>
      </c>
      <c r="E234" s="1101">
        <v>0.14399999999999999</v>
      </c>
      <c r="F234" s="1106"/>
    </row>
    <row r="235" spans="1:6" ht="14.25" thickBot="1">
      <c r="A235" s="855" t="s">
        <v>485</v>
      </c>
      <c r="B235" s="849" t="s">
        <v>873</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874</v>
      </c>
      <c r="C237" s="1107"/>
      <c r="D237" s="1107"/>
      <c r="E237" s="1107"/>
      <c r="F237" s="1102">
        <v>0.05</v>
      </c>
    </row>
    <row r="238" spans="1:6" ht="24.75" thickBot="1">
      <c r="A238" s="855" t="s">
        <v>485</v>
      </c>
      <c r="B238" s="849" t="s">
        <v>875</v>
      </c>
      <c r="C238" s="1107"/>
      <c r="D238" s="1107"/>
      <c r="E238" s="1107"/>
      <c r="F238" s="1102">
        <v>0.05</v>
      </c>
    </row>
    <row r="239" spans="1:6" ht="24.75" thickBot="1">
      <c r="A239" s="855" t="s">
        <v>485</v>
      </c>
      <c r="B239" s="849" t="s">
        <v>876</v>
      </c>
      <c r="C239" s="1107"/>
      <c r="D239" s="1107"/>
      <c r="E239" s="1107"/>
      <c r="F239" s="1102">
        <v>0.05</v>
      </c>
    </row>
    <row r="240" spans="1:6" ht="24.75" thickBot="1">
      <c r="A240" s="855" t="s">
        <v>485</v>
      </c>
      <c r="B240" s="849" t="s">
        <v>877</v>
      </c>
      <c r="C240" s="1107"/>
      <c r="D240" s="1107"/>
      <c r="E240" s="1107"/>
      <c r="F240" s="1102">
        <v>0.05</v>
      </c>
    </row>
    <row r="241" spans="1:6" ht="24.75" thickBot="1">
      <c r="A241" s="855" t="s">
        <v>485</v>
      </c>
      <c r="B241" s="849" t="s">
        <v>878</v>
      </c>
      <c r="C241" s="1107"/>
      <c r="D241" s="1107"/>
      <c r="E241" s="1107"/>
      <c r="F241" s="1102">
        <v>0.05</v>
      </c>
    </row>
    <row r="242" spans="1:6" ht="24.75" thickBot="1">
      <c r="A242" s="855" t="s">
        <v>485</v>
      </c>
      <c r="B242" s="849" t="s">
        <v>879</v>
      </c>
      <c r="C242" s="1107"/>
      <c r="D242" s="1107"/>
      <c r="E242" s="1107"/>
      <c r="F242" s="1102">
        <v>0.05</v>
      </c>
    </row>
    <row r="243" spans="1:6" ht="24.75" thickBot="1">
      <c r="A243" s="855" t="s">
        <v>485</v>
      </c>
      <c r="B243" s="849" t="s">
        <v>880</v>
      </c>
      <c r="C243" s="1107"/>
      <c r="D243" s="1107"/>
      <c r="E243" s="1107"/>
      <c r="F243" s="1102">
        <v>0.05</v>
      </c>
    </row>
    <row r="244" spans="1:6" ht="24.75" thickBot="1">
      <c r="A244" s="872" t="s">
        <v>485</v>
      </c>
      <c r="B244" s="865" t="s">
        <v>881</v>
      </c>
      <c r="C244" s="1104"/>
      <c r="D244" s="1104"/>
      <c r="E244" s="1104"/>
      <c r="F244" s="1108">
        <v>0.05</v>
      </c>
    </row>
    <row r="245" spans="1:6" ht="14.25" thickBot="1">
      <c r="A245" s="855" t="s">
        <v>487</v>
      </c>
      <c r="B245" s="856" t="s">
        <v>882</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883</v>
      </c>
      <c r="C247" s="1101">
        <v>0.15</v>
      </c>
      <c r="D247" s="1101">
        <v>0.15</v>
      </c>
      <c r="E247" s="1101">
        <v>0.15</v>
      </c>
      <c r="F247" s="1102">
        <v>0.15</v>
      </c>
    </row>
    <row r="248" spans="1:6" ht="14.25" thickBot="1">
      <c r="A248" s="855" t="s">
        <v>487</v>
      </c>
      <c r="B248" s="849" t="s">
        <v>884</v>
      </c>
      <c r="C248" s="1101">
        <v>0.15</v>
      </c>
      <c r="D248" s="1101">
        <v>0.15</v>
      </c>
      <c r="E248" s="1101">
        <v>0.15</v>
      </c>
      <c r="F248" s="1102">
        <v>0.14000000000000001</v>
      </c>
    </row>
    <row r="249" spans="1:6" ht="14.25" thickBot="1">
      <c r="A249" s="855" t="s">
        <v>487</v>
      </c>
      <c r="B249" s="849" t="s">
        <v>885</v>
      </c>
      <c r="C249" s="1101">
        <v>0.15</v>
      </c>
      <c r="D249" s="1101">
        <v>0.14899999999999999</v>
      </c>
      <c r="E249" s="1101">
        <v>0.15</v>
      </c>
      <c r="F249" s="1102">
        <v>0.1</v>
      </c>
    </row>
    <row r="250" spans="1:6" ht="14.25" thickBot="1">
      <c r="A250" s="855" t="s">
        <v>487</v>
      </c>
      <c r="B250" s="849" t="s">
        <v>886</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887</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888</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889</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890</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891</v>
      </c>
      <c r="C273" s="1101">
        <v>0.14199999999999999</v>
      </c>
      <c r="D273" s="1101">
        <v>0.14299999999999999</v>
      </c>
      <c r="E273" s="1101">
        <v>0.15</v>
      </c>
      <c r="F273" s="1102">
        <v>0.1</v>
      </c>
    </row>
    <row r="274" spans="1:6" ht="14.25" thickBot="1">
      <c r="A274" s="855" t="s">
        <v>487</v>
      </c>
      <c r="B274" s="849" t="s">
        <v>892</v>
      </c>
      <c r="C274" s="1101">
        <v>0.14799999999999999</v>
      </c>
      <c r="D274" s="1101">
        <v>0.14799999999999999</v>
      </c>
      <c r="E274" s="1101">
        <v>0.15</v>
      </c>
      <c r="F274" s="1102">
        <v>6.7000000000000004E-2</v>
      </c>
    </row>
    <row r="275" spans="1:6" ht="14.25" thickBot="1">
      <c r="A275" s="855" t="s">
        <v>487</v>
      </c>
      <c r="B275" s="849" t="s">
        <v>893</v>
      </c>
      <c r="C275" s="1101">
        <v>0.15</v>
      </c>
      <c r="D275" s="1101">
        <v>0.15</v>
      </c>
      <c r="E275" s="1101">
        <v>0.15</v>
      </c>
      <c r="F275" s="1102">
        <v>0.15</v>
      </c>
    </row>
    <row r="276" spans="1:6" ht="14.25" thickBot="1">
      <c r="A276" s="855" t="s">
        <v>487</v>
      </c>
      <c r="B276" s="849" t="s">
        <v>894</v>
      </c>
      <c r="C276" s="1101">
        <v>0.14499999999999999</v>
      </c>
      <c r="D276" s="1101">
        <v>0.14299999999999999</v>
      </c>
      <c r="E276" s="1101">
        <v>0.15</v>
      </c>
      <c r="F276" s="1102">
        <v>5.8999999999999997E-2</v>
      </c>
    </row>
    <row r="277" spans="1:6" ht="14.25" thickBot="1">
      <c r="A277" s="855" t="s">
        <v>487</v>
      </c>
      <c r="B277" s="849" t="s">
        <v>895</v>
      </c>
      <c r="C277" s="1101">
        <v>0.15</v>
      </c>
      <c r="D277" s="1101">
        <v>0.15</v>
      </c>
      <c r="E277" s="1101">
        <v>0.15</v>
      </c>
      <c r="F277" s="1102">
        <v>0.121</v>
      </c>
    </row>
    <row r="278" spans="1:6" ht="14.25" thickBot="1">
      <c r="A278" s="855" t="s">
        <v>487</v>
      </c>
      <c r="B278" s="849" t="s">
        <v>896</v>
      </c>
      <c r="C278" s="1101">
        <v>0.15</v>
      </c>
      <c r="D278" s="1101">
        <v>0.15</v>
      </c>
      <c r="E278" s="1101">
        <v>0.15</v>
      </c>
      <c r="F278" s="1102">
        <v>0.13800000000000001</v>
      </c>
    </row>
    <row r="279" spans="1:6" ht="24.75" thickBot="1">
      <c r="A279" s="855" t="s">
        <v>487</v>
      </c>
      <c r="B279" s="849" t="s">
        <v>897</v>
      </c>
      <c r="C279" s="1107"/>
      <c r="D279" s="1107"/>
      <c r="E279" s="1107"/>
      <c r="F279" s="1102">
        <v>0.05</v>
      </c>
    </row>
    <row r="280" spans="1:6" ht="24.75" thickBot="1">
      <c r="A280" s="855" t="s">
        <v>487</v>
      </c>
      <c r="B280" s="849" t="s">
        <v>898</v>
      </c>
      <c r="C280" s="1107"/>
      <c r="D280" s="1107"/>
      <c r="E280" s="1107"/>
      <c r="F280" s="1102">
        <v>0.05</v>
      </c>
    </row>
    <row r="281" spans="1:6" ht="24.75" thickBot="1">
      <c r="A281" s="855" t="s">
        <v>487</v>
      </c>
      <c r="B281" s="849" t="s">
        <v>899</v>
      </c>
      <c r="C281" s="1107"/>
      <c r="D281" s="1107"/>
      <c r="E281" s="1107"/>
      <c r="F281" s="1102">
        <v>0.05</v>
      </c>
    </row>
    <row r="282" spans="1:6" ht="24.75" thickBot="1">
      <c r="A282" s="855" t="s">
        <v>487</v>
      </c>
      <c r="B282" s="849" t="s">
        <v>900</v>
      </c>
      <c r="C282" s="1107"/>
      <c r="D282" s="1107"/>
      <c r="E282" s="1107"/>
      <c r="F282" s="1102">
        <v>0.05</v>
      </c>
    </row>
    <row r="283" spans="1:6" ht="24.75" thickBot="1">
      <c r="A283" s="855" t="s">
        <v>487</v>
      </c>
      <c r="B283" s="849" t="s">
        <v>901</v>
      </c>
      <c r="C283" s="1107"/>
      <c r="D283" s="1107"/>
      <c r="E283" s="1107"/>
      <c r="F283" s="1102">
        <v>0.05</v>
      </c>
    </row>
    <row r="284" spans="1:6" ht="24.75" thickBot="1">
      <c r="A284" s="855" t="s">
        <v>487</v>
      </c>
      <c r="B284" s="849" t="s">
        <v>902</v>
      </c>
      <c r="C284" s="1107"/>
      <c r="D284" s="1107"/>
      <c r="E284" s="1107"/>
      <c r="F284" s="1102">
        <v>0.05</v>
      </c>
    </row>
    <row r="285" spans="1:6" ht="24.75" thickBot="1">
      <c r="A285" s="855" t="s">
        <v>487</v>
      </c>
      <c r="B285" s="849" t="s">
        <v>903</v>
      </c>
      <c r="C285" s="1107"/>
      <c r="D285" s="1107"/>
      <c r="E285" s="1107"/>
      <c r="F285" s="1102">
        <v>0.05</v>
      </c>
    </row>
    <row r="286" spans="1:6" ht="24.75" thickBot="1">
      <c r="A286" s="855" t="s">
        <v>487</v>
      </c>
      <c r="B286" s="849" t="s">
        <v>904</v>
      </c>
      <c r="C286" s="1107"/>
      <c r="D286" s="1107"/>
      <c r="E286" s="1107"/>
      <c r="F286" s="1102">
        <v>0.05</v>
      </c>
    </row>
    <row r="287" spans="1:6" ht="24.75" thickBot="1">
      <c r="A287" s="855" t="s">
        <v>487</v>
      </c>
      <c r="B287" s="849" t="s">
        <v>905</v>
      </c>
      <c r="C287" s="1107"/>
      <c r="D287" s="1107"/>
      <c r="E287" s="1107"/>
      <c r="F287" s="1102">
        <v>0.05</v>
      </c>
    </row>
    <row r="288" spans="1:6" ht="24.75" thickBot="1">
      <c r="A288" s="855" t="s">
        <v>487</v>
      </c>
      <c r="B288" s="849" t="s">
        <v>906</v>
      </c>
      <c r="C288" s="1107"/>
      <c r="D288" s="1107"/>
      <c r="E288" s="1107"/>
      <c r="F288" s="1102">
        <v>0.05</v>
      </c>
    </row>
    <row r="289" spans="1:6" ht="24.75" thickBot="1">
      <c r="A289" s="872" t="s">
        <v>487</v>
      </c>
      <c r="B289" s="865" t="s">
        <v>907</v>
      </c>
      <c r="C289" s="1104"/>
      <c r="D289" s="1104"/>
      <c r="E289" s="1104"/>
      <c r="F289" s="1108">
        <v>0.05</v>
      </c>
    </row>
    <row r="290" spans="1:6" ht="14.25" thickBot="1">
      <c r="A290" s="855" t="s">
        <v>491</v>
      </c>
      <c r="B290" s="856" t="s">
        <v>908</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909</v>
      </c>
      <c r="C292" s="1101">
        <v>0.15</v>
      </c>
      <c r="D292" s="1101">
        <v>0.15</v>
      </c>
      <c r="E292" s="1101">
        <v>0.15</v>
      </c>
      <c r="F292" s="1102">
        <v>0.14699999999999999</v>
      </c>
    </row>
    <row r="293" spans="1:6" ht="14.25" thickBot="1">
      <c r="A293" s="855" t="s">
        <v>491</v>
      </c>
      <c r="B293" s="849" t="s">
        <v>910</v>
      </c>
      <c r="C293" s="1107"/>
      <c r="D293" s="1107"/>
      <c r="E293" s="1107"/>
      <c r="F293" s="1102">
        <v>0.1</v>
      </c>
    </row>
    <row r="294" spans="1:6" ht="14.25" thickBot="1">
      <c r="A294" s="855" t="s">
        <v>491</v>
      </c>
      <c r="B294" s="849" t="s">
        <v>911</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912</v>
      </c>
      <c r="C296" s="1101">
        <v>0.15</v>
      </c>
      <c r="D296" s="1101">
        <v>0.15</v>
      </c>
      <c r="E296" s="1101">
        <v>0.15</v>
      </c>
      <c r="F296" s="1102">
        <v>0.15</v>
      </c>
    </row>
    <row r="297" spans="1:6" ht="14.25" thickBot="1">
      <c r="A297" s="855" t="s">
        <v>491</v>
      </c>
      <c r="B297" s="849" t="s">
        <v>913</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914</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915</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916</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917</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918</v>
      </c>
      <c r="C310" s="1101">
        <v>0.15</v>
      </c>
      <c r="D310" s="1101">
        <v>0.15</v>
      </c>
      <c r="E310" s="1101">
        <v>0.15</v>
      </c>
      <c r="F310" s="1102">
        <v>0.13700000000000001</v>
      </c>
    </row>
    <row r="311" spans="1:6" ht="14.25" thickBot="1">
      <c r="A311" s="855" t="s">
        <v>491</v>
      </c>
      <c r="B311" s="849" t="s">
        <v>919</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920</v>
      </c>
      <c r="C313" s="1101">
        <v>0.15</v>
      </c>
      <c r="D313" s="1101">
        <v>0.15</v>
      </c>
      <c r="E313" s="1101">
        <v>0.15</v>
      </c>
      <c r="F313" s="1102">
        <v>0.15</v>
      </c>
    </row>
    <row r="314" spans="1:6" ht="24.75" thickBot="1">
      <c r="A314" s="855" t="s">
        <v>491</v>
      </c>
      <c r="B314" s="849" t="s">
        <v>921</v>
      </c>
      <c r="C314" s="1107"/>
      <c r="D314" s="1107"/>
      <c r="E314" s="1107"/>
      <c r="F314" s="1102">
        <v>0.05</v>
      </c>
    </row>
    <row r="315" spans="1:6" ht="24.75" thickBot="1">
      <c r="A315" s="855" t="s">
        <v>491</v>
      </c>
      <c r="B315" s="849" t="s">
        <v>922</v>
      </c>
      <c r="C315" s="1107"/>
      <c r="D315" s="1107"/>
      <c r="E315" s="1107"/>
      <c r="F315" s="1102">
        <v>0.05</v>
      </c>
    </row>
    <row r="316" spans="1:6" ht="24.75" thickBot="1">
      <c r="A316" s="872" t="s">
        <v>491</v>
      </c>
      <c r="B316" s="865" t="s">
        <v>923</v>
      </c>
      <c r="C316" s="1104"/>
      <c r="D316" s="1104"/>
      <c r="E316" s="1104"/>
      <c r="F316" s="1108">
        <v>0.05</v>
      </c>
    </row>
    <row r="317" spans="1:6" ht="14.25" thickBot="1">
      <c r="A317" s="855" t="s">
        <v>924</v>
      </c>
      <c r="B317" s="856" t="s">
        <v>925</v>
      </c>
      <c r="C317" s="1099">
        <v>0.15</v>
      </c>
      <c r="D317" s="1099">
        <v>0.15</v>
      </c>
      <c r="E317" s="1099">
        <v>0.15</v>
      </c>
      <c r="F317" s="1100">
        <v>0.15</v>
      </c>
    </row>
    <row r="318" spans="1:6" ht="14.25" thickBot="1">
      <c r="A318" s="855" t="s">
        <v>924</v>
      </c>
      <c r="B318" s="849" t="s">
        <v>926</v>
      </c>
      <c r="C318" s="1101">
        <v>0.107</v>
      </c>
      <c r="D318" s="1101">
        <v>0.11</v>
      </c>
      <c r="E318" s="1101">
        <v>0.112</v>
      </c>
      <c r="F318" s="1106"/>
    </row>
    <row r="319" spans="1:6" ht="14.25" thickBot="1">
      <c r="A319" s="855" t="s">
        <v>924</v>
      </c>
      <c r="B319" s="849" t="s">
        <v>927</v>
      </c>
      <c r="C319" s="1101">
        <v>0.15</v>
      </c>
      <c r="D319" s="1101">
        <v>0.15</v>
      </c>
      <c r="E319" s="1101">
        <v>0.15</v>
      </c>
      <c r="F319" s="1102">
        <v>0.15</v>
      </c>
    </row>
    <row r="320" spans="1:6" ht="14.25" thickBot="1">
      <c r="A320" s="855" t="s">
        <v>924</v>
      </c>
      <c r="B320" s="849" t="s">
        <v>172</v>
      </c>
      <c r="C320" s="1101">
        <v>0.15</v>
      </c>
      <c r="D320" s="1101">
        <v>0.15</v>
      </c>
      <c r="E320" s="1101">
        <v>0.15</v>
      </c>
      <c r="F320" s="1106"/>
    </row>
    <row r="321" spans="1:6" ht="14.25" thickBot="1">
      <c r="A321" s="855" t="s">
        <v>924</v>
      </c>
      <c r="B321" s="849" t="s">
        <v>928</v>
      </c>
      <c r="C321" s="1101">
        <v>0.15</v>
      </c>
      <c r="D321" s="1101">
        <v>0.15</v>
      </c>
      <c r="E321" s="1101">
        <v>0.15</v>
      </c>
      <c r="F321" s="1106"/>
    </row>
    <row r="322" spans="1:6" ht="14.25" thickBot="1">
      <c r="A322" s="855" t="s">
        <v>924</v>
      </c>
      <c r="B322" s="849" t="s">
        <v>929</v>
      </c>
      <c r="C322" s="1101">
        <v>0.15</v>
      </c>
      <c r="D322" s="1101">
        <v>0.15</v>
      </c>
      <c r="E322" s="1101">
        <v>0.15</v>
      </c>
      <c r="F322" s="1102">
        <v>0.15</v>
      </c>
    </row>
    <row r="323" spans="1:6" ht="14.25" thickBot="1">
      <c r="A323" s="855" t="s">
        <v>924</v>
      </c>
      <c r="B323" s="849" t="s">
        <v>930</v>
      </c>
      <c r="C323" s="1101">
        <v>0.15</v>
      </c>
      <c r="D323" s="1101">
        <v>0.15</v>
      </c>
      <c r="E323" s="1101">
        <v>0.15</v>
      </c>
      <c r="F323" s="1106"/>
    </row>
    <row r="324" spans="1:6" ht="14.25" thickBot="1">
      <c r="A324" s="855" t="s">
        <v>924</v>
      </c>
      <c r="B324" s="849" t="s">
        <v>931</v>
      </c>
      <c r="C324" s="1101">
        <v>0.15</v>
      </c>
      <c r="D324" s="1101">
        <v>0.15</v>
      </c>
      <c r="E324" s="1101">
        <v>0.15</v>
      </c>
      <c r="F324" s="1106"/>
    </row>
    <row r="325" spans="1:6" ht="14.25" thickBot="1">
      <c r="A325" s="855" t="s">
        <v>924</v>
      </c>
      <c r="B325" s="849" t="s">
        <v>932</v>
      </c>
      <c r="C325" s="1101">
        <v>0.15</v>
      </c>
      <c r="D325" s="1101">
        <v>0.15</v>
      </c>
      <c r="E325" s="1101">
        <v>0.15</v>
      </c>
      <c r="F325" s="1102">
        <v>0.14699999999999999</v>
      </c>
    </row>
    <row r="326" spans="1:6" ht="14.25" thickBot="1">
      <c r="A326" s="855" t="s">
        <v>924</v>
      </c>
      <c r="B326" s="849" t="s">
        <v>244</v>
      </c>
      <c r="C326" s="1101">
        <v>0.15</v>
      </c>
      <c r="D326" s="1101">
        <v>0.15</v>
      </c>
      <c r="E326" s="1101">
        <v>0.15</v>
      </c>
      <c r="F326" s="1106"/>
    </row>
    <row r="327" spans="1:6" ht="14.25" thickBot="1">
      <c r="A327" s="855" t="s">
        <v>924</v>
      </c>
      <c r="B327" s="849" t="s">
        <v>933</v>
      </c>
      <c r="C327" s="1101">
        <v>0.15</v>
      </c>
      <c r="D327" s="1101">
        <v>0.15</v>
      </c>
      <c r="E327" s="1101">
        <v>0.15</v>
      </c>
      <c r="F327" s="1102">
        <v>0.15</v>
      </c>
    </row>
    <row r="328" spans="1:6" ht="14.25" thickBot="1">
      <c r="A328" s="855" t="s">
        <v>924</v>
      </c>
      <c r="B328" s="849" t="s">
        <v>266</v>
      </c>
      <c r="C328" s="1101">
        <v>0.15</v>
      </c>
      <c r="D328" s="1101">
        <v>0.15</v>
      </c>
      <c r="E328" s="1101">
        <v>0.15</v>
      </c>
      <c r="F328" s="1102">
        <v>0.14099999999999999</v>
      </c>
    </row>
    <row r="329" spans="1:6" ht="14.25" thickBot="1">
      <c r="A329" s="855" t="s">
        <v>924</v>
      </c>
      <c r="B329" s="849" t="s">
        <v>277</v>
      </c>
      <c r="C329" s="1101">
        <v>0.15</v>
      </c>
      <c r="D329" s="1101">
        <v>0.15</v>
      </c>
      <c r="E329" s="1101">
        <v>0.15</v>
      </c>
      <c r="F329" s="1102">
        <v>0.15</v>
      </c>
    </row>
    <row r="330" spans="1:6" ht="14.25" thickBot="1">
      <c r="A330" s="855" t="s">
        <v>924</v>
      </c>
      <c r="B330" s="849" t="s">
        <v>288</v>
      </c>
      <c r="C330" s="1101">
        <v>0.15</v>
      </c>
      <c r="D330" s="1101">
        <v>0.15</v>
      </c>
      <c r="E330" s="1101">
        <v>0.15</v>
      </c>
      <c r="F330" s="1106"/>
    </row>
    <row r="331" spans="1:6" ht="14.25" thickBot="1">
      <c r="A331" s="855" t="s">
        <v>924</v>
      </c>
      <c r="B331" s="849" t="s">
        <v>934</v>
      </c>
      <c r="C331" s="1101">
        <v>0.15</v>
      </c>
      <c r="D331" s="1101">
        <v>0.15</v>
      </c>
      <c r="E331" s="1101">
        <v>0.15</v>
      </c>
      <c r="F331" s="1102">
        <v>0.15</v>
      </c>
    </row>
    <row r="332" spans="1:6" ht="14.25" thickBot="1">
      <c r="A332" s="855" t="s">
        <v>924</v>
      </c>
      <c r="B332" s="849" t="s">
        <v>309</v>
      </c>
      <c r="C332" s="1101">
        <v>0.15</v>
      </c>
      <c r="D332" s="1101">
        <v>0.15</v>
      </c>
      <c r="E332" s="1101">
        <v>0.15</v>
      </c>
      <c r="F332" s="1102">
        <v>0.15</v>
      </c>
    </row>
    <row r="333" spans="1:6" ht="14.25" thickBot="1">
      <c r="A333" s="855" t="s">
        <v>924</v>
      </c>
      <c r="B333" s="849" t="s">
        <v>935</v>
      </c>
      <c r="C333" s="1101">
        <v>0.15</v>
      </c>
      <c r="D333" s="1101">
        <v>0.15</v>
      </c>
      <c r="E333" s="1101">
        <v>0.15</v>
      </c>
      <c r="F333" s="1102">
        <v>0.14099999999999999</v>
      </c>
    </row>
    <row r="334" spans="1:6" ht="14.25" thickBot="1">
      <c r="A334" s="855" t="s">
        <v>924</v>
      </c>
      <c r="B334" s="849" t="s">
        <v>329</v>
      </c>
      <c r="C334" s="1101">
        <v>0.15</v>
      </c>
      <c r="D334" s="1101">
        <v>0.15</v>
      </c>
      <c r="E334" s="1101">
        <v>0.15</v>
      </c>
      <c r="F334" s="1102">
        <v>0.15</v>
      </c>
    </row>
    <row r="335" spans="1:6" ht="14.25" thickBot="1">
      <c r="A335" s="855" t="s">
        <v>924</v>
      </c>
      <c r="B335" s="849" t="s">
        <v>339</v>
      </c>
      <c r="C335" s="1101">
        <v>0.15</v>
      </c>
      <c r="D335" s="1101">
        <v>0.15</v>
      </c>
      <c r="E335" s="1101">
        <v>0.15</v>
      </c>
      <c r="F335" s="1106"/>
    </row>
    <row r="336" spans="1:6" ht="14.25" thickBot="1">
      <c r="A336" s="855" t="s">
        <v>924</v>
      </c>
      <c r="B336" s="849" t="s">
        <v>936</v>
      </c>
      <c r="C336" s="1101">
        <v>0.15</v>
      </c>
      <c r="D336" s="1101">
        <v>0.15</v>
      </c>
      <c r="E336" s="1101">
        <v>0.15</v>
      </c>
      <c r="F336" s="1102">
        <v>0.11799999999999999</v>
      </c>
    </row>
    <row r="337" spans="1:6" ht="14.25" thickBot="1">
      <c r="A337" s="872" t="s">
        <v>924</v>
      </c>
      <c r="B337" s="865" t="s">
        <v>357</v>
      </c>
      <c r="C337" s="1104"/>
      <c r="D337" s="1104"/>
      <c r="E337" s="1104"/>
      <c r="F337" s="1108">
        <v>0.14299999999999999</v>
      </c>
    </row>
    <row r="338" spans="1:6" ht="14.25" thickBot="1">
      <c r="A338" s="855" t="s">
        <v>937</v>
      </c>
      <c r="B338" s="856" t="s">
        <v>938</v>
      </c>
      <c r="C338" s="1099">
        <v>0.15</v>
      </c>
      <c r="D338" s="1099">
        <v>0.15</v>
      </c>
      <c r="E338" s="1099">
        <v>0.15</v>
      </c>
      <c r="F338" s="1116"/>
    </row>
    <row r="339" spans="1:6" ht="14.25" thickBot="1">
      <c r="A339" s="855" t="s">
        <v>937</v>
      </c>
      <c r="B339" s="849" t="s">
        <v>939</v>
      </c>
      <c r="C339" s="1101">
        <v>0.15</v>
      </c>
      <c r="D339" s="1101">
        <v>0.15</v>
      </c>
      <c r="E339" s="1101">
        <v>0.15</v>
      </c>
      <c r="F339" s="1106"/>
    </row>
    <row r="340" spans="1:6" ht="14.25" thickBot="1">
      <c r="A340" s="855" t="s">
        <v>937</v>
      </c>
      <c r="B340" s="849" t="s">
        <v>940</v>
      </c>
      <c r="C340" s="1101">
        <v>0.15</v>
      </c>
      <c r="D340" s="1101">
        <v>0.15</v>
      </c>
      <c r="E340" s="1101">
        <v>0.15</v>
      </c>
      <c r="F340" s="1106"/>
    </row>
    <row r="341" spans="1:6" ht="14.25" thickBot="1">
      <c r="A341" s="855" t="s">
        <v>937</v>
      </c>
      <c r="B341" s="849" t="s">
        <v>941</v>
      </c>
      <c r="C341" s="1101">
        <v>0.15</v>
      </c>
      <c r="D341" s="1101">
        <v>0.15</v>
      </c>
      <c r="E341" s="1101">
        <v>0.15</v>
      </c>
      <c r="F341" s="1102">
        <v>0.15</v>
      </c>
    </row>
    <row r="342" spans="1:6" ht="14.25" thickBot="1">
      <c r="A342" s="855" t="s">
        <v>937</v>
      </c>
      <c r="B342" s="849" t="s">
        <v>942</v>
      </c>
      <c r="C342" s="1101">
        <v>0.15</v>
      </c>
      <c r="D342" s="1101">
        <v>0.15</v>
      </c>
      <c r="E342" s="1101">
        <v>0.15</v>
      </c>
      <c r="F342" s="1102">
        <v>0.15</v>
      </c>
    </row>
    <row r="343" spans="1:6" ht="14.25" thickBot="1">
      <c r="A343" s="855" t="s">
        <v>937</v>
      </c>
      <c r="B343" s="849" t="s">
        <v>943</v>
      </c>
      <c r="C343" s="1101">
        <v>0.15</v>
      </c>
      <c r="D343" s="1101">
        <v>0.15</v>
      </c>
      <c r="E343" s="1101">
        <v>0.15</v>
      </c>
      <c r="F343" s="1102">
        <v>0.15</v>
      </c>
    </row>
    <row r="344" spans="1:6" ht="14.25" thickBot="1">
      <c r="A344" s="872" t="s">
        <v>937</v>
      </c>
      <c r="B344" s="865"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估价对象周边道路状况、公共交通通达情况、停车便捷程度，综合评价交通便捷度较好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估价对象所在区域公共配套设施齐备情况</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区域自然环境：；人文环境；综合评价环境状况一般</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估价对象周边道路状况、公共交通通达情况、停车便捷程度，综合评价交通便捷度较好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估价对象所在区域公共配套设施齐备情况</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区域自然环境：；人文环境；综合评价环境状况一般</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估价对象周边道路状况、公共交通通达情况、停车便捷程度，综合评价交通便捷度较好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估价对象所在区域公共配套设施齐备情况</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区域自然环境：；人文环境；综合评价环境状况一般</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t="str">
        <f>估价对象房地状况!G19</f>
        <v>估价对象所在区域公共配套设施齐备情况</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88" t="s">
        <v>105</v>
      </c>
      <c r="B1" s="3088"/>
      <c r="C1" s="3088"/>
      <c r="D1" s="3088"/>
      <c r="E1" s="3088"/>
      <c r="F1" s="308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89" t="s">
        <v>118</v>
      </c>
      <c r="B2" s="3089"/>
      <c r="C2" s="3089"/>
      <c r="D2" s="3089"/>
      <c r="E2" s="3089"/>
      <c r="F2" s="308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9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92" t="s">
        <v>132</v>
      </c>
      <c r="B18" s="906" t="s">
        <v>517</v>
      </c>
      <c r="C18" s="907" t="s">
        <v>518</v>
      </c>
      <c r="D18" s="908"/>
      <c r="E18" s="906">
        <v>1</v>
      </c>
      <c r="F18" s="909" t="s">
        <v>519</v>
      </c>
      <c r="G18" s="910"/>
      <c r="H18" s="902"/>
      <c r="I18" s="902"/>
    </row>
    <row r="19" spans="1:9" s="911" customFormat="1" ht="19.5" customHeight="1">
      <c r="A19" s="3092"/>
      <c r="B19" s="3092" t="s">
        <v>520</v>
      </c>
      <c r="C19" s="907" t="s">
        <v>521</v>
      </c>
      <c r="D19" s="908"/>
      <c r="E19" s="906">
        <v>0.9</v>
      </c>
      <c r="F19" s="909" t="s">
        <v>522</v>
      </c>
      <c r="G19" s="910"/>
      <c r="H19" s="902"/>
      <c r="I19" s="902"/>
    </row>
    <row r="20" spans="1:9" s="911" customFormat="1" ht="19.5" customHeight="1">
      <c r="A20" s="3092"/>
      <c r="B20" s="3092"/>
      <c r="C20" s="907" t="s">
        <v>523</v>
      </c>
      <c r="D20" s="908"/>
      <c r="E20" s="906">
        <v>1.1000000000000001</v>
      </c>
      <c r="F20" s="909" t="s">
        <v>524</v>
      </c>
      <c r="G20" s="910"/>
      <c r="H20" s="902"/>
      <c r="I20" s="902"/>
    </row>
    <row r="21" spans="1:9" s="911" customFormat="1" ht="19.5" customHeight="1">
      <c r="A21" s="3092"/>
      <c r="B21" s="3092"/>
      <c r="C21" s="907" t="s">
        <v>525</v>
      </c>
      <c r="D21" s="908"/>
      <c r="E21" s="906">
        <v>0.8</v>
      </c>
      <c r="F21" s="909" t="s">
        <v>526</v>
      </c>
      <c r="G21" s="910"/>
      <c r="H21" s="902"/>
      <c r="I21" s="902"/>
    </row>
    <row r="22" spans="1:9" s="911" customFormat="1" ht="19.5" customHeight="1">
      <c r="A22" s="3092"/>
      <c r="B22" s="3092"/>
      <c r="C22" s="907" t="s">
        <v>527</v>
      </c>
      <c r="D22" s="908"/>
      <c r="E22" s="906">
        <v>0.5</v>
      </c>
      <c r="F22" s="909"/>
      <c r="G22" s="910"/>
      <c r="H22" s="902"/>
      <c r="I22" s="902"/>
    </row>
    <row r="23" spans="1:9" s="911" customFormat="1" ht="19.5" customHeight="1">
      <c r="A23" s="3092" t="s">
        <v>133</v>
      </c>
      <c r="B23" s="906" t="s">
        <v>517</v>
      </c>
      <c r="C23" s="907" t="s">
        <v>528</v>
      </c>
      <c r="D23" s="908"/>
      <c r="E23" s="906">
        <v>1</v>
      </c>
      <c r="F23" s="909" t="s">
        <v>529</v>
      </c>
      <c r="G23" s="910"/>
      <c r="H23" s="902"/>
      <c r="I23" s="902"/>
    </row>
    <row r="24" spans="1:9" s="911" customFormat="1" ht="19.5" customHeight="1">
      <c r="A24" s="3092"/>
      <c r="B24" s="3092" t="s">
        <v>520</v>
      </c>
      <c r="C24" s="907" t="s">
        <v>530</v>
      </c>
      <c r="D24" s="908"/>
      <c r="E24" s="906">
        <v>0.5</v>
      </c>
      <c r="F24" s="909"/>
      <c r="G24" s="910"/>
      <c r="H24" s="902"/>
      <c r="I24" s="902"/>
    </row>
    <row r="25" spans="1:9" s="911" customFormat="1" ht="19.5" customHeight="1">
      <c r="A25" s="3092"/>
      <c r="B25" s="3092"/>
      <c r="C25" s="907" t="s">
        <v>531</v>
      </c>
      <c r="D25" s="908"/>
      <c r="E25" s="906">
        <v>1.1000000000000001</v>
      </c>
      <c r="F25" s="909"/>
      <c r="G25" s="910"/>
      <c r="H25" s="902"/>
      <c r="I25" s="902"/>
    </row>
    <row r="26" spans="1:9" s="911" customFormat="1" ht="19.5" customHeight="1">
      <c r="A26" s="3092"/>
      <c r="B26" s="3092"/>
      <c r="C26" s="907" t="s">
        <v>532</v>
      </c>
      <c r="D26" s="908"/>
      <c r="E26" s="906">
        <v>1.1000000000000001</v>
      </c>
      <c r="F26" s="909"/>
      <c r="G26" s="910"/>
      <c r="H26" s="902"/>
      <c r="I26" s="902"/>
    </row>
    <row r="27" spans="1:9" s="911" customFormat="1" ht="19.5" customHeight="1">
      <c r="A27" s="3092"/>
      <c r="B27" s="3092"/>
      <c r="C27" s="907" t="s">
        <v>533</v>
      </c>
      <c r="D27" s="908"/>
      <c r="E27" s="906">
        <v>0.9</v>
      </c>
      <c r="F27" s="909" t="s">
        <v>534</v>
      </c>
      <c r="G27" s="910"/>
      <c r="H27" s="902"/>
      <c r="I27" s="902"/>
    </row>
    <row r="28" spans="1:9" s="911" customFormat="1" ht="19.5" customHeight="1">
      <c r="A28" s="3092"/>
      <c r="B28" s="3092"/>
      <c r="C28" s="907" t="s">
        <v>535</v>
      </c>
      <c r="D28" s="908"/>
      <c r="E28" s="906">
        <v>0.9</v>
      </c>
      <c r="F28" s="909" t="s">
        <v>536</v>
      </c>
      <c r="G28" s="910"/>
      <c r="H28" s="902"/>
      <c r="I28" s="902"/>
    </row>
    <row r="29" spans="1:9" s="911" customFormat="1" ht="19.5" customHeight="1">
      <c r="A29" s="3092"/>
      <c r="B29" s="3092"/>
      <c r="C29" s="907" t="s">
        <v>537</v>
      </c>
      <c r="D29" s="908"/>
      <c r="E29" s="906">
        <v>0.9</v>
      </c>
      <c r="F29" s="909" t="s">
        <v>538</v>
      </c>
      <c r="G29" s="910"/>
      <c r="H29" s="902"/>
      <c r="I29" s="902"/>
    </row>
    <row r="30" spans="1:9" s="911" customFormat="1" ht="19.5" customHeight="1">
      <c r="A30" s="3092"/>
      <c r="B30" s="3092"/>
      <c r="C30" s="907" t="s">
        <v>539</v>
      </c>
      <c r="D30" s="908"/>
      <c r="E30" s="906">
        <v>0.9</v>
      </c>
      <c r="F30" s="909" t="s">
        <v>540</v>
      </c>
      <c r="G30" s="910"/>
      <c r="H30" s="902"/>
      <c r="I30" s="902"/>
    </row>
    <row r="31" spans="1:9" s="911" customFormat="1" ht="19.5" customHeight="1">
      <c r="A31" s="3092"/>
      <c r="B31" s="3092"/>
      <c r="C31" s="907" t="s">
        <v>541</v>
      </c>
      <c r="D31" s="908"/>
      <c r="E31" s="906">
        <v>0.8</v>
      </c>
      <c r="F31" s="909" t="s">
        <v>542</v>
      </c>
      <c r="G31" s="910"/>
      <c r="H31" s="902"/>
      <c r="I31" s="902"/>
    </row>
    <row r="32" spans="1:9" s="911" customFormat="1" ht="19.5" customHeight="1">
      <c r="A32" s="3092"/>
      <c r="B32" s="3092"/>
      <c r="C32" s="907" t="s">
        <v>543</v>
      </c>
      <c r="D32" s="908"/>
      <c r="E32" s="906">
        <v>0.8</v>
      </c>
      <c r="F32" s="909" t="s">
        <v>544</v>
      </c>
      <c r="G32" s="910"/>
      <c r="H32" s="902"/>
      <c r="I32" s="902"/>
    </row>
    <row r="33" spans="1:9" s="911" customFormat="1" ht="19.5" customHeight="1">
      <c r="A33" s="3092" t="s">
        <v>134</v>
      </c>
      <c r="B33" s="906" t="s">
        <v>517</v>
      </c>
      <c r="C33" s="907" t="s">
        <v>545</v>
      </c>
      <c r="D33" s="908"/>
      <c r="E33" s="906">
        <v>1</v>
      </c>
      <c r="F33" s="909" t="s">
        <v>546</v>
      </c>
      <c r="G33" s="910"/>
      <c r="H33" s="902"/>
      <c r="I33" s="902"/>
    </row>
    <row r="34" spans="1:9" s="911" customFormat="1" ht="19.5" customHeight="1">
      <c r="A34" s="3092"/>
      <c r="B34" s="906" t="s">
        <v>520</v>
      </c>
      <c r="C34" s="907" t="s">
        <v>547</v>
      </c>
      <c r="D34" s="908"/>
      <c r="E34" s="906">
        <v>1.5</v>
      </c>
      <c r="F34" s="909" t="s">
        <v>548</v>
      </c>
      <c r="G34" s="910"/>
      <c r="H34" s="902"/>
      <c r="I34" s="902"/>
    </row>
    <row r="35" spans="1:9" s="911" customFormat="1" ht="19.5" customHeight="1">
      <c r="A35" s="3092" t="s">
        <v>135</v>
      </c>
      <c r="B35" s="906" t="s">
        <v>517</v>
      </c>
      <c r="C35" s="907" t="s">
        <v>549</v>
      </c>
      <c r="D35" s="908"/>
      <c r="E35" s="906">
        <v>1</v>
      </c>
      <c r="F35" s="909" t="s">
        <v>550</v>
      </c>
      <c r="G35" s="910"/>
      <c r="H35" s="902"/>
      <c r="I35" s="902"/>
    </row>
    <row r="36" spans="1:9" s="911" customFormat="1" ht="19.5" customHeight="1">
      <c r="A36" s="3092"/>
      <c r="B36" s="3092" t="s">
        <v>520</v>
      </c>
      <c r="C36" s="907" t="s">
        <v>551</v>
      </c>
      <c r="D36" s="908"/>
      <c r="E36" s="906">
        <v>1</v>
      </c>
      <c r="F36" s="909" t="s">
        <v>552</v>
      </c>
      <c r="G36" s="910"/>
      <c r="H36" s="902"/>
      <c r="I36" s="902"/>
    </row>
    <row r="37" spans="1:9" s="911" customFormat="1" ht="19.5" customHeight="1">
      <c r="A37" s="3092"/>
      <c r="B37" s="3092"/>
      <c r="C37" s="907" t="s">
        <v>553</v>
      </c>
      <c r="D37" s="908"/>
      <c r="E37" s="906">
        <v>1.5</v>
      </c>
      <c r="F37" s="909" t="s">
        <v>554</v>
      </c>
      <c r="G37" s="910"/>
      <c r="H37" s="902"/>
      <c r="I37" s="902"/>
    </row>
    <row r="38" spans="1:9" s="911" customFormat="1" ht="19.5" customHeight="1">
      <c r="A38" s="3092"/>
      <c r="B38" s="3092"/>
      <c r="C38" s="907" t="s">
        <v>555</v>
      </c>
      <c r="D38" s="908"/>
      <c r="E38" s="906">
        <v>1</v>
      </c>
      <c r="F38" s="909" t="s">
        <v>556</v>
      </c>
      <c r="G38" s="910"/>
      <c r="H38" s="902"/>
      <c r="I38" s="902"/>
    </row>
    <row r="39" spans="1:9" s="911" customFormat="1" ht="19.5" customHeight="1">
      <c r="A39" s="3092"/>
      <c r="B39" s="309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92" t="s">
        <v>571</v>
      </c>
      <c r="C61" s="820" t="s">
        <v>572</v>
      </c>
      <c r="D61" s="820" t="s">
        <v>573</v>
      </c>
      <c r="E61" s="919">
        <v>0.5</v>
      </c>
      <c r="F61" s="906">
        <v>80</v>
      </c>
    </row>
    <row r="62" spans="1:8" s="902" customFormat="1" ht="24">
      <c r="A62" s="906">
        <v>2</v>
      </c>
      <c r="B62" s="3092"/>
      <c r="C62" s="820" t="s">
        <v>574</v>
      </c>
      <c r="D62" s="820" t="s">
        <v>575</v>
      </c>
      <c r="E62" s="919">
        <v>0.5</v>
      </c>
      <c r="F62" s="906">
        <v>80</v>
      </c>
    </row>
    <row r="63" spans="1:8" s="902" customFormat="1" ht="36">
      <c r="A63" s="906">
        <v>3</v>
      </c>
      <c r="B63" s="3092"/>
      <c r="C63" s="820" t="s">
        <v>576</v>
      </c>
      <c r="D63" s="820" t="s">
        <v>577</v>
      </c>
      <c r="E63" s="919">
        <v>0.5</v>
      </c>
      <c r="F63" s="906">
        <v>80</v>
      </c>
    </row>
    <row r="64" spans="1:8" s="902" customFormat="1" ht="36">
      <c r="A64" s="906">
        <v>4</v>
      </c>
      <c r="B64" s="3092"/>
      <c r="C64" s="820" t="s">
        <v>578</v>
      </c>
      <c r="D64" s="820" t="s">
        <v>579</v>
      </c>
      <c r="E64" s="919">
        <v>0.4</v>
      </c>
      <c r="F64" s="906">
        <v>60</v>
      </c>
    </row>
    <row r="65" spans="1:6" s="902" customFormat="1" ht="36">
      <c r="A65" s="906">
        <v>5</v>
      </c>
      <c r="B65" s="3092"/>
      <c r="C65" s="820" t="s">
        <v>580</v>
      </c>
      <c r="D65" s="820" t="s">
        <v>581</v>
      </c>
      <c r="E65" s="919">
        <v>0.2</v>
      </c>
      <c r="F65" s="906">
        <v>30</v>
      </c>
    </row>
    <row r="66" spans="1:6" s="902" customFormat="1" ht="36">
      <c r="A66" s="906">
        <v>6</v>
      </c>
      <c r="B66" s="3092"/>
      <c r="C66" s="820" t="s">
        <v>582</v>
      </c>
      <c r="D66" s="820" t="s">
        <v>583</v>
      </c>
      <c r="E66" s="919">
        <v>0.3</v>
      </c>
      <c r="F66" s="906">
        <v>50</v>
      </c>
    </row>
    <row r="67" spans="1:6" s="902" customFormat="1" ht="36">
      <c r="A67" s="906">
        <v>7</v>
      </c>
      <c r="B67" s="3092"/>
      <c r="C67" s="820" t="s">
        <v>584</v>
      </c>
      <c r="D67" s="820" t="s">
        <v>585</v>
      </c>
      <c r="E67" s="919">
        <v>0.2</v>
      </c>
      <c r="F67" s="906">
        <v>30</v>
      </c>
    </row>
    <row r="68" spans="1:6" s="902" customFormat="1" ht="36">
      <c r="A68" s="906">
        <v>8</v>
      </c>
      <c r="B68" s="3092"/>
      <c r="C68" s="820" t="s">
        <v>586</v>
      </c>
      <c r="D68" s="820" t="s">
        <v>587</v>
      </c>
      <c r="E68" s="919">
        <v>0.2</v>
      </c>
      <c r="F68" s="906">
        <v>30</v>
      </c>
    </row>
    <row r="69" spans="1:6" s="902" customFormat="1" ht="36">
      <c r="A69" s="906">
        <v>9</v>
      </c>
      <c r="B69" s="3092"/>
      <c r="C69" s="820" t="s">
        <v>588</v>
      </c>
      <c r="D69" s="820" t="s">
        <v>589</v>
      </c>
      <c r="E69" s="919">
        <v>0.2</v>
      </c>
      <c r="F69" s="906">
        <v>30</v>
      </c>
    </row>
    <row r="70" spans="1:6" s="902" customFormat="1" ht="48">
      <c r="A70" s="906">
        <v>10</v>
      </c>
      <c r="B70" s="3092"/>
      <c r="C70" s="820" t="s">
        <v>590</v>
      </c>
      <c r="D70" s="820" t="s">
        <v>591</v>
      </c>
      <c r="E70" s="919">
        <v>0.2</v>
      </c>
      <c r="F70" s="906">
        <v>30</v>
      </c>
    </row>
    <row r="71" spans="1:6" s="902" customFormat="1" ht="48">
      <c r="A71" s="906">
        <v>11</v>
      </c>
      <c r="B71" s="3092"/>
      <c r="C71" s="820" t="s">
        <v>592</v>
      </c>
      <c r="D71" s="820" t="s">
        <v>593</v>
      </c>
      <c r="E71" s="919">
        <v>0.2</v>
      </c>
      <c r="F71" s="906">
        <v>30</v>
      </c>
    </row>
    <row r="72" spans="1:6" s="902" customFormat="1" ht="36">
      <c r="A72" s="906">
        <v>12</v>
      </c>
      <c r="B72" s="3092"/>
      <c r="C72" s="820" t="s">
        <v>594</v>
      </c>
      <c r="D72" s="820" t="s">
        <v>595</v>
      </c>
      <c r="E72" s="919">
        <v>0.5</v>
      </c>
      <c r="F72" s="906">
        <v>80</v>
      </c>
    </row>
    <row r="73" spans="1:6" s="902" customFormat="1" ht="24">
      <c r="A73" s="906">
        <v>13</v>
      </c>
      <c r="B73" s="3092"/>
      <c r="C73" s="820" t="s">
        <v>596</v>
      </c>
      <c r="D73" s="820" t="s">
        <v>597</v>
      </c>
      <c r="E73" s="919">
        <v>0.4</v>
      </c>
      <c r="F73" s="906">
        <v>60</v>
      </c>
    </row>
    <row r="74" spans="1:6" s="902" customFormat="1" ht="24">
      <c r="A74" s="906">
        <v>14</v>
      </c>
      <c r="B74" s="3092"/>
      <c r="C74" s="820" t="s">
        <v>598</v>
      </c>
      <c r="D74" s="820" t="s">
        <v>599</v>
      </c>
      <c r="E74" s="919">
        <v>0.2</v>
      </c>
      <c r="F74" s="906">
        <v>30</v>
      </c>
    </row>
    <row r="75" spans="1:6" s="902" customFormat="1" ht="24">
      <c r="A75" s="906">
        <v>15</v>
      </c>
      <c r="B75" s="3092"/>
      <c r="C75" s="820" t="s">
        <v>600</v>
      </c>
      <c r="D75" s="820" t="s">
        <v>601</v>
      </c>
      <c r="E75" s="919">
        <v>0.2</v>
      </c>
      <c r="F75" s="906">
        <v>30</v>
      </c>
    </row>
    <row r="76" spans="1:6" s="902" customFormat="1" ht="24">
      <c r="A76" s="906">
        <v>16</v>
      </c>
      <c r="B76" s="3092" t="s">
        <v>602</v>
      </c>
      <c r="C76" s="820" t="s">
        <v>603</v>
      </c>
      <c r="D76" s="820" t="s">
        <v>604</v>
      </c>
      <c r="E76" s="919">
        <v>0.5</v>
      </c>
      <c r="F76" s="906">
        <v>80</v>
      </c>
    </row>
    <row r="77" spans="1:6" s="902" customFormat="1" ht="24">
      <c r="A77" s="906">
        <v>17</v>
      </c>
      <c r="B77" s="3092"/>
      <c r="C77" s="820" t="s">
        <v>605</v>
      </c>
      <c r="D77" s="820" t="s">
        <v>606</v>
      </c>
      <c r="E77" s="919">
        <v>0.5</v>
      </c>
      <c r="F77" s="906">
        <v>80</v>
      </c>
    </row>
    <row r="78" spans="1:6" s="902" customFormat="1" ht="24">
      <c r="A78" s="906">
        <v>18</v>
      </c>
      <c r="B78" s="3092"/>
      <c r="C78" s="820" t="s">
        <v>607</v>
      </c>
      <c r="D78" s="820" t="s">
        <v>608</v>
      </c>
      <c r="E78" s="919">
        <v>0.2</v>
      </c>
      <c r="F78" s="906">
        <v>30</v>
      </c>
    </row>
    <row r="79" spans="1:6" s="902" customFormat="1" ht="24">
      <c r="A79" s="906">
        <v>19</v>
      </c>
      <c r="B79" s="3092"/>
      <c r="C79" s="820" t="s">
        <v>609</v>
      </c>
      <c r="D79" s="820" t="s">
        <v>610</v>
      </c>
      <c r="E79" s="919">
        <v>0.5</v>
      </c>
      <c r="F79" s="906">
        <v>80</v>
      </c>
    </row>
    <row r="80" spans="1:6" s="902" customFormat="1" ht="36">
      <c r="A80" s="906">
        <v>20</v>
      </c>
      <c r="B80" s="3092"/>
      <c r="C80" s="820" t="s">
        <v>611</v>
      </c>
      <c r="D80" s="820" t="s">
        <v>612</v>
      </c>
      <c r="E80" s="919">
        <v>0.2</v>
      </c>
      <c r="F80" s="906">
        <v>30</v>
      </c>
    </row>
    <row r="81" spans="1:6" s="902" customFormat="1" ht="36">
      <c r="A81" s="906">
        <v>21</v>
      </c>
      <c r="B81" s="3092"/>
      <c r="C81" s="820" t="s">
        <v>613</v>
      </c>
      <c r="D81" s="820" t="s">
        <v>614</v>
      </c>
      <c r="E81" s="919">
        <v>0.2</v>
      </c>
      <c r="F81" s="906">
        <v>30</v>
      </c>
    </row>
    <row r="82" spans="1:6" s="902" customFormat="1" ht="48">
      <c r="A82" s="906">
        <v>22</v>
      </c>
      <c r="B82" s="3092"/>
      <c r="C82" s="820" t="s">
        <v>615</v>
      </c>
      <c r="D82" s="820" t="s">
        <v>616</v>
      </c>
      <c r="E82" s="919">
        <v>0.2</v>
      </c>
      <c r="F82" s="906">
        <v>30</v>
      </c>
    </row>
    <row r="83" spans="1:6" s="902" customFormat="1" ht="48">
      <c r="A83" s="906">
        <v>23</v>
      </c>
      <c r="B83" s="3092"/>
      <c r="C83" s="820" t="s">
        <v>617</v>
      </c>
      <c r="D83" s="820" t="s">
        <v>618</v>
      </c>
      <c r="E83" s="919">
        <v>0.2</v>
      </c>
      <c r="F83" s="906">
        <v>30</v>
      </c>
    </row>
    <row r="84" spans="1:6" s="902" customFormat="1" ht="36">
      <c r="A84" s="906">
        <v>24</v>
      </c>
      <c r="B84" s="3092"/>
      <c r="C84" s="820" t="s">
        <v>619</v>
      </c>
      <c r="D84" s="820" t="s">
        <v>620</v>
      </c>
      <c r="E84" s="919">
        <v>0.2</v>
      </c>
      <c r="F84" s="906">
        <v>30</v>
      </c>
    </row>
    <row r="85" spans="1:6" s="902" customFormat="1" ht="36">
      <c r="A85" s="906">
        <v>25</v>
      </c>
      <c r="B85" s="3092"/>
      <c r="C85" s="820" t="s">
        <v>621</v>
      </c>
      <c r="D85" s="820" t="s">
        <v>622</v>
      </c>
      <c r="E85" s="919">
        <v>0.5</v>
      </c>
      <c r="F85" s="906">
        <v>80</v>
      </c>
    </row>
    <row r="86" spans="1:6" s="902" customFormat="1" ht="36">
      <c r="A86" s="906">
        <v>26</v>
      </c>
      <c r="B86" s="3092"/>
      <c r="C86" s="820" t="s">
        <v>623</v>
      </c>
      <c r="D86" s="820" t="s">
        <v>624</v>
      </c>
      <c r="E86" s="919">
        <v>0.2</v>
      </c>
      <c r="F86" s="906">
        <v>30</v>
      </c>
    </row>
    <row r="87" spans="1:6" s="902" customFormat="1" ht="36">
      <c r="A87" s="906">
        <v>27</v>
      </c>
      <c r="B87" s="3092"/>
      <c r="C87" s="820" t="s">
        <v>625</v>
      </c>
      <c r="D87" s="820" t="s">
        <v>626</v>
      </c>
      <c r="E87" s="919">
        <v>0.2</v>
      </c>
      <c r="F87" s="906">
        <v>30</v>
      </c>
    </row>
    <row r="88" spans="1:6" s="902" customFormat="1" ht="36">
      <c r="A88" s="906">
        <v>28</v>
      </c>
      <c r="B88" s="3092"/>
      <c r="C88" s="820" t="s">
        <v>627</v>
      </c>
      <c r="D88" s="820" t="s">
        <v>628</v>
      </c>
      <c r="E88" s="919">
        <v>0.2</v>
      </c>
      <c r="F88" s="906">
        <v>30</v>
      </c>
    </row>
    <row r="89" spans="1:6" s="902" customFormat="1" ht="24">
      <c r="A89" s="906">
        <v>29</v>
      </c>
      <c r="B89" s="3092"/>
      <c r="C89" s="820" t="s">
        <v>629</v>
      </c>
      <c r="D89" s="820" t="s">
        <v>630</v>
      </c>
      <c r="E89" s="919">
        <v>0.2</v>
      </c>
      <c r="F89" s="906">
        <v>30</v>
      </c>
    </row>
    <row r="90" spans="1:6" s="902" customFormat="1" ht="24">
      <c r="A90" s="906">
        <v>30</v>
      </c>
      <c r="B90" s="3092"/>
      <c r="C90" s="820" t="s">
        <v>631</v>
      </c>
      <c r="D90" s="820" t="s">
        <v>632</v>
      </c>
      <c r="E90" s="919">
        <v>0.2</v>
      </c>
      <c r="F90" s="906">
        <v>30</v>
      </c>
    </row>
    <row r="91" spans="1:6" s="902" customFormat="1" ht="36">
      <c r="A91" s="906">
        <v>31</v>
      </c>
      <c r="B91" s="3092"/>
      <c r="C91" s="820" t="s">
        <v>633</v>
      </c>
      <c r="D91" s="820" t="s">
        <v>634</v>
      </c>
      <c r="E91" s="919">
        <v>0.2</v>
      </c>
      <c r="F91" s="906">
        <v>30</v>
      </c>
    </row>
    <row r="92" spans="1:6" s="902" customFormat="1" ht="24">
      <c r="A92" s="906">
        <v>32</v>
      </c>
      <c r="B92" s="3092" t="s">
        <v>635</v>
      </c>
      <c r="C92" s="906" t="s">
        <v>636</v>
      </c>
      <c r="D92" s="820" t="s">
        <v>637</v>
      </c>
      <c r="E92" s="919">
        <v>0.2</v>
      </c>
      <c r="F92" s="906">
        <v>30</v>
      </c>
    </row>
    <row r="93" spans="1:6" s="902" customFormat="1" ht="36">
      <c r="A93" s="906">
        <v>33</v>
      </c>
      <c r="B93" s="3092"/>
      <c r="C93" s="906" t="s">
        <v>638</v>
      </c>
      <c r="D93" s="820" t="s">
        <v>639</v>
      </c>
      <c r="E93" s="919">
        <v>0.2</v>
      </c>
      <c r="F93" s="906">
        <v>30</v>
      </c>
    </row>
    <row r="94" spans="1:6" s="902" customFormat="1" ht="48">
      <c r="A94" s="906">
        <v>34</v>
      </c>
      <c r="B94" s="3092"/>
      <c r="C94" s="906" t="s">
        <v>640</v>
      </c>
      <c r="D94" s="820" t="s">
        <v>641</v>
      </c>
      <c r="E94" s="919">
        <v>0.2</v>
      </c>
      <c r="F94" s="906">
        <v>30</v>
      </c>
    </row>
    <row r="95" spans="1:6" s="902" customFormat="1" ht="36">
      <c r="A95" s="906">
        <v>35</v>
      </c>
      <c r="B95" s="3092"/>
      <c r="C95" s="906" t="s">
        <v>642</v>
      </c>
      <c r="D95" s="820" t="s">
        <v>643</v>
      </c>
      <c r="E95" s="919">
        <v>0.2</v>
      </c>
      <c r="F95" s="906">
        <v>30</v>
      </c>
    </row>
    <row r="96" spans="1:6" s="902" customFormat="1" ht="48">
      <c r="A96" s="906">
        <v>36</v>
      </c>
      <c r="B96" s="3092"/>
      <c r="C96" s="820" t="s">
        <v>644</v>
      </c>
      <c r="D96" s="820" t="s">
        <v>645</v>
      </c>
      <c r="E96" s="919">
        <v>0.2</v>
      </c>
      <c r="F96" s="906">
        <v>30</v>
      </c>
    </row>
    <row r="97" spans="1:6" s="902" customFormat="1" ht="36">
      <c r="A97" s="906">
        <v>37</v>
      </c>
      <c r="B97" s="3092"/>
      <c r="C97" s="906" t="s">
        <v>646</v>
      </c>
      <c r="D97" s="820" t="s">
        <v>647</v>
      </c>
      <c r="E97" s="919">
        <v>0.2</v>
      </c>
      <c r="F97" s="906">
        <v>30</v>
      </c>
    </row>
    <row r="98" spans="1:6" s="902" customFormat="1" ht="36">
      <c r="A98" s="906">
        <v>38</v>
      </c>
      <c r="B98" s="3092"/>
      <c r="C98" s="906" t="s">
        <v>648</v>
      </c>
      <c r="D98" s="820" t="s">
        <v>649</v>
      </c>
      <c r="E98" s="919">
        <v>0.2</v>
      </c>
      <c r="F98" s="906">
        <v>30</v>
      </c>
    </row>
    <row r="99" spans="1:6" s="902" customFormat="1" ht="36">
      <c r="A99" s="906">
        <v>39</v>
      </c>
      <c r="B99" s="3092" t="s">
        <v>650</v>
      </c>
      <c r="C99" s="906" t="s">
        <v>651</v>
      </c>
      <c r="D99" s="820" t="s">
        <v>652</v>
      </c>
      <c r="E99" s="919">
        <v>0.3</v>
      </c>
      <c r="F99" s="906">
        <v>50</v>
      </c>
    </row>
    <row r="100" spans="1:6" s="902" customFormat="1" ht="24">
      <c r="A100" s="906">
        <v>40</v>
      </c>
      <c r="B100" s="3092"/>
      <c r="C100" s="906" t="s">
        <v>653</v>
      </c>
      <c r="D100" s="820" t="s">
        <v>654</v>
      </c>
      <c r="E100" s="919">
        <v>0.2</v>
      </c>
      <c r="F100" s="906">
        <v>30</v>
      </c>
    </row>
    <row r="101" spans="1:6" s="902" customFormat="1" ht="36">
      <c r="A101" s="906">
        <v>41</v>
      </c>
      <c r="B101" s="309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92" t="s">
        <v>665</v>
      </c>
      <c r="C105" s="906" t="s">
        <v>666</v>
      </c>
      <c r="D105" s="820" t="s">
        <v>667</v>
      </c>
      <c r="E105" s="919">
        <v>0.2</v>
      </c>
      <c r="F105" s="906">
        <v>30</v>
      </c>
    </row>
    <row r="106" spans="1:6" s="902" customFormat="1" ht="36">
      <c r="A106" s="906">
        <v>46</v>
      </c>
      <c r="B106" s="3092"/>
      <c r="C106" s="906" t="s">
        <v>668</v>
      </c>
      <c r="D106" s="820" t="s">
        <v>669</v>
      </c>
      <c r="E106" s="919">
        <v>0.2</v>
      </c>
      <c r="F106" s="906">
        <v>30</v>
      </c>
    </row>
    <row r="107" spans="1:6" s="902" customFormat="1" ht="36">
      <c r="A107" s="906">
        <v>47</v>
      </c>
      <c r="B107" s="3092" t="s">
        <v>670</v>
      </c>
      <c r="C107" s="906" t="s">
        <v>671</v>
      </c>
      <c r="D107" s="820" t="s">
        <v>672</v>
      </c>
      <c r="E107" s="919">
        <v>0.3</v>
      </c>
      <c r="F107" s="906">
        <v>50</v>
      </c>
    </row>
    <row r="108" spans="1:6" s="902" customFormat="1" ht="36">
      <c r="A108" s="906">
        <v>48</v>
      </c>
      <c r="B108" s="309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92" t="s">
        <v>681</v>
      </c>
      <c r="C111" s="906" t="s">
        <v>682</v>
      </c>
      <c r="D111" s="820" t="s">
        <v>683</v>
      </c>
      <c r="E111" s="919">
        <v>0.2</v>
      </c>
      <c r="F111" s="906">
        <v>30</v>
      </c>
    </row>
    <row r="112" spans="1:6" s="902" customFormat="1" ht="24">
      <c r="A112" s="906">
        <v>52</v>
      </c>
      <c r="B112" s="3092"/>
      <c r="C112" s="906" t="s">
        <v>684</v>
      </c>
      <c r="D112" s="820" t="s">
        <v>685</v>
      </c>
      <c r="E112" s="919">
        <v>0.2</v>
      </c>
      <c r="F112" s="906">
        <v>30</v>
      </c>
    </row>
    <row r="113" spans="1:6" s="902" customFormat="1" ht="24">
      <c r="A113" s="906">
        <v>53</v>
      </c>
      <c r="B113" s="309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92" t="s">
        <v>694</v>
      </c>
      <c r="C116" s="906" t="s">
        <v>695</v>
      </c>
      <c r="D116" s="820" t="s">
        <v>696</v>
      </c>
      <c r="E116" s="919">
        <v>0.2</v>
      </c>
      <c r="F116" s="906">
        <v>30</v>
      </c>
    </row>
    <row r="117" spans="1:6" ht="36">
      <c r="A117" s="906">
        <v>57</v>
      </c>
      <c r="B117" s="309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098" t="s">
        <v>1033</v>
      </c>
      <c r="C1" s="3098"/>
      <c r="D1" s="3098"/>
      <c r="E1" s="3098"/>
      <c r="F1" s="3098"/>
      <c r="G1" s="3094" t="s">
        <v>1034</v>
      </c>
      <c r="H1" s="3094"/>
      <c r="I1" s="3094"/>
      <c r="J1" s="3094"/>
      <c r="K1" s="3094"/>
      <c r="L1" s="3094"/>
      <c r="N1" s="3094" t="s">
        <v>1035</v>
      </c>
      <c r="O1" s="3094"/>
      <c r="P1" s="3094"/>
      <c r="Q1" s="3094"/>
      <c r="R1" s="1545"/>
      <c r="S1" s="3094" t="s">
        <v>1036</v>
      </c>
      <c r="T1" s="3094"/>
      <c r="U1" s="3094"/>
      <c r="V1" s="3094"/>
      <c r="X1" s="3093" t="s">
        <v>1037</v>
      </c>
      <c r="Y1" s="3094"/>
      <c r="Z1" s="3094"/>
      <c r="AA1" s="3094"/>
      <c r="AB1" s="3094"/>
      <c r="AD1" s="3093" t="s">
        <v>1038</v>
      </c>
      <c r="AE1" s="3094"/>
      <c r="AF1" s="3094"/>
      <c r="AG1" s="3094"/>
      <c r="AH1" s="3094"/>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9" customFormat="1" ht="14.25">
      <c r="A3" s="2730" t="s">
        <v>2804</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2" customFormat="1" ht="14.25">
      <c r="B4" s="1553"/>
      <c r="C4" s="1553"/>
      <c r="D4" s="1554"/>
      <c r="E4" s="1554"/>
      <c r="F4" s="1553"/>
      <c r="G4" s="1555"/>
      <c r="H4" s="1556"/>
      <c r="I4" s="2711"/>
      <c r="J4" s="2711"/>
      <c r="K4" s="2711"/>
      <c r="L4" s="2711"/>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2808</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31">
        <v>2018</v>
      </c>
      <c r="H5" s="1818">
        <v>2</v>
      </c>
      <c r="I5" s="2712">
        <v>0</v>
      </c>
      <c r="J5" s="2712">
        <v>0</v>
      </c>
      <c r="K5" s="2712">
        <v>0</v>
      </c>
      <c r="L5" s="2713">
        <v>0</v>
      </c>
      <c r="N5" s="1567">
        <f t="shared" ref="N5" si="7">I5/100</f>
        <v>0</v>
      </c>
      <c r="O5" s="1567">
        <f t="shared" ref="O5" si="8">J5/100</f>
        <v>0</v>
      </c>
      <c r="P5" s="1567">
        <f t="shared" ref="P5" si="9">K5/100</f>
        <v>0</v>
      </c>
      <c r="Q5" s="1567">
        <f t="shared" ref="Q5" si="10">L5/100</f>
        <v>0</v>
      </c>
      <c r="R5" s="1820"/>
      <c r="S5" s="1821"/>
      <c r="T5" s="1820"/>
      <c r="U5" s="1820"/>
      <c r="V5" s="1820"/>
      <c r="W5" s="2718" t="s">
        <v>2803</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2809</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10">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2805</v>
      </c>
      <c r="B7" s="1569">
        <v>439</v>
      </c>
      <c r="C7" s="1569">
        <v>327</v>
      </c>
      <c r="D7" s="1569">
        <f t="shared" si="14"/>
        <v>327</v>
      </c>
      <c r="E7" s="1569">
        <v>627</v>
      </c>
      <c r="F7" s="1570">
        <v>283</v>
      </c>
      <c r="G7" s="2717">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2800</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10"/>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9"/>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1049</v>
      </c>
      <c r="B10" s="1577">
        <f t="shared" si="2"/>
        <v>405.524</v>
      </c>
      <c r="C10" s="1577">
        <f t="shared" ref="C10" si="35">C11*(1+O10)</f>
        <v>307.79840000000002</v>
      </c>
      <c r="D10" s="1577">
        <f t="shared" si="14"/>
        <v>307.79840000000002</v>
      </c>
      <c r="E10" s="1577">
        <f t="shared" si="27"/>
        <v>574.67759999999998</v>
      </c>
      <c r="F10" s="1577">
        <f t="shared" si="27"/>
        <v>270.20280000000002</v>
      </c>
      <c r="G10" s="2710"/>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1050</v>
      </c>
      <c r="B11" s="1569">
        <v>392</v>
      </c>
      <c r="C11" s="1569">
        <v>302</v>
      </c>
      <c r="D11" s="1569">
        <f t="shared" si="14"/>
        <v>302</v>
      </c>
      <c r="E11" s="1569">
        <v>553</v>
      </c>
      <c r="F11" s="1570">
        <v>266</v>
      </c>
      <c r="G11" s="3099">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096"/>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096"/>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097"/>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095">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096"/>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096"/>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097"/>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095">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096"/>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096"/>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097"/>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1218</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1051</v>
      </c>
      <c r="B23" s="1569">
        <v>299</v>
      </c>
      <c r="C23" s="1569">
        <v>252</v>
      </c>
      <c r="D23" s="1569">
        <f t="shared" si="39"/>
        <v>252</v>
      </c>
      <c r="E23" s="1569">
        <v>409</v>
      </c>
      <c r="F23" s="1570">
        <v>227</v>
      </c>
      <c r="G23" s="3100">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1052</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01"/>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1053</v>
      </c>
      <c r="B25" s="1577">
        <f t="shared" si="48"/>
        <v>288.2649053828776</v>
      </c>
      <c r="C25" s="1577">
        <f t="shared" si="48"/>
        <v>243.64564425013293</v>
      </c>
      <c r="D25" s="1577">
        <f t="shared" si="39"/>
        <v>243.64564425013293</v>
      </c>
      <c r="E25" s="1577">
        <f t="shared" si="49"/>
        <v>393.31080825986544</v>
      </c>
      <c r="F25" s="1577">
        <f t="shared" si="49"/>
        <v>223.07903790551154</v>
      </c>
      <c r="G25" s="3101"/>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1054</v>
      </c>
      <c r="B26" s="1577">
        <f t="shared" si="48"/>
        <v>282.50186729015837</v>
      </c>
      <c r="C26" s="1577">
        <f t="shared" si="48"/>
        <v>238.09796174155468</v>
      </c>
      <c r="D26" s="1577">
        <f t="shared" si="39"/>
        <v>238.09796174155468</v>
      </c>
      <c r="E26" s="1577">
        <f t="shared" si="49"/>
        <v>385.33438646014054</v>
      </c>
      <c r="F26" s="1577">
        <f t="shared" si="49"/>
        <v>221.55034055567739</v>
      </c>
      <c r="G26" s="3102"/>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1055</v>
      </c>
      <c r="B27" s="1611">
        <v>278</v>
      </c>
      <c r="C27" s="1611">
        <v>234</v>
      </c>
      <c r="D27" s="1611">
        <f t="shared" si="39"/>
        <v>234</v>
      </c>
      <c r="E27" s="1611">
        <v>379</v>
      </c>
      <c r="F27" s="1612">
        <v>220</v>
      </c>
      <c r="G27" s="3095">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1056</v>
      </c>
      <c r="B28" s="1577">
        <f>B27/(1+N27)</f>
        <v>275.49301357645425</v>
      </c>
      <c r="C28" s="1577">
        <f>C27/(1+O27)</f>
        <v>232.41954707985698</v>
      </c>
      <c r="D28" s="1577">
        <f t="shared" si="39"/>
        <v>232.41954707985698</v>
      </c>
      <c r="E28" s="1577">
        <f t="shared" ref="E28:F30" si="50">E27/(1+P27)</f>
        <v>375.32184591008121</v>
      </c>
      <c r="F28" s="1577">
        <f t="shared" si="50"/>
        <v>218.03766105054513</v>
      </c>
      <c r="G28" s="3096"/>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1057</v>
      </c>
      <c r="B29" s="1577">
        <f>B28/(1+N28)</f>
        <v>275.24529281292263</v>
      </c>
      <c r="C29" s="1577">
        <f>C28/(1+O28)</f>
        <v>231.74747938962707</v>
      </c>
      <c r="D29" s="1577">
        <f t="shared" si="39"/>
        <v>231.74747938962707</v>
      </c>
      <c r="E29" s="1577">
        <f t="shared" si="50"/>
        <v>375.35938184826603</v>
      </c>
      <c r="F29" s="1577">
        <f t="shared" si="50"/>
        <v>216.78033510692495</v>
      </c>
      <c r="G29" s="3096"/>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1058</v>
      </c>
      <c r="B30" s="1577">
        <f>B29/(1+N29)</f>
        <v>275.19025476197027</v>
      </c>
      <c r="C30" s="1613">
        <v>232</v>
      </c>
      <c r="D30" s="1613">
        <f t="shared" si="39"/>
        <v>232</v>
      </c>
      <c r="E30" s="1577">
        <f t="shared" si="50"/>
        <v>375.65990977608692</v>
      </c>
      <c r="F30" s="1577">
        <f t="shared" si="50"/>
        <v>214.12518283971252</v>
      </c>
      <c r="G30" s="3097"/>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1059</v>
      </c>
      <c r="B31" s="1569">
        <v>275</v>
      </c>
      <c r="C31" s="1569">
        <v>232</v>
      </c>
      <c r="D31" s="1569">
        <f t="shared" si="39"/>
        <v>232</v>
      </c>
      <c r="E31" s="1569">
        <v>376</v>
      </c>
      <c r="F31" s="1570">
        <v>213</v>
      </c>
      <c r="G31" s="3095">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1060</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096">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1061</v>
      </c>
      <c r="B33" s="1577">
        <f t="shared" si="51"/>
        <v>275.19335084830601</v>
      </c>
      <c r="C33" s="1577">
        <f t="shared" si="51"/>
        <v>230.18088050139744</v>
      </c>
      <c r="D33" s="1577">
        <f t="shared" si="39"/>
        <v>230.18088050139744</v>
      </c>
      <c r="E33" s="1577">
        <f t="shared" si="52"/>
        <v>377.58482925212331</v>
      </c>
      <c r="F33" s="1577">
        <f t="shared" si="52"/>
        <v>210.90687997847917</v>
      </c>
      <c r="G33" s="3096">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1062</v>
      </c>
      <c r="B34" s="1577">
        <f t="shared" si="51"/>
        <v>276.29854502841971</v>
      </c>
      <c r="C34" s="1577">
        <f t="shared" si="51"/>
        <v>229.79023709833027</v>
      </c>
      <c r="D34" s="1577">
        <f t="shared" si="39"/>
        <v>229.79023709833027</v>
      </c>
      <c r="E34" s="1577">
        <f t="shared" si="52"/>
        <v>379.78759731655936</v>
      </c>
      <c r="F34" s="1577">
        <f t="shared" si="52"/>
        <v>211.32953905659235</v>
      </c>
      <c r="G34" s="3097">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1063</v>
      </c>
      <c r="B35" s="1569">
        <v>269</v>
      </c>
      <c r="C35" s="1569">
        <v>221</v>
      </c>
      <c r="D35" s="1569">
        <f t="shared" si="39"/>
        <v>221</v>
      </c>
      <c r="E35" s="1569">
        <v>373</v>
      </c>
      <c r="F35" s="1570">
        <v>196</v>
      </c>
      <c r="G35" s="3095">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1064</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096">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1065</v>
      </c>
      <c r="B37" s="1577">
        <f t="shared" si="53"/>
        <v>242.95398227588385</v>
      </c>
      <c r="C37" s="1577">
        <f t="shared" si="53"/>
        <v>199.59137053614126</v>
      </c>
      <c r="D37" s="1577">
        <f t="shared" si="39"/>
        <v>199.59137053614126</v>
      </c>
      <c r="E37" s="1577">
        <f t="shared" si="54"/>
        <v>335.92189522342125</v>
      </c>
      <c r="F37" s="1577">
        <f t="shared" si="54"/>
        <v>183.10139991109489</v>
      </c>
      <c r="G37" s="3096">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1066</v>
      </c>
      <c r="B38" s="1577">
        <f t="shared" si="53"/>
        <v>232.06990378821649</v>
      </c>
      <c r="C38" s="1577">
        <f t="shared" si="53"/>
        <v>192.74878854286936</v>
      </c>
      <c r="D38" s="1577">
        <f t="shared" si="39"/>
        <v>192.74878854286936</v>
      </c>
      <c r="E38" s="1577">
        <f t="shared" si="54"/>
        <v>319.71247284992984</v>
      </c>
      <c r="F38" s="1577">
        <f t="shared" si="54"/>
        <v>175.67053622862409</v>
      </c>
      <c r="G38" s="3097">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1067</v>
      </c>
      <c r="B39" s="1569">
        <v>220</v>
      </c>
      <c r="C39" s="1569">
        <v>187</v>
      </c>
      <c r="D39" s="1569">
        <f t="shared" si="39"/>
        <v>187</v>
      </c>
      <c r="E39" s="1569">
        <v>301</v>
      </c>
      <c r="F39" s="1570">
        <v>168</v>
      </c>
      <c r="G39" s="3095">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1068</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096">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1069</v>
      </c>
      <c r="B41" s="1577">
        <f t="shared" si="55"/>
        <v>210.630522469011</v>
      </c>
      <c r="C41" s="1577">
        <f t="shared" si="55"/>
        <v>181.69567812247232</v>
      </c>
      <c r="D41" s="1577">
        <f t="shared" si="39"/>
        <v>181.69567812247232</v>
      </c>
      <c r="E41" s="1577">
        <f t="shared" si="56"/>
        <v>286.13517466736738</v>
      </c>
      <c r="F41" s="1577">
        <f t="shared" si="56"/>
        <v>165.47535084591149</v>
      </c>
      <c r="G41" s="3096">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1070</v>
      </c>
      <c r="B42" s="1577">
        <f t="shared" si="55"/>
        <v>208.83454537875372</v>
      </c>
      <c r="C42" s="1577">
        <f t="shared" si="55"/>
        <v>183.77230517090351</v>
      </c>
      <c r="D42" s="1577">
        <f t="shared" si="39"/>
        <v>183.77230517090351</v>
      </c>
      <c r="E42" s="1577">
        <f t="shared" si="56"/>
        <v>281.10342338870947</v>
      </c>
      <c r="F42" s="1577">
        <f t="shared" si="56"/>
        <v>168.97309388942256</v>
      </c>
      <c r="G42" s="3097">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1071</v>
      </c>
      <c r="B43" s="1611">
        <v>214</v>
      </c>
      <c r="C43" s="1611">
        <v>188</v>
      </c>
      <c r="D43" s="1611">
        <f t="shared" si="39"/>
        <v>188</v>
      </c>
      <c r="E43" s="1611">
        <v>289</v>
      </c>
      <c r="F43" s="1612">
        <v>166</v>
      </c>
      <c r="G43" s="3095">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1072</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096">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1073</v>
      </c>
      <c r="B45" s="1577">
        <f t="shared" si="57"/>
        <v>206.31694671589116</v>
      </c>
      <c r="C45" s="1577">
        <f t="shared" si="57"/>
        <v>183.61041121036101</v>
      </c>
      <c r="D45" s="1577">
        <f t="shared" si="39"/>
        <v>183.61041121036101</v>
      </c>
      <c r="E45" s="1577">
        <f t="shared" si="58"/>
        <v>276.66850301795557</v>
      </c>
      <c r="F45" s="1577">
        <f t="shared" si="58"/>
        <v>165.1360938278614</v>
      </c>
      <c r="G45" s="3096">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1074</v>
      </c>
      <c r="B46" s="1614">
        <f t="shared" si="57"/>
        <v>196.62341248059772</v>
      </c>
      <c r="C46" s="1614">
        <f t="shared" si="57"/>
        <v>170.99125648199012</v>
      </c>
      <c r="D46" s="1614">
        <f t="shared" si="39"/>
        <v>170.99125648199012</v>
      </c>
      <c r="E46" s="1614">
        <f t="shared" si="58"/>
        <v>266.07857570490052</v>
      </c>
      <c r="F46" s="1614">
        <f t="shared" si="58"/>
        <v>154.53499328828505</v>
      </c>
      <c r="G46" s="3097">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1075</v>
      </c>
      <c r="B47" s="1569">
        <v>188</v>
      </c>
      <c r="C47" s="1569">
        <v>165</v>
      </c>
      <c r="D47" s="1569">
        <f t="shared" si="39"/>
        <v>165</v>
      </c>
      <c r="E47" s="1569">
        <v>254</v>
      </c>
      <c r="F47" s="1570">
        <v>148</v>
      </c>
      <c r="G47" s="3095">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1076</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096">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1077</v>
      </c>
      <c r="B49" s="1577">
        <f t="shared" si="61"/>
        <v>168.82017748715555</v>
      </c>
      <c r="C49" s="1577">
        <f t="shared" si="61"/>
        <v>148.06267029972753</v>
      </c>
      <c r="D49" s="1577">
        <f t="shared" si="39"/>
        <v>148.06267029972753</v>
      </c>
      <c r="E49" s="1577">
        <f t="shared" si="62"/>
        <v>216.46288379323747</v>
      </c>
      <c r="F49" s="1577">
        <f t="shared" si="62"/>
        <v>134.23529411764704</v>
      </c>
      <c r="G49" s="3096">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1078</v>
      </c>
      <c r="B50" s="1577">
        <f t="shared" si="61"/>
        <v>163.84913591779542</v>
      </c>
      <c r="C50" s="1577">
        <f t="shared" si="61"/>
        <v>145.0283378746594</v>
      </c>
      <c r="D50" s="1577">
        <f t="shared" si="39"/>
        <v>145.0283378746594</v>
      </c>
      <c r="E50" s="1577">
        <f t="shared" si="62"/>
        <v>204.95180722891567</v>
      </c>
      <c r="F50" s="1577">
        <f t="shared" si="62"/>
        <v>125.95920303605313</v>
      </c>
      <c r="G50" s="3097">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1079</v>
      </c>
      <c r="B51" s="1590">
        <v>159</v>
      </c>
      <c r="C51" s="1590">
        <v>141</v>
      </c>
      <c r="D51" s="1590">
        <f t="shared" si="39"/>
        <v>141</v>
      </c>
      <c r="E51" s="1590">
        <v>195</v>
      </c>
      <c r="F51" s="1591">
        <v>122</v>
      </c>
      <c r="G51" s="3095">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1080</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096">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1081</v>
      </c>
      <c r="B53" s="1577">
        <f t="shared" si="65"/>
        <v>146.57412060301507</v>
      </c>
      <c r="C53" s="1577">
        <f t="shared" si="65"/>
        <v>136.46831955922866</v>
      </c>
      <c r="D53" s="1577">
        <f t="shared" si="39"/>
        <v>136.46831955922866</v>
      </c>
      <c r="E53" s="1577">
        <f t="shared" si="66"/>
        <v>166.73864894795128</v>
      </c>
      <c r="F53" s="1577">
        <f t="shared" si="66"/>
        <v>115.05882352941177</v>
      </c>
      <c r="G53" s="3096">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1082</v>
      </c>
      <c r="B54" s="1577">
        <f t="shared" si="65"/>
        <v>144.04145728643215</v>
      </c>
      <c r="C54" s="1577">
        <f t="shared" si="65"/>
        <v>136.12396694214877</v>
      </c>
      <c r="D54" s="1577">
        <f t="shared" si="39"/>
        <v>136.12396694214877</v>
      </c>
      <c r="E54" s="1577">
        <f t="shared" si="66"/>
        <v>158.32225913621264</v>
      </c>
      <c r="F54" s="1577">
        <f t="shared" si="66"/>
        <v>114.04278074866311</v>
      </c>
      <c r="G54" s="3097">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1083</v>
      </c>
      <c r="B55" s="1590">
        <v>138</v>
      </c>
      <c r="C55" s="1590">
        <v>131</v>
      </c>
      <c r="D55" s="1590">
        <f t="shared" si="39"/>
        <v>131</v>
      </c>
      <c r="E55" s="1590">
        <v>155</v>
      </c>
      <c r="F55" s="1591">
        <v>114</v>
      </c>
      <c r="G55" s="3095">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1084</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096">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1085</v>
      </c>
      <c r="B57" s="1577">
        <f t="shared" si="69"/>
        <v>124.29032258064517</v>
      </c>
      <c r="C57" s="1577">
        <f t="shared" si="69"/>
        <v>123.8968609865471</v>
      </c>
      <c r="D57" s="1577">
        <f t="shared" si="39"/>
        <v>123.8968609865471</v>
      </c>
      <c r="E57" s="1577">
        <f t="shared" si="70"/>
        <v>138.00507614213197</v>
      </c>
      <c r="F57" s="1577">
        <f t="shared" si="70"/>
        <v>107.96106557377048</v>
      </c>
      <c r="G57" s="3096">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1086</v>
      </c>
      <c r="B58" s="1577">
        <f t="shared" si="69"/>
        <v>122.57204301075269</v>
      </c>
      <c r="C58" s="1577">
        <f t="shared" si="69"/>
        <v>123.4932735426009</v>
      </c>
      <c r="D58" s="1577">
        <f t="shared" si="39"/>
        <v>123.4932735426009</v>
      </c>
      <c r="E58" s="1577">
        <f t="shared" si="70"/>
        <v>129.82233502538071</v>
      </c>
      <c r="F58" s="1577">
        <f t="shared" si="70"/>
        <v>107.39446721311475</v>
      </c>
      <c r="G58" s="3097">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1087</v>
      </c>
      <c r="B59" s="1611">
        <v>121</v>
      </c>
      <c r="C59" s="1611">
        <v>122</v>
      </c>
      <c r="D59" s="1611">
        <f t="shared" si="39"/>
        <v>122</v>
      </c>
      <c r="E59" s="1611">
        <v>124</v>
      </c>
      <c r="F59" s="1612">
        <v>107</v>
      </c>
      <c r="G59" s="3095">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1088</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096">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1089</v>
      </c>
      <c r="B61" s="1577">
        <f t="shared" si="73"/>
        <v>116.99099099099099</v>
      </c>
      <c r="C61" s="1577">
        <f t="shared" si="73"/>
        <v>118.84848484848486</v>
      </c>
      <c r="D61" s="1577">
        <f t="shared" si="39"/>
        <v>118.84848484848486</v>
      </c>
      <c r="E61" s="1577">
        <f t="shared" si="74"/>
        <v>117.60960960960961</v>
      </c>
      <c r="F61" s="1577">
        <f t="shared" si="74"/>
        <v>104</v>
      </c>
      <c r="G61" s="3096">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1090</v>
      </c>
      <c r="B62" s="1614">
        <f t="shared" si="73"/>
        <v>112.48648648648648</v>
      </c>
      <c r="C62" s="1614">
        <f t="shared" si="73"/>
        <v>115.21212121212122</v>
      </c>
      <c r="D62" s="1614">
        <f t="shared" si="39"/>
        <v>115.21212121212122</v>
      </c>
      <c r="E62" s="1614">
        <f t="shared" si="74"/>
        <v>110.4024024024024</v>
      </c>
      <c r="F62" s="1614">
        <f t="shared" si="74"/>
        <v>104</v>
      </c>
      <c r="G62" s="3097">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1091</v>
      </c>
      <c r="B63" s="1632">
        <v>111</v>
      </c>
      <c r="C63" s="1632">
        <v>114</v>
      </c>
      <c r="D63" s="1632">
        <f t="shared" si="39"/>
        <v>114</v>
      </c>
      <c r="E63" s="1632">
        <v>108</v>
      </c>
      <c r="F63" s="1633">
        <v>104</v>
      </c>
      <c r="G63" s="3095">
        <v>2003</v>
      </c>
      <c r="H63" s="1622">
        <v>4</v>
      </c>
      <c r="I63" s="1634"/>
      <c r="J63" s="1634"/>
      <c r="K63" s="1634"/>
      <c r="L63" s="1634"/>
      <c r="N63" s="1635"/>
      <c r="O63" s="1634"/>
      <c r="P63" s="1634"/>
      <c r="Q63" s="1634"/>
      <c r="S63" s="1635"/>
      <c r="T63" s="1634"/>
      <c r="U63" s="1634"/>
      <c r="V63" s="1634"/>
      <c r="X63" s="1626"/>
      <c r="Y63" s="1626"/>
      <c r="Z63" s="1626"/>
    </row>
    <row r="64" spans="1:26">
      <c r="A64" s="1560" t="s">
        <v>1092</v>
      </c>
      <c r="B64" s="1636">
        <f t="shared" ref="B64:C66" si="75">B65+(B$63-B$67)/4</f>
        <v>109.75</v>
      </c>
      <c r="C64" s="1636">
        <f t="shared" si="75"/>
        <v>112.25</v>
      </c>
      <c r="D64" s="1636">
        <f t="shared" si="39"/>
        <v>112.25</v>
      </c>
      <c r="E64" s="1636">
        <f t="shared" ref="E64:F66" si="76">E65+(E$63-E$67)/4</f>
        <v>107.25</v>
      </c>
      <c r="F64" s="1636">
        <f t="shared" si="76"/>
        <v>103.5</v>
      </c>
      <c r="G64" s="3096">
        <v>2003</v>
      </c>
      <c r="H64" s="1587">
        <v>3</v>
      </c>
      <c r="I64" s="1634"/>
      <c r="J64" s="1634"/>
      <c r="K64" s="1634"/>
      <c r="L64" s="1634"/>
      <c r="X64" s="1626"/>
      <c r="Y64" s="1626"/>
      <c r="Z64" s="1626"/>
    </row>
    <row r="65" spans="1:26">
      <c r="A65" s="1560" t="s">
        <v>1093</v>
      </c>
      <c r="B65" s="1636">
        <f t="shared" si="75"/>
        <v>108.5</v>
      </c>
      <c r="C65" s="1636">
        <f t="shared" si="75"/>
        <v>110.5</v>
      </c>
      <c r="D65" s="1636">
        <f t="shared" si="39"/>
        <v>110.5</v>
      </c>
      <c r="E65" s="1636">
        <f t="shared" si="76"/>
        <v>106.5</v>
      </c>
      <c r="F65" s="1636">
        <f t="shared" si="76"/>
        <v>103</v>
      </c>
      <c r="G65" s="3096">
        <v>2003</v>
      </c>
      <c r="H65" s="1564">
        <v>2</v>
      </c>
      <c r="I65" s="1634"/>
      <c r="J65" s="1634"/>
      <c r="K65" s="1634"/>
      <c r="L65" s="1634"/>
      <c r="X65" s="1626"/>
      <c r="Y65" s="1626"/>
      <c r="Z65" s="1626"/>
    </row>
    <row r="66" spans="1:26" ht="13.5" thickBot="1">
      <c r="A66" s="1560" t="s">
        <v>1094</v>
      </c>
      <c r="B66" s="1636">
        <f t="shared" si="75"/>
        <v>107.25</v>
      </c>
      <c r="C66" s="1636">
        <f t="shared" si="75"/>
        <v>108.75</v>
      </c>
      <c r="D66" s="1636">
        <f t="shared" si="39"/>
        <v>108.75</v>
      </c>
      <c r="E66" s="1636">
        <f t="shared" si="76"/>
        <v>105.75</v>
      </c>
      <c r="F66" s="1636">
        <f t="shared" si="76"/>
        <v>102.5</v>
      </c>
      <c r="G66" s="3097">
        <v>2003</v>
      </c>
      <c r="H66" s="1637">
        <v>1</v>
      </c>
      <c r="I66" s="1634"/>
      <c r="J66" s="1634"/>
      <c r="K66" s="1634"/>
      <c r="L66" s="1634"/>
      <c r="S66" s="1572"/>
      <c r="T66" s="1573"/>
      <c r="U66" s="1573"/>
      <c r="X66" s="1626"/>
      <c r="Y66" s="1626"/>
      <c r="Z66" s="1626"/>
    </row>
    <row r="67" spans="1:26" ht="13.5" thickBot="1">
      <c r="A67" s="1560" t="s">
        <v>1095</v>
      </c>
      <c r="B67" s="1638">
        <v>106</v>
      </c>
      <c r="C67" s="1638">
        <v>107</v>
      </c>
      <c r="D67" s="1638">
        <f t="shared" si="39"/>
        <v>107</v>
      </c>
      <c r="E67" s="1638">
        <v>105</v>
      </c>
      <c r="F67" s="1639">
        <v>102</v>
      </c>
      <c r="G67" s="3095">
        <v>2002</v>
      </c>
      <c r="H67" s="1582">
        <v>4</v>
      </c>
      <c r="I67" s="1634"/>
      <c r="J67" s="1634"/>
      <c r="K67" s="1634"/>
      <c r="L67" s="1634"/>
      <c r="N67" s="1635"/>
      <c r="O67" s="1634"/>
      <c r="P67" s="1634"/>
      <c r="Q67" s="1634"/>
      <c r="S67" s="1635"/>
      <c r="T67" s="1634"/>
      <c r="U67" s="1634"/>
      <c r="V67" s="1634"/>
      <c r="X67" s="1626"/>
      <c r="Y67" s="1626"/>
      <c r="Z67" s="1626"/>
    </row>
    <row r="68" spans="1:26">
      <c r="A68" s="1560" t="s">
        <v>1096</v>
      </c>
      <c r="B68" s="1636">
        <f t="shared" ref="B68:C70" si="77">B69+(B$67-B$71)/4</f>
        <v>105</v>
      </c>
      <c r="C68" s="1636">
        <f t="shared" si="77"/>
        <v>106</v>
      </c>
      <c r="D68" s="1636">
        <f t="shared" si="39"/>
        <v>106</v>
      </c>
      <c r="E68" s="1636">
        <f t="shared" ref="E68:F70" si="78">E69+(E$67-E$71)/4</f>
        <v>104.5</v>
      </c>
      <c r="F68" s="1636">
        <f t="shared" si="78"/>
        <v>101.5</v>
      </c>
      <c r="G68" s="3096">
        <v>2002</v>
      </c>
      <c r="H68" s="1587">
        <v>3</v>
      </c>
      <c r="I68" s="1634"/>
      <c r="J68" s="1634"/>
      <c r="K68" s="1634"/>
      <c r="L68" s="1634"/>
      <c r="X68" s="1626"/>
      <c r="Y68" s="1626"/>
      <c r="Z68" s="1626"/>
    </row>
    <row r="69" spans="1:26">
      <c r="A69" s="1560" t="s">
        <v>1097</v>
      </c>
      <c r="B69" s="1636">
        <f t="shared" si="77"/>
        <v>104</v>
      </c>
      <c r="C69" s="1636">
        <f t="shared" si="77"/>
        <v>105</v>
      </c>
      <c r="D69" s="1636">
        <f t="shared" si="39"/>
        <v>105</v>
      </c>
      <c r="E69" s="1636">
        <f t="shared" si="78"/>
        <v>104</v>
      </c>
      <c r="F69" s="1636">
        <f t="shared" si="78"/>
        <v>101</v>
      </c>
      <c r="G69" s="3096">
        <v>2002</v>
      </c>
      <c r="H69" s="1564">
        <v>2</v>
      </c>
      <c r="I69" s="1634"/>
      <c r="J69" s="1634"/>
      <c r="K69" s="1634"/>
      <c r="L69" s="1634"/>
      <c r="X69" s="1626"/>
      <c r="Y69" s="1626"/>
      <c r="Z69" s="1626"/>
    </row>
    <row r="70" spans="1:26" s="1598" customFormat="1" ht="13.5" thickBot="1">
      <c r="A70" s="1594" t="s">
        <v>1098</v>
      </c>
      <c r="B70" s="1640">
        <f t="shared" si="77"/>
        <v>103</v>
      </c>
      <c r="C70" s="1640">
        <f t="shared" si="77"/>
        <v>104</v>
      </c>
      <c r="D70" s="1640">
        <f t="shared" si="39"/>
        <v>104</v>
      </c>
      <c r="E70" s="1640">
        <f t="shared" si="78"/>
        <v>103.5</v>
      </c>
      <c r="F70" s="1640">
        <f t="shared" si="78"/>
        <v>100.5</v>
      </c>
      <c r="G70" s="3097">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1099</v>
      </c>
      <c r="G73" s="1650"/>
      <c r="N73" s="1650"/>
      <c r="S73" s="1650"/>
    </row>
    <row r="74" spans="1:26" s="1649" customFormat="1">
      <c r="A74" s="1649" t="s">
        <v>1100</v>
      </c>
      <c r="G74" s="1650"/>
      <c r="N74" s="1650"/>
      <c r="S74" s="1650"/>
    </row>
    <row r="75" spans="1:26" s="1649" customFormat="1">
      <c r="A75" s="1649" t="s">
        <v>1101</v>
      </c>
      <c r="G75" s="1650"/>
      <c r="I75" s="1651"/>
      <c r="J75" s="1651"/>
      <c r="K75" s="1651"/>
      <c r="L75" s="1651"/>
      <c r="N75" s="1652"/>
      <c r="O75" s="1651"/>
      <c r="P75" s="1651"/>
      <c r="Q75" s="1651"/>
      <c r="S75" s="1652"/>
      <c r="T75" s="1651"/>
      <c r="U75" s="1651"/>
      <c r="V75" s="1651"/>
    </row>
    <row r="76" spans="1:26" s="1649" customFormat="1">
      <c r="A76" s="1649" t="s">
        <v>1102</v>
      </c>
      <c r="G76" s="1650"/>
      <c r="N76" s="1650"/>
      <c r="S76" s="1650"/>
    </row>
    <row r="83" spans="7:22" ht="13.5" thickBot="1"/>
    <row r="84" spans="7:22">
      <c r="G84" s="1571"/>
      <c r="S84" s="1653" t="s">
        <v>1103</v>
      </c>
      <c r="T84" s="1654" t="s">
        <v>1104</v>
      </c>
      <c r="U84" s="1654" t="s">
        <v>1105</v>
      </c>
      <c r="V84" s="1654" t="s">
        <v>1106</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43255</v>
      </c>
      <c r="D1" s="1799" t="s">
        <v>1186</v>
      </c>
      <c r="E1" s="1805">
        <f>'数据-取费表'!B23</f>
        <v>1</v>
      </c>
      <c r="F1" s="1799" t="s">
        <v>1187</v>
      </c>
      <c r="G1" s="1806">
        <f ca="1">INDIRECT("d"&amp;$K$1)/100</f>
        <v>4.3499999999999997E-2</v>
      </c>
      <c r="H1" s="1799" t="s">
        <v>1217</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G4" workbookViewId="0">
      <selection activeCell="A29" sqref="A29"/>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7"/>
  <sheetViews>
    <sheetView topLeftCell="A10" workbookViewId="0">
      <selection activeCell="A24" sqref="A24"/>
    </sheetView>
  </sheetViews>
  <sheetFormatPr defaultRowHeight="13.5"/>
  <sheetData>
    <row r="7" spans="8:8">
      <c r="H7" s="1906"/>
    </row>
  </sheetData>
  <phoneticPr fontId="146" type="noConversion"/>
  <pageMargins left="0.7" right="0.7" top="0.75" bottom="0.75" header="0.3" footer="0.3"/>
  <pageSetup paperSize="0" orientation="portrait" horizontalDpi="0" verticalDpi="0" copies="0"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3"/>
      <c r="C2" s="2763"/>
      <c r="D2" s="2763"/>
      <c r="E2" s="2763"/>
    </row>
    <row r="3" spans="1:5" ht="13.5" customHeight="1">
      <c r="A3" s="1927"/>
      <c r="B3" s="1927"/>
      <c r="C3" s="1927"/>
      <c r="D3" s="1927"/>
      <c r="E3" s="1927"/>
    </row>
    <row r="4" spans="1:5" ht="19.5" thickBot="1">
      <c r="A4" s="2764" t="str">
        <f>IF(项目基本情况!D5="房地产市场价值","估价结果一览表（市场价值不需本页表格)","估价结果一览表")</f>
        <v>估价结果一览表</v>
      </c>
      <c r="B4" s="2764"/>
      <c r="C4" s="2764"/>
      <c r="D4" s="2764"/>
      <c r="E4" s="2764"/>
    </row>
    <row r="5" spans="1:5" ht="14.25" customHeight="1" thickTop="1">
      <c r="A5" s="1924"/>
      <c r="B5" s="1928" t="s">
        <v>742</v>
      </c>
      <c r="C5" s="2765" t="s">
        <v>783</v>
      </c>
      <c r="D5" s="2766"/>
      <c r="E5" s="1924"/>
    </row>
    <row r="6" spans="1:5" ht="14.25">
      <c r="A6" s="1924"/>
      <c r="B6" s="1929" t="str">
        <f>项目基本情况!I1</f>
        <v>北京市房地产</v>
      </c>
      <c r="C6" s="2767">
        <f>项目基本情况!C12</f>
        <v>450.38</v>
      </c>
      <c r="D6" s="2767"/>
      <c r="E6" s="1924"/>
    </row>
    <row r="7" spans="1:5" ht="14.25">
      <c r="A7" s="1924"/>
      <c r="B7" s="2761" t="s">
        <v>784</v>
      </c>
      <c r="C7" s="1930" t="str">
        <f>IF('数据-取费表'!B3="万元","总价（万元）","总价（元）")</f>
        <v>总价（元）</v>
      </c>
      <c r="D7" s="1931">
        <f>IF('数据-取费表'!E3="否",结果表!I102,'结果表 (1修多)'!I103)</f>
        <v>0</v>
      </c>
      <c r="E7" s="1924"/>
    </row>
    <row r="8" spans="1:5" ht="14.25">
      <c r="A8" s="1924"/>
      <c r="B8" s="2761"/>
      <c r="C8" s="1932" t="s">
        <v>1175</v>
      </c>
      <c r="D8" s="1933" t="str">
        <f>IF('数据-取费表'!B3="万元",NUMBERSTRING(INT(D7*10000),2)&amp;"元整",NUMBERSTRING(INT(D7),2)&amp;"元整")</f>
        <v>零元整</v>
      </c>
      <c r="E8" s="1924"/>
    </row>
    <row r="9" spans="1:5" ht="14.25">
      <c r="A9" s="1924"/>
      <c r="B9" s="2761"/>
      <c r="C9" s="1934" t="s">
        <v>1273</v>
      </c>
      <c r="D9" s="1931">
        <f>IF('数据-取费表'!E3="否",结果表!I103,'结果表 (1修多)'!I104)</f>
        <v>0</v>
      </c>
      <c r="E9" s="1924"/>
    </row>
    <row r="10" spans="1:5" ht="14.25">
      <c r="A10" s="1924"/>
      <c r="B10" s="2768"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68"/>
      <c r="C11" s="1932" t="s">
        <v>1175</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68" t="str">
        <f>IF('数据-取费表'!E3="否",结果表!F110,'结果表 (1修多)'!F111)</f>
        <v>3.房地产抵押价值</v>
      </c>
      <c r="C15" s="1925" t="str">
        <f>C7</f>
        <v>总价（元）</v>
      </c>
      <c r="D15" s="1931">
        <f>IF('数据-取费表'!E3="否",结果表!I110,'结果表 (1修多)'!I111)</f>
        <v>0</v>
      </c>
      <c r="E15" s="1924"/>
    </row>
    <row r="16" spans="1:5" ht="14.25">
      <c r="A16" s="1924"/>
      <c r="B16" s="2768"/>
      <c r="C16" s="1932" t="s">
        <v>1175</v>
      </c>
      <c r="D16" s="1931" t="str">
        <f>IF('数据-取费表'!B3="万元",NUMBERSTRING(INT(D15*10000),2)&amp;"元整",NUMBERSTRING(INT(D15),2)&amp;"元整")</f>
        <v>零元整</v>
      </c>
      <c r="E16" s="1924"/>
    </row>
    <row r="17" spans="1:5" ht="14.25">
      <c r="A17" s="1924"/>
      <c r="B17" s="2768"/>
      <c r="C17" s="1934" t="s">
        <v>1273</v>
      </c>
      <c r="D17" s="1931">
        <f>IF('数据-取费表'!E3="否",结果表!I111,'结果表 (1修多)'!I112)</f>
        <v>0</v>
      </c>
      <c r="E17" s="1924"/>
    </row>
    <row r="18" spans="1:5" ht="14.25">
      <c r="A18" s="1924"/>
      <c r="B18" s="2768" t="str">
        <f>IF('数据-取费表'!E3="否",结果表!F112,'结果表 (1修多)'!F113)</f>
        <v>——</v>
      </c>
      <c r="C18" s="1925" t="str">
        <f>C7</f>
        <v>总价（元）</v>
      </c>
      <c r="D18" s="1931" t="str">
        <f>IF('数据-取费表'!E3="否",结果表!I112,'结果表 (1修多)'!I113)</f>
        <v>——</v>
      </c>
      <c r="E18" s="1924"/>
    </row>
    <row r="19" spans="1:5" ht="14.25">
      <c r="A19" s="1924"/>
      <c r="B19" s="2768"/>
      <c r="C19" s="1932" t="s">
        <v>1175</v>
      </c>
      <c r="D19" s="1931" t="e">
        <f>IF('数据-取费表'!B3="万元",NUMBERSTRING(INT(D18*10000),2)&amp;"元整",NUMBERSTRING(INT(D18),2)&amp;"元整")</f>
        <v>#VALUE!</v>
      </c>
      <c r="E19" s="1924"/>
    </row>
    <row r="20" spans="1:5" ht="14.25">
      <c r="A20" s="1924"/>
      <c r="B20" s="2768"/>
      <c r="C20" s="1934" t="s">
        <v>1273</v>
      </c>
      <c r="D20" s="1931" t="str">
        <f>IF('数据-取费表'!E3="否",结果表!I113,'结果表 (1修多)'!I114)</f>
        <v>——</v>
      </c>
      <c r="E20" s="1924"/>
    </row>
    <row r="21" spans="1:5" ht="14.25">
      <c r="A21" s="1924"/>
      <c r="B21" s="2761" t="str">
        <f>IF('数据-取费表'!E3="否",结果表!F114,'结果表 (1修多)'!F115)</f>
        <v>——</v>
      </c>
      <c r="C21" s="1930" t="str">
        <f>C7</f>
        <v>总价（元）</v>
      </c>
      <c r="D21" s="1931" t="str">
        <f>IF('数据-取费表'!E3="否",结果表!I114,'结果表 (1修多)'!I115)</f>
        <v>——</v>
      </c>
      <c r="E21" s="1924"/>
    </row>
    <row r="22" spans="1:5" ht="14.25">
      <c r="A22" s="1924"/>
      <c r="B22" s="2761"/>
      <c r="C22" s="1932" t="s">
        <v>1175</v>
      </c>
      <c r="D22" s="1933" t="e">
        <f>IF('数据-取费表'!B3="万元",NUMBERSTRING(INT(D21*10000),2)&amp;"元整",NUMBERSTRING(INT(D21),2)&amp;"元整")</f>
        <v>#VALUE!</v>
      </c>
      <c r="E22" s="1924"/>
    </row>
    <row r="23" spans="1:5" ht="15" thickBot="1">
      <c r="A23" s="1924"/>
      <c r="B23" s="2762"/>
      <c r="C23" s="1939" t="s">
        <v>1273</v>
      </c>
      <c r="D23" s="1940" t="str">
        <f>IF('数据-取费表'!E3="否",结果表!I115,'结果表 (1修多)'!I116)</f>
        <v>——</v>
      </c>
      <c r="E23" s="1924"/>
    </row>
    <row r="24" spans="1:5" ht="14.25" thickTop="1">
      <c r="A24" s="1924"/>
      <c r="B24" s="1924"/>
      <c r="C24" s="1924"/>
      <c r="D24" s="1924"/>
      <c r="E24" s="1924"/>
    </row>
    <row r="25" spans="1:5" ht="18.75" customHeight="1" thickBot="1">
      <c r="A25" s="1924"/>
      <c r="B25" s="2753" t="s">
        <v>1274</v>
      </c>
      <c r="C25" s="2753"/>
      <c r="D25" s="2753"/>
      <c r="E25" s="1924"/>
    </row>
    <row r="26" spans="1:5" ht="18.75" customHeight="1" thickTop="1">
      <c r="A26" s="1924"/>
      <c r="B26" s="2756" t="s">
        <v>1174</v>
      </c>
      <c r="C26" s="2757"/>
      <c r="D26" s="2754" t="s">
        <v>1173</v>
      </c>
      <c r="E26" s="1924"/>
    </row>
    <row r="27" spans="1:5" ht="18.75" customHeight="1">
      <c r="A27" s="1924"/>
      <c r="B27" s="2758"/>
      <c r="C27" s="2759"/>
      <c r="D27" s="2755"/>
      <c r="E27" s="1924"/>
    </row>
    <row r="28" spans="1:5" ht="14.25">
      <c r="A28" s="1924"/>
      <c r="B28" s="2746" t="s">
        <v>784</v>
      </c>
      <c r="C28" s="1941" t="s">
        <v>1176</v>
      </c>
      <c r="D28" s="1942">
        <f>IF('数据-取费表'!E3="否",结果表!I102,'结果表 (1修多)'!I103)</f>
        <v>0</v>
      </c>
      <c r="E28" s="1924"/>
    </row>
    <row r="29" spans="1:5" ht="14.25">
      <c r="A29" s="1924"/>
      <c r="B29" s="2747"/>
      <c r="C29" s="1943" t="s">
        <v>1175</v>
      </c>
      <c r="D29" s="1944" t="str">
        <f>IF('数据-取费表'!B3="万元",NUMBERSTRING(INT(D28*10000),2)&amp;"元整",NUMBERSTRING(INT(D28),2)&amp;"元整")</f>
        <v>零元整</v>
      </c>
      <c r="E29" s="1924"/>
    </row>
    <row r="30" spans="1:5" ht="14.25">
      <c r="A30" s="1924"/>
      <c r="B30" s="2748"/>
      <c r="C30" s="1934" t="s">
        <v>1178</v>
      </c>
      <c r="D30" s="1945">
        <f>IF('数据-取费表'!E3="否",结果表!I103,'结果表 (1修多)'!I104)</f>
        <v>0</v>
      </c>
      <c r="E30" s="1924"/>
    </row>
    <row r="31" spans="1:5" ht="14.25">
      <c r="A31" s="1924"/>
      <c r="B31" s="2751" t="str">
        <f>B10</f>
        <v>2.估价师所知悉的法定优先受偿款</v>
      </c>
      <c r="C31" s="1946" t="s">
        <v>1177</v>
      </c>
      <c r="D31" s="1947">
        <f>IF('数据-取费表'!E3="否",结果表!I105,'结果表 (1修多)'!I106)</f>
        <v>0</v>
      </c>
      <c r="E31" s="1924"/>
    </row>
    <row r="32" spans="1:5" ht="14.25">
      <c r="A32" s="1924"/>
      <c r="B32" s="2760"/>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49" t="str">
        <f>B15</f>
        <v>3.房地产抵押价值</v>
      </c>
      <c r="C36" s="1946" t="str">
        <f>C28</f>
        <v>总价</v>
      </c>
      <c r="D36" s="1947">
        <f>IF('数据-取费表'!E3="否",结果表!I110,'结果表 (1修多)'!I111)</f>
        <v>0</v>
      </c>
      <c r="E36" s="1924"/>
    </row>
    <row r="37" spans="1:5" ht="14.25">
      <c r="A37" s="1924"/>
      <c r="B37" s="2749"/>
      <c r="C37" s="1943" t="s">
        <v>1175</v>
      </c>
      <c r="D37" s="1948" t="str">
        <f>IF('数据-取费表'!B3="万元",NUMBERSTRING(INT(D36*10000),2)&amp;"元整",NUMBERSTRING(INT(D36),2)&amp;"元整")</f>
        <v>零元整</v>
      </c>
      <c r="E37" s="1924"/>
    </row>
    <row r="38" spans="1:5" ht="14.25">
      <c r="A38" s="1924"/>
      <c r="B38" s="2749"/>
      <c r="C38" s="1934" t="s">
        <v>1179</v>
      </c>
      <c r="D38" s="1945">
        <f>IF('数据-取费表'!E3="否",结果表!D113,'结果表 (1修多)'!D116)</f>
        <v>0</v>
      </c>
      <c r="E38" s="1924"/>
    </row>
    <row r="39" spans="1:5" ht="14.25">
      <c r="A39" s="1924"/>
      <c r="B39" s="2750" t="str">
        <f>B18</f>
        <v>——</v>
      </c>
      <c r="C39" s="1946" t="str">
        <f>C28</f>
        <v>总价</v>
      </c>
      <c r="D39" s="1947" t="str">
        <f>IF('数据-取费表'!E3="否",结果表!I112,'结果表 (1修多)'!I113)</f>
        <v>——</v>
      </c>
      <c r="E39" s="1924"/>
    </row>
    <row r="40" spans="1:5" ht="14.25">
      <c r="A40" s="1924"/>
      <c r="B40" s="2750"/>
      <c r="C40" s="1943" t="s">
        <v>1175</v>
      </c>
      <c r="D40" s="1948" t="e">
        <f>IF('数据-取费表'!B3="万元",NUMBERSTRING(INT(D39*10000),2)&amp;"元整",NUMBERSTRING(INT(D39),2)&amp;"元整")</f>
        <v>#VALUE!</v>
      </c>
      <c r="E40" s="1924"/>
    </row>
    <row r="41" spans="1:5" ht="14.25">
      <c r="A41" s="1924"/>
      <c r="B41" s="2750"/>
      <c r="C41" s="1934" t="s">
        <v>1179</v>
      </c>
      <c r="D41" s="1945" t="str">
        <f>IF('数据-取费表'!E3="否",结果表!D115,'结果表 (1修多)'!D118)</f>
        <v>——</v>
      </c>
      <c r="E41" s="1924"/>
    </row>
    <row r="42" spans="1:5" ht="14.25">
      <c r="A42" s="1924"/>
      <c r="B42" s="2749" t="str">
        <f>B21</f>
        <v>——</v>
      </c>
      <c r="C42" s="1946" t="str">
        <f>C28</f>
        <v>总价</v>
      </c>
      <c r="D42" s="1947" t="str">
        <f>IF('数据-取费表'!E3="否",结果表!I114,'结果表 (1修多)'!I115)</f>
        <v>——</v>
      </c>
      <c r="E42" s="1924"/>
    </row>
    <row r="43" spans="1:5" ht="14.25">
      <c r="A43" s="1924"/>
      <c r="B43" s="2751"/>
      <c r="C43" s="1943" t="s">
        <v>1175</v>
      </c>
      <c r="D43" s="1949" t="e">
        <f>IF('数据-取费表'!B3="万元",NUMBERSTRING(INT(D42*10000),2)&amp;"元整",NUMBERSTRING(INT(D42),2)&amp;"元整")</f>
        <v>#VALUE!</v>
      </c>
      <c r="E43" s="1924"/>
    </row>
    <row r="44" spans="1:5" ht="15" thickBot="1">
      <c r="A44" s="1924"/>
      <c r="B44" s="2752"/>
      <c r="C44" s="1939" t="s">
        <v>1179</v>
      </c>
      <c r="D44" s="1950" t="str">
        <f>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5" t="str">
        <f>IF(项目基本情况!D5="房地产市场价值","估价结果一览表","结果表-2")</f>
        <v>结果表-2</v>
      </c>
      <c r="B1" s="2775"/>
      <c r="C1" s="2775"/>
      <c r="D1" s="2775"/>
      <c r="E1" s="2775"/>
      <c r="F1" s="2775"/>
      <c r="G1" s="2775"/>
      <c r="H1" s="2775"/>
      <c r="I1" s="2775"/>
    </row>
    <row r="2" spans="1:9" ht="30" customHeight="1" thickTop="1">
      <c r="A2" s="2776" t="s">
        <v>1275</v>
      </c>
      <c r="B2" s="2776" t="s">
        <v>1276</v>
      </c>
      <c r="C2" s="2776" t="s">
        <v>1277</v>
      </c>
      <c r="D2" s="2776" t="str">
        <f>IF('数据-取费表'!E3="否",结果表!D119,'结果表 (1修多)'!D122)</f>
        <v>出让国有建设用地使用权价值</v>
      </c>
      <c r="E2" s="2776"/>
      <c r="F2" s="2776" t="s">
        <v>1278</v>
      </c>
      <c r="G2" s="2776"/>
      <c r="H2" s="2776" t="s">
        <v>1279</v>
      </c>
      <c r="I2" s="2776"/>
    </row>
    <row r="3" spans="1:9" ht="15">
      <c r="A3" s="2769"/>
      <c r="B3" s="2769"/>
      <c r="C3" s="2769"/>
      <c r="D3" s="1047" t="s">
        <v>1280</v>
      </c>
      <c r="E3" s="1047" t="s">
        <v>1281</v>
      </c>
      <c r="F3" s="1047" t="s">
        <v>1280</v>
      </c>
      <c r="G3" s="1047" t="s">
        <v>1282</v>
      </c>
      <c r="H3" s="1047" t="s">
        <v>1280</v>
      </c>
      <c r="I3" s="1047" t="s">
        <v>1282</v>
      </c>
    </row>
    <row r="4" spans="1:9" ht="46.5" customHeight="1">
      <c r="A4" s="1047" t="str">
        <f>项目基本情况!I1</f>
        <v>北京市房地产</v>
      </c>
      <c r="B4" s="1047">
        <f>结果表!B121</f>
        <v>450.38</v>
      </c>
      <c r="C4" s="1047">
        <f>结果表!C121</f>
        <v>481.4</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IF('数据-取费表'!E3="否",结果表!H121,'结果表 (1修多)'!H124)</f>
        <v>0</v>
      </c>
      <c r="I4" s="1047">
        <f>IF('数据-取费表'!E3="否",结果表!I121,'结果表 (1修多)'!I124)</f>
        <v>0</v>
      </c>
    </row>
    <row r="5" spans="1:9" ht="15">
      <c r="A5" s="2769" t="s">
        <v>1283</v>
      </c>
      <c r="B5" s="2769"/>
      <c r="C5" s="2769"/>
      <c r="D5" s="2770" t="str">
        <f>IF('数据-取费表'!E3="否",结果表!D122,'结果表 (1修多)'!D125)</f>
        <v>零元整</v>
      </c>
      <c r="E5" s="2770"/>
      <c r="F5" s="2770" t="str">
        <f>IF('数据-取费表'!E3="否",结果表!F122,'结果表 (1修多)'!F125)</f>
        <v>零元整</v>
      </c>
      <c r="G5" s="2770"/>
      <c r="H5" s="2770" t="str">
        <f>IF('数据-取费表'!E3="否",结果表!H122,'结果表 (1修多)'!H125)</f>
        <v>零元整</v>
      </c>
      <c r="I5" s="2770"/>
    </row>
    <row r="6" spans="1:9" ht="15.75">
      <c r="A6" s="2771" t="str">
        <f>IF('数据-取费表'!E3="否",结果表!A123,'结果表 (1修多)'!A126)</f>
        <v>估价师所知悉的法定优先受偿款</v>
      </c>
      <c r="B6" s="2771"/>
      <c r="C6" s="2771"/>
      <c r="D6" s="2771">
        <f>IF('数据-取费表'!E3="否",结果表!D123,'结果表 (1修多)'!D126)</f>
        <v>0</v>
      </c>
      <c r="E6" s="2771"/>
      <c r="F6" s="2771"/>
      <c r="G6" s="2771"/>
      <c r="H6" s="2771"/>
      <c r="I6" s="2771"/>
    </row>
    <row r="7" spans="1:9" ht="15">
      <c r="A7" s="2769" t="s">
        <v>1283</v>
      </c>
      <c r="B7" s="2769"/>
      <c r="C7" s="2769"/>
      <c r="D7" s="2777">
        <f>IF('数据-取费表'!E3="否",结果表!D124,'结果表 (1修多)'!D127)</f>
        <v>0</v>
      </c>
      <c r="E7" s="2778"/>
      <c r="F7" s="2778"/>
      <c r="G7" s="2778"/>
      <c r="H7" s="2778"/>
      <c r="I7" s="2779"/>
    </row>
    <row r="8" spans="1:9" ht="15.75">
      <c r="A8" s="2771" t="str">
        <f>IF('数据-取费表'!E3="否",结果表!A125,'结果表 (1修多)'!A128)</f>
        <v>房地产抵押价值</v>
      </c>
      <c r="B8" s="2771"/>
      <c r="C8" s="2771"/>
      <c r="D8" s="2771">
        <f>IF('数据-取费表'!E3="否",结果表!D125,'结果表 (1修多)'!D128)</f>
        <v>0</v>
      </c>
      <c r="E8" s="2771"/>
      <c r="F8" s="2771"/>
      <c r="G8" s="2771"/>
      <c r="H8" s="2771"/>
      <c r="I8" s="2771"/>
    </row>
    <row r="9" spans="1:9" ht="15">
      <c r="A9" s="2769" t="s">
        <v>1283</v>
      </c>
      <c r="B9" s="2769"/>
      <c r="C9" s="2769"/>
      <c r="D9" s="2770">
        <f>IF('数据-取费表'!E3="否",结果表!D126,'结果表 (1修多)'!D129)</f>
        <v>0</v>
      </c>
      <c r="E9" s="2770"/>
      <c r="F9" s="2770"/>
      <c r="G9" s="2770"/>
      <c r="H9" s="2770"/>
      <c r="I9" s="2770"/>
    </row>
    <row r="10" spans="1:9" ht="15.75">
      <c r="A10" s="2771" t="str">
        <f>IF('数据-取费表'!E3="否",结果表!A127,'结果表 (1修多)'!A130)</f>
        <v/>
      </c>
      <c r="B10" s="2771"/>
      <c r="C10" s="2771"/>
      <c r="D10" s="2771">
        <f>IF('数据-取费表'!E3="否",结果表!D127,'结果表 (1修多)'!D129)</f>
        <v>0</v>
      </c>
      <c r="E10" s="2771"/>
      <c r="F10" s="2771"/>
      <c r="G10" s="2771"/>
      <c r="H10" s="2771"/>
      <c r="I10" s="2771"/>
    </row>
    <row r="11" spans="1:9" ht="15">
      <c r="A11" s="2769" t="s">
        <v>1283</v>
      </c>
      <c r="B11" s="2769"/>
      <c r="C11" s="2769"/>
      <c r="D11" s="2770" t="str">
        <f>IF('数据-取费表'!E3="否",结果表!D128,'结果表 (1修多)'!D131)</f>
        <v>——</v>
      </c>
      <c r="E11" s="2770"/>
      <c r="F11" s="2770"/>
      <c r="G11" s="2770"/>
      <c r="H11" s="2770"/>
      <c r="I11" s="2770"/>
    </row>
    <row r="12" spans="1:9" ht="15.75">
      <c r="A12" s="2771" t="str">
        <f>IF('数据-取费表'!E3="否",结果表!A129,'结果表 (1修多)'!A132)</f>
        <v/>
      </c>
      <c r="B12" s="2771"/>
      <c r="C12" s="2771"/>
      <c r="D12" s="2771" t="str">
        <f>IF('数据-取费表'!E3="否",结果表!D129,'结果表 (1修多)'!D132)</f>
        <v>——</v>
      </c>
      <c r="E12" s="2771"/>
      <c r="F12" s="2771"/>
      <c r="G12" s="2771"/>
      <c r="H12" s="2771"/>
      <c r="I12" s="2771"/>
    </row>
    <row r="13" spans="1:9" ht="15.75" thickBot="1">
      <c r="A13" s="2772" t="s">
        <v>1283</v>
      </c>
      <c r="B13" s="2772"/>
      <c r="C13" s="2772"/>
      <c r="D13" s="2773">
        <f>IF('数据-取费表'!E3="否",结果表!D130,'结果表 (1修多)'!D133)</f>
        <v>0</v>
      </c>
      <c r="E13" s="2773"/>
      <c r="F13" s="2773"/>
      <c r="G13" s="2773"/>
      <c r="H13" s="2773"/>
      <c r="I13" s="2773"/>
    </row>
    <row r="14" spans="1:9" ht="15" thickTop="1">
      <c r="A14" s="2774" t="str">
        <f>IF('数据-取费表'!E3="否",结果表!A131,'结果表 (1修多)'!A134)</f>
        <v>单位：平方米、元、元/平方米（币种：人民币）</v>
      </c>
      <c r="B14" s="2774"/>
      <c r="C14" s="2774"/>
      <c r="D14" s="2774"/>
      <c r="E14" s="2774"/>
      <c r="F14" s="2774"/>
      <c r="G14" s="2774"/>
      <c r="H14" s="2774"/>
      <c r="I14" s="2774"/>
    </row>
    <row r="15" spans="1:9">
      <c r="A15" s="714"/>
      <c r="B15" s="714"/>
      <c r="C15" s="714"/>
      <c r="D15" s="714"/>
      <c r="E15" s="714"/>
      <c r="F15" s="714"/>
      <c r="G15" s="714"/>
      <c r="H15" s="714"/>
      <c r="I15" s="714"/>
    </row>
    <row r="16" spans="1:9" ht="18.75">
      <c r="A16" s="1952"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1" t="s">
        <v>1297</v>
      </c>
      <c r="B1" s="2781"/>
      <c r="C1" s="2781"/>
      <c r="D1" s="2781"/>
    </row>
    <row r="2" spans="1:4" ht="18">
      <c r="A2" s="2780" t="s">
        <v>1285</v>
      </c>
      <c r="B2" s="2780"/>
      <c r="C2" s="2780"/>
      <c r="D2" s="2780"/>
    </row>
    <row r="3" spans="1:4" ht="18.75">
      <c r="A3" s="1953" t="s">
        <v>1286</v>
      </c>
      <c r="B3" s="1953" t="s">
        <v>1287</v>
      </c>
      <c r="C3" s="1953" t="s">
        <v>1288</v>
      </c>
      <c r="D3" s="1953" t="s">
        <v>1289</v>
      </c>
    </row>
    <row r="4" spans="1:4" ht="56.25" customHeight="1">
      <c r="A4" s="1954" t="str">
        <f>项目基本情况!B3</f>
        <v>欧红伟</v>
      </c>
      <c r="B4" s="1955">
        <f ca="1">项目基本情况!C3</f>
        <v>1120000080</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80" t="s">
        <v>1290</v>
      </c>
      <c r="B7" s="2780"/>
      <c r="C7" s="2780"/>
      <c r="D7" s="2780"/>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82" t="s">
        <v>1299</v>
      </c>
      <c r="B12" s="2783"/>
      <c r="C12" s="2783"/>
      <c r="D12" s="2783"/>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3"/>
      <c r="C13" s="2783"/>
      <c r="D13" s="2783"/>
    </row>
    <row r="14" spans="1:4" ht="30" customHeight="1">
      <c r="A14" s="278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3"/>
      <c r="C14" s="2783"/>
      <c r="D14" s="2783"/>
    </row>
    <row r="15" spans="1:4" ht="15.75" customHeight="1">
      <c r="A15" s="2782" t="str">
        <f>IF(项目基本情况!D4="抵押","4.本次评估估价师所知悉的法定优先受偿款情况说明如下：","——")</f>
        <v>4.本次评估估价师所知悉的法定优先受偿款情况说明如下：</v>
      </c>
      <c r="B15" s="2783"/>
      <c r="C15" s="2783"/>
      <c r="D15" s="2783"/>
    </row>
    <row r="16" spans="1:4" ht="75" customHeight="1">
      <c r="A16" s="2782" t="str">
        <f>IF(项目基本情况!D4="抵押",CONCATENATE(项目基本情况!J13,项目基本情况!J14,项目基本情况!J15),"——")</f>
        <v>根据估价对象《不动产权证书》原件、，截至价值时点，估价对象抵押权未见登记。</v>
      </c>
      <c r="B16" s="2782"/>
      <c r="C16" s="2782"/>
      <c r="D16" s="2782"/>
    </row>
    <row r="17" spans="1:4" ht="63.75" customHeight="1">
      <c r="A17" s="2784" t="s">
        <v>1300</v>
      </c>
      <c r="B17" s="2784"/>
      <c r="C17" s="2784"/>
      <c r="D17" s="2784"/>
    </row>
    <row r="18" spans="1:4" ht="15.75" customHeight="1">
      <c r="A18" s="2782" t="str">
        <f>IF(项目基本情况!D4="抵押",结果表!K106,"——")</f>
        <v>本次评估不存在估价师所知悉的法定优先受偿款。</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4" t="s">
        <v>1293</v>
      </c>
      <c r="B20" s="2784"/>
      <c r="C20" s="2784"/>
      <c r="D20" s="2784"/>
    </row>
    <row r="21" spans="1:4">
      <c r="A21" s="1962"/>
      <c r="B21" s="1288"/>
      <c r="C21" s="1288"/>
      <c r="D21" s="1288"/>
    </row>
    <row r="22" spans="1:4">
      <c r="A22" s="1962"/>
      <c r="B22" s="1288"/>
      <c r="C22" s="1288"/>
      <c r="D22" s="1288"/>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1" customWidth="1"/>
    <col min="2" max="16384" width="14.5" style="714"/>
  </cols>
  <sheetData>
    <row r="1" spans="1:7" s="1952" customFormat="1" ht="18.75">
      <c r="A1" s="712" t="s">
        <v>1367</v>
      </c>
    </row>
    <row r="3" spans="1:7" ht="14.25">
      <c r="A3" s="1969" t="s">
        <v>1368</v>
      </c>
      <c r="B3" s="714" t="s">
        <v>1369</v>
      </c>
      <c r="G3" s="1970"/>
    </row>
    <row r="4" spans="1:7">
      <c r="G4" s="1970"/>
    </row>
    <row r="5" spans="1:7" ht="14.25">
      <c r="A5" s="1972" t="s">
        <v>1370</v>
      </c>
      <c r="B5" s="714" t="s">
        <v>1371</v>
      </c>
      <c r="G5" s="1970"/>
    </row>
    <row r="6" spans="1:7">
      <c r="G6" s="1970"/>
    </row>
    <row r="7" spans="1:7" ht="14.25">
      <c r="A7" s="1973" t="s">
        <v>1372</v>
      </c>
      <c r="B7" s="714" t="s">
        <v>1373</v>
      </c>
      <c r="G7" s="1970"/>
    </row>
    <row r="8" spans="1:7">
      <c r="G8" s="1970"/>
    </row>
    <row r="9" spans="1:7">
      <c r="A9" s="1974" t="s">
        <v>1374</v>
      </c>
      <c r="B9" s="714" t="s">
        <v>1375</v>
      </c>
    </row>
    <row r="11" spans="1:7">
      <c r="A11" s="1975" t="s">
        <v>1376</v>
      </c>
      <c r="B11" s="1976" t="s">
        <v>1377</v>
      </c>
    </row>
    <row r="13" spans="1:7">
      <c r="A13" s="1678" t="s">
        <v>1378</v>
      </c>
    </row>
    <row r="15" spans="1:7" ht="14.25">
      <c r="A15" s="2790" t="s">
        <v>1379</v>
      </c>
      <c r="B15" s="2785" t="s">
        <v>1380</v>
      </c>
      <c r="C15" s="2786"/>
    </row>
    <row r="16" spans="1:7" ht="14.25">
      <c r="A16" s="2791"/>
      <c r="B16" s="2785" t="s">
        <v>1381</v>
      </c>
      <c r="C16" s="2786"/>
    </row>
    <row r="17" spans="1:3" ht="14.25">
      <c r="A17" s="2791"/>
      <c r="B17" s="2785" t="s">
        <v>1382</v>
      </c>
      <c r="C17" s="2786"/>
    </row>
    <row r="18" spans="1:3" ht="14.25">
      <c r="A18" s="2792"/>
      <c r="B18" s="2787" t="s">
        <v>1383</v>
      </c>
      <c r="C18" s="2786"/>
    </row>
    <row r="19" spans="1:3" ht="14.25">
      <c r="A19" s="1977" t="s">
        <v>1384</v>
      </c>
      <c r="B19" s="1978"/>
      <c r="C19" s="1979"/>
    </row>
    <row r="20" spans="1:3" ht="14.25">
      <c r="A20" s="2788" t="s">
        <v>1385</v>
      </c>
      <c r="B20" s="2787" t="s">
        <v>1386</v>
      </c>
      <c r="C20" s="2786"/>
    </row>
    <row r="21" spans="1:3" ht="14.25">
      <c r="A21" s="2788"/>
      <c r="B21" s="2787" t="s">
        <v>1387</v>
      </c>
      <c r="C21" s="2786"/>
    </row>
    <row r="22" spans="1:3" ht="14.25">
      <c r="A22" s="2788"/>
      <c r="B22" s="2787" t="s">
        <v>1388</v>
      </c>
      <c r="C22" s="2786"/>
    </row>
    <row r="23" spans="1:3" ht="14.25">
      <c r="A23" s="2788"/>
      <c r="B23" s="2789" t="s">
        <v>1389</v>
      </c>
      <c r="C23" s="1980" t="s">
        <v>1390</v>
      </c>
    </row>
    <row r="24" spans="1:3" ht="14.25">
      <c r="A24" s="2788"/>
      <c r="B24" s="2789"/>
      <c r="C24" s="1980" t="s">
        <v>1391</v>
      </c>
    </row>
    <row r="25" spans="1:3" ht="14.25">
      <c r="A25" s="2788"/>
      <c r="B25" s="2789"/>
      <c r="C25" s="1980" t="s">
        <v>1392</v>
      </c>
    </row>
    <row r="26" spans="1:3" ht="14.25">
      <c r="A26" s="2788"/>
      <c r="B26" s="2789"/>
      <c r="C26" s="1980" t="s">
        <v>1393</v>
      </c>
    </row>
    <row r="27" spans="1:3" ht="14.25">
      <c r="A27" s="2788"/>
      <c r="B27" s="2789"/>
      <c r="C27" s="1980" t="s">
        <v>1394</v>
      </c>
    </row>
    <row r="28" spans="1:3" ht="14.25">
      <c r="A28" s="2788"/>
      <c r="B28" s="2789"/>
      <c r="C28" s="1980" t="s">
        <v>1395</v>
      </c>
    </row>
    <row r="29" spans="1:3" ht="14.25">
      <c r="A29" s="2788"/>
      <c r="B29" s="2789"/>
      <c r="C29" s="1980" t="s">
        <v>1396</v>
      </c>
    </row>
    <row r="30" spans="1:3" ht="14.25">
      <c r="A30" s="2788"/>
      <c r="B30" s="2789"/>
      <c r="C30" s="1980" t="s">
        <v>1397</v>
      </c>
    </row>
    <row r="31" spans="1:3" ht="14.25">
      <c r="A31" s="2788"/>
      <c r="B31" s="2789"/>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43267</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2810</v>
      </c>
      <c r="B12" s="1029">
        <v>1120110054</v>
      </c>
      <c r="C12" s="1808">
        <v>43937</v>
      </c>
      <c r="D12" s="1809" t="str">
        <f t="shared" si="0"/>
        <v>白景生（注册号：1120110054）</v>
      </c>
      <c r="E12" s="1807" t="s">
        <v>2810</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1031</v>
      </c>
      <c r="B15" s="1029">
        <v>1120070085</v>
      </c>
      <c r="C15" s="1808">
        <v>43814</v>
      </c>
      <c r="D15" s="1809" t="str">
        <f t="shared" si="0"/>
        <v>杨红英（注册号：1120070085）</v>
      </c>
      <c r="E15" s="1811" t="s">
        <v>1032</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43304</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793" t="s">
        <v>768</v>
      </c>
      <c r="B25" s="2793"/>
      <c r="C25" s="2793"/>
      <c r="D25" s="2793"/>
      <c r="E25" s="2793"/>
      <c r="F25" s="2793"/>
      <c r="G25" s="2793"/>
      <c r="H25" s="2793"/>
    </row>
    <row r="26" spans="1:8" s="1032" customFormat="1" ht="24" customHeight="1">
      <c r="A26" s="2794" t="s">
        <v>769</v>
      </c>
      <c r="B26" s="2794"/>
      <c r="C26" s="2794"/>
      <c r="D26" s="1060"/>
      <c r="E26" s="1060"/>
      <c r="F26" s="2794" t="s">
        <v>770</v>
      </c>
      <c r="G26" s="2794"/>
      <c r="H26" s="279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AA24" sqref="AA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盛天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1528</v>
      </c>
    </row>
    <row r="52" spans="1:4">
      <c r="A52" s="1989" t="s">
        <v>1529</v>
      </c>
      <c r="B52" s="1989" t="s">
        <v>1530</v>
      </c>
      <c r="C52" s="9" t="s">
        <v>1531</v>
      </c>
      <c r="D52" s="9" t="s">
        <v>1532</v>
      </c>
    </row>
    <row r="53" spans="1:4" ht="14.25" customHeight="1">
      <c r="A53" s="279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本次估价的“房地产价值”是指在正常市场情况下，在价值时点2018年6月4日，估价对象规划用途为，假定未设立法定优先受偿款下的房地产市场价值。</v>
      </c>
    </row>
    <row r="54" spans="1:4">
      <c r="A54" s="2795"/>
      <c r="B54" s="9" t="s">
        <v>1535</v>
      </c>
      <c r="C54" s="9" t="s">
        <v>1536</v>
      </c>
    </row>
    <row r="55" spans="1:4">
      <c r="A55" s="2795"/>
      <c r="B55" s="9" t="s">
        <v>1537</v>
      </c>
      <c r="C55" s="9" t="s">
        <v>1538</v>
      </c>
    </row>
    <row r="56" spans="1:4">
      <c r="A56" s="2795"/>
      <c r="B56" s="9" t="s">
        <v>1539</v>
      </c>
      <c r="C56" s="9" t="s">
        <v>1540</v>
      </c>
    </row>
    <row r="57" spans="1:4">
      <c r="A57" s="2795"/>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比较法-住宅</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2017-03-01T09:24:22Z</cp:lastPrinted>
  <dcterms:created xsi:type="dcterms:W3CDTF">2015-07-13T07:17:23Z</dcterms:created>
  <dcterms:modified xsi:type="dcterms:W3CDTF">2018-06-16T12:40:10Z</dcterms:modified>
</cp:coreProperties>
</file>