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土地案例" sheetId="80"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I34" i="40"/>
  <c r="I7" i="40"/>
  <c r="I5" i="40"/>
  <c r="G41" i="40"/>
  <c r="E66" i="40"/>
  <c r="F66" i="40" s="1"/>
  <c r="G66" i="40" s="1"/>
  <c r="H66" i="40" s="1"/>
  <c r="I66" i="40" s="1"/>
  <c r="J66" i="40" s="1"/>
  <c r="K66" i="40" s="1"/>
  <c r="L66" i="40" s="1"/>
  <c r="M66" i="40" s="1"/>
  <c r="D66" i="40"/>
  <c r="E41" i="40"/>
  <c r="G34" i="40"/>
  <c r="E34" i="40"/>
  <c r="C34" i="40"/>
  <c r="C10" i="40"/>
  <c r="C11" i="40"/>
  <c r="G7" i="40"/>
  <c r="E7" i="40"/>
  <c r="G5" i="40"/>
  <c r="E5" i="40"/>
  <c r="L14" i="1" l="1"/>
  <c r="L7" i="1"/>
  <c r="T24" i="1"/>
  <c r="G84" i="43" l="1"/>
  <c r="G85" i="43"/>
  <c r="G86" i="43"/>
  <c r="G87" i="43"/>
  <c r="G88" i="43"/>
  <c r="G89" i="43"/>
  <c r="G90" i="43"/>
  <c r="G83" i="43"/>
  <c r="D33" i="43"/>
  <c r="S24" i="1"/>
  <c r="U22" i="1"/>
  <c r="U23" i="1"/>
  <c r="U21" i="1"/>
  <c r="S23" i="1"/>
  <c r="S22" i="1"/>
  <c r="S21" i="1"/>
  <c r="Q7" i="1"/>
  <c r="N14" i="1"/>
  <c r="N7" i="1"/>
  <c r="F13" i="4"/>
  <c r="B59" i="1"/>
  <c r="G20" i="6"/>
  <c r="F19" i="6"/>
  <c r="AN17" i="3"/>
  <c r="AL15" i="3"/>
  <c r="U24" i="1" l="1"/>
  <c r="C11" i="4" l="1"/>
  <c r="B6" i="4"/>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W39" i="40" s="1"/>
  <c r="B116" i="40"/>
  <c r="F38" i="40"/>
  <c r="AA38" i="40" s="1"/>
  <c r="D115" i="40"/>
  <c r="E115" i="40" s="1"/>
  <c r="F115" i="40" s="1"/>
  <c r="G115" i="40" s="1"/>
  <c r="H115" i="40" s="1"/>
  <c r="I115" i="40" s="1"/>
  <c r="J115" i="40" s="1"/>
  <c r="K115" i="40" s="1"/>
  <c r="L115" i="40" s="1"/>
  <c r="M115" i="40" s="1"/>
  <c r="D113" i="40"/>
  <c r="E113" i="40"/>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AB39" i="40"/>
  <c r="U9" i="40"/>
  <c r="S40" i="40"/>
  <c r="W31"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17" i="40"/>
  <c r="U17" i="40" s="1"/>
  <c r="J15" i="40"/>
  <c r="W15" i="40" s="1"/>
  <c r="J11" i="40"/>
  <c r="W11"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AA32" i="40"/>
  <c r="S17" i="40"/>
  <c r="AC1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34" i="40"/>
  <c r="W37" i="40"/>
  <c r="AC14" i="40"/>
  <c r="S13" i="40"/>
  <c r="S33" i="40"/>
  <c r="AA15" i="40"/>
  <c r="U11"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15"/>
  <c r="M23" i="15"/>
  <c r="B13" i="76"/>
  <c r="AO13" i="1"/>
  <c r="C76" i="67"/>
  <c r="E10" i="76"/>
  <c r="F6" i="15"/>
  <c r="F3" i="73"/>
  <c r="F13" i="15"/>
  <c r="F6" i="73"/>
  <c r="M9" i="67"/>
  <c r="F37" i="67"/>
  <c r="F36" i="15"/>
  <c r="F20" i="31"/>
  <c r="M9" i="15"/>
  <c r="M29" i="15"/>
  <c r="M23" i="67"/>
  <c r="F26" i="15"/>
  <c r="D4" i="73"/>
  <c r="M29" i="67"/>
  <c r="E11" i="76"/>
  <c r="M28" i="67"/>
  <c r="F38" i="15"/>
  <c r="B9" i="76"/>
  <c r="E2" i="69"/>
  <c r="F42" i="67"/>
  <c r="B12" i="76"/>
  <c r="L48" i="15"/>
  <c r="F42" i="15"/>
  <c r="J15" i="15"/>
  <c r="F7" i="67"/>
  <c r="F4" i="73"/>
  <c r="F9" i="67"/>
  <c r="L47" i="67"/>
  <c r="M28" i="15"/>
  <c r="E12" i="76"/>
  <c r="M26" i="67"/>
  <c r="F36" i="67"/>
  <c r="M22" i="15"/>
  <c r="L48" i="67"/>
  <c r="L47" i="15"/>
  <c r="M8" i="67"/>
  <c r="F16" i="15"/>
  <c r="F6" i="67"/>
  <c r="C76" i="15"/>
  <c r="B10" i="76"/>
  <c r="M6" i="15"/>
  <c r="M26" i="15"/>
  <c r="F38" i="67"/>
  <c r="F37" i="15"/>
  <c r="F13" i="67"/>
  <c r="F8" i="67"/>
  <c r="M24" i="67"/>
  <c r="M24" i="15"/>
  <c r="F43" i="67"/>
  <c r="M8" i="15"/>
  <c r="E7" i="76"/>
  <c r="E13" i="76"/>
  <c r="F7" i="15"/>
  <c r="F9" i="15"/>
  <c r="J15" i="67"/>
  <c r="F16" i="67"/>
  <c r="M22" i="67"/>
  <c r="B11" i="76"/>
  <c r="F5" i="73"/>
  <c r="B7" i="76"/>
  <c r="F26" i="67"/>
  <c r="D7" i="73"/>
  <c r="F40" i="67"/>
  <c r="D3" i="73"/>
  <c r="E2" i="68"/>
  <c r="D5" i="73"/>
  <c r="E8" i="76"/>
  <c r="F7" i="73"/>
  <c r="E9" i="76"/>
  <c r="D6" i="73"/>
  <c r="B8" i="76"/>
  <c r="F8" i="15"/>
  <c r="F40" i="15"/>
  <c r="M6" i="67"/>
  <c r="W38" i="40" l="1"/>
  <c r="U40" i="40"/>
  <c r="U38" i="40"/>
  <c r="AC40" i="40"/>
  <c r="H36" i="40"/>
  <c r="AB36" i="40" s="1"/>
  <c r="J36" i="40"/>
  <c r="W36" i="40" s="1"/>
  <c r="G113" i="40"/>
  <c r="H113" i="40" s="1"/>
  <c r="I113" i="40" s="1"/>
  <c r="J113" i="40" s="1"/>
  <c r="K113" i="40" s="1"/>
  <c r="L113" i="40" s="1"/>
  <c r="M113" i="40" s="1"/>
  <c r="F36" i="40"/>
  <c r="U36" i="40"/>
  <c r="AC36" i="40"/>
  <c r="U35" i="40"/>
  <c r="S35" i="40"/>
  <c r="W35" i="40"/>
  <c r="S34" i="40"/>
  <c r="AA9" i="40"/>
  <c r="AC9" i="40"/>
  <c r="U34" i="40"/>
  <c r="W32" i="40"/>
  <c r="AC32" i="40"/>
  <c r="W27" i="40"/>
  <c r="AB27" i="40"/>
  <c r="U25" i="40"/>
  <c r="W25" i="40"/>
  <c r="S25" i="40"/>
  <c r="F92" i="40"/>
  <c r="G92" i="40" s="1"/>
  <c r="J23" i="40"/>
  <c r="H23" i="40"/>
  <c r="F23" i="40"/>
  <c r="AA23" i="40" s="1"/>
  <c r="S23" i="40"/>
  <c r="U21" i="40"/>
  <c r="AC21" i="40"/>
  <c r="S21" i="40"/>
  <c r="W19" i="40"/>
  <c r="AB19" i="40"/>
  <c r="AA19" i="40"/>
  <c r="AC15" i="40"/>
  <c r="U15" i="40"/>
  <c r="S11" i="40"/>
  <c r="AC11" i="40"/>
  <c r="W8" i="40"/>
  <c r="C40" i="68"/>
  <c r="C21" i="68"/>
  <c r="C40" i="69"/>
  <c r="F7" i="1"/>
  <c r="G7" i="1" s="1"/>
  <c r="G16" i="1" s="1"/>
  <c r="F10" i="39" s="1"/>
  <c r="C28" i="67"/>
  <c r="AC5" i="3"/>
  <c r="F28" i="6"/>
  <c r="G5" i="3"/>
  <c r="B3" i="3" s="1"/>
  <c r="E82" i="3"/>
  <c r="E66" i="3"/>
  <c r="E94" i="3"/>
  <c r="E369" i="3"/>
  <c r="BA5" i="3"/>
  <c r="BL5" i="3"/>
  <c r="G28" i="6"/>
  <c r="G30" i="6" s="1"/>
  <c r="G31" i="6" s="1"/>
  <c r="F29" i="6"/>
  <c r="D19" i="53"/>
  <c r="B38" i="72" s="1"/>
  <c r="D21" i="53"/>
  <c r="B39" i="72"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461" i="3"/>
  <c r="E352" i="3"/>
  <c r="E157" i="3"/>
  <c r="E313" i="3"/>
  <c r="E529" i="3"/>
  <c r="E438" i="3"/>
  <c r="E562" i="3"/>
  <c r="E571" i="3"/>
  <c r="E450" i="3"/>
  <c r="E433" i="3"/>
  <c r="E72" i="3"/>
  <c r="E111" i="3"/>
  <c r="E150" i="3"/>
  <c r="E279" i="3"/>
  <c r="E351" i="3"/>
  <c r="E318" i="3"/>
  <c r="E31" i="3"/>
  <c r="E567" i="3"/>
  <c r="E549" i="3"/>
  <c r="E269" i="3"/>
  <c r="E271" i="3"/>
  <c r="E107" i="3"/>
  <c r="E585" i="3"/>
  <c r="E515" i="3"/>
  <c r="E478" i="3"/>
  <c r="E414" i="3"/>
  <c r="E477" i="3"/>
  <c r="E505"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E29" i="6"/>
  <c r="K15" i="1" s="1"/>
  <c r="F30" i="6"/>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P6" i="1" l="1"/>
  <c r="C13" i="12" s="1"/>
  <c r="AA36" i="40"/>
  <c r="S36" i="40"/>
  <c r="AC23" i="40"/>
  <c r="W23" i="40"/>
  <c r="AB23" i="40"/>
  <c r="U23" i="40"/>
  <c r="E83" i="43"/>
  <c r="B81" i="43" s="1"/>
  <c r="E18" i="3"/>
  <c r="AT6" i="3"/>
  <c r="E480" i="3"/>
  <c r="E109" i="3"/>
  <c r="E30" i="3"/>
  <c r="E572" i="3"/>
  <c r="E334" i="3"/>
  <c r="E377" i="3"/>
  <c r="E316" i="3"/>
  <c r="E273" i="3"/>
  <c r="E295" i="3"/>
  <c r="E211" i="3"/>
  <c r="E166" i="3"/>
  <c r="E182" i="3"/>
  <c r="E121" i="3"/>
  <c r="E70" i="3"/>
  <c r="E88" i="3"/>
  <c r="E28" i="3"/>
  <c r="E404" i="3"/>
  <c r="E489" i="3"/>
  <c r="E444" i="3"/>
  <c r="E531" i="3"/>
  <c r="E547" i="3"/>
  <c r="E367" i="3"/>
  <c r="E432" i="3"/>
  <c r="E548" i="3"/>
  <c r="E411" i="3"/>
  <c r="U6" i="3"/>
  <c r="E379" i="3"/>
  <c r="E145" i="3"/>
  <c r="E207" i="3"/>
  <c r="E196" i="3"/>
  <c r="E397" i="3"/>
  <c r="E93" i="3"/>
  <c r="E14" i="3"/>
  <c r="E357" i="3"/>
  <c r="E257" i="3"/>
  <c r="E208" i="3"/>
  <c r="E168" i="3"/>
  <c r="E54" i="3"/>
  <c r="E475" i="3"/>
  <c r="E471" i="3"/>
  <c r="E537" i="3"/>
  <c r="W6" i="3"/>
  <c r="E288" i="3"/>
  <c r="E474" i="3"/>
  <c r="E532" i="3"/>
  <c r="E224" i="3"/>
  <c r="E306" i="3"/>
  <c r="E136" i="3"/>
  <c r="E122" i="3"/>
  <c r="E470" i="3"/>
  <c r="E163" i="3"/>
  <c r="Y6" i="3"/>
  <c r="E460"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57" i="3"/>
  <c r="E527" i="3"/>
  <c r="E458" i="3"/>
  <c r="E573" i="3"/>
  <c r="E519" i="3"/>
  <c r="E193" i="3"/>
  <c r="E45" i="3"/>
  <c r="E99" i="3"/>
  <c r="E511" i="3"/>
  <c r="E314" i="3"/>
  <c r="E85" i="3"/>
  <c r="E453" i="3"/>
  <c r="E253" i="3"/>
  <c r="E408" i="3"/>
  <c r="E225" i="3"/>
  <c r="E98" i="3"/>
  <c r="E307" i="3"/>
  <c r="E127" i="3"/>
  <c r="E179" i="3"/>
  <c r="E58" i="3"/>
  <c r="E141" i="3"/>
  <c r="E465" i="3"/>
  <c r="E424" i="3"/>
  <c r="E406" i="3"/>
  <c r="E481" i="3"/>
  <c r="E472" i="3"/>
  <c r="E437" i="3"/>
  <c r="E560" i="3"/>
  <c r="Q6" i="3"/>
  <c r="K6" i="3"/>
  <c r="E330" i="3"/>
  <c r="E133" i="3"/>
  <c r="E177" i="3"/>
  <c r="E277" i="3"/>
  <c r="E120" i="3"/>
  <c r="E228" i="3"/>
  <c r="E262" i="3"/>
  <c r="AK6" i="3"/>
  <c r="E128" i="3"/>
  <c r="E545" i="3"/>
  <c r="E434" i="3"/>
  <c r="E181" i="3"/>
  <c r="E238" i="3"/>
  <c r="E568" i="3"/>
  <c r="E156" i="3"/>
  <c r="E77" i="3"/>
  <c r="E296" i="3"/>
  <c r="E405" i="3"/>
  <c r="E497" i="3"/>
  <c r="E41" i="3"/>
  <c r="E391" i="3"/>
  <c r="E412" i="3"/>
  <c r="E138" i="3"/>
  <c r="E209" i="3"/>
  <c r="E354" i="3"/>
  <c r="E48" i="3"/>
  <c r="E284" i="3"/>
  <c r="E19" i="3"/>
  <c r="E323" i="3"/>
  <c r="E521" i="3"/>
  <c r="E155" i="3"/>
  <c r="E398" i="3"/>
  <c r="E422" i="3"/>
  <c r="E197" i="3"/>
  <c r="E534" i="3"/>
  <c r="E469" i="3"/>
  <c r="E360" i="3"/>
  <c r="E494" i="3"/>
  <c r="E26" i="3"/>
  <c r="E198" i="3"/>
  <c r="E243" i="3"/>
  <c r="AL6" i="3"/>
  <c r="E428" i="3"/>
  <c r="E47" i="3"/>
  <c r="E65" i="3"/>
  <c r="E195" i="3"/>
  <c r="E248" i="3"/>
  <c r="E266" i="3"/>
  <c r="E386" i="3"/>
  <c r="E584" i="3"/>
  <c r="E24" i="3"/>
  <c r="E87" i="3"/>
  <c r="E250" i="3"/>
  <c r="E341" i="3"/>
  <c r="E51" i="3"/>
  <c r="E154" i="3"/>
  <c r="E222" i="3"/>
  <c r="E373" i="3"/>
  <c r="E446" i="3"/>
  <c r="E462" i="3"/>
  <c r="E348" i="3"/>
  <c r="E90" i="3"/>
  <c r="E566" i="3"/>
  <c r="E552" i="3"/>
  <c r="E165" i="3"/>
  <c r="E202" i="3"/>
  <c r="E205" i="3"/>
  <c r="E140" i="3"/>
  <c r="E173" i="3"/>
  <c r="E525" i="3"/>
  <c r="T6" i="3"/>
  <c r="E456" i="3"/>
  <c r="E512" i="3"/>
  <c r="E451" i="3"/>
  <c r="E556" i="3"/>
  <c r="E13" i="3"/>
  <c r="E452" i="3"/>
  <c r="E420" i="3"/>
  <c r="E104" i="3"/>
  <c r="E115" i="3"/>
  <c r="E139" i="3"/>
  <c r="E281" i="3"/>
  <c r="E332" i="3"/>
  <c r="E356" i="3"/>
  <c r="E42" i="3"/>
  <c r="E75" i="3"/>
  <c r="E4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25" i="3"/>
  <c r="E484" i="3"/>
  <c r="E488" i="3"/>
  <c r="E375" i="3"/>
  <c r="E297" i="3"/>
  <c r="E131" i="3"/>
  <c r="E436" i="3"/>
  <c r="E582" i="3"/>
  <c r="E459" i="3"/>
  <c r="E464" i="3"/>
  <c r="AD6" i="3"/>
  <c r="E149" i="3"/>
  <c r="E105" i="3"/>
  <c r="E483" i="3"/>
  <c r="E60" i="3"/>
  <c r="E110" i="3"/>
  <c r="E504" i="3"/>
  <c r="E378" i="3"/>
  <c r="E259" i="3"/>
  <c r="E240" i="3"/>
  <c r="E187" i="3"/>
  <c r="E57" i="3"/>
  <c r="E39" i="3"/>
  <c r="E520" i="3"/>
  <c r="E413" i="3"/>
  <c r="E500" i="3"/>
  <c r="E374" i="3"/>
  <c r="E416" i="3"/>
  <c r="E487" i="3"/>
  <c r="E421" i="3"/>
  <c r="E542" i="3"/>
  <c r="E312" i="3"/>
  <c r="E167" i="3"/>
  <c r="E244" i="3"/>
  <c r="E510" i="3"/>
  <c r="E543" i="3"/>
  <c r="AH6" i="3"/>
  <c r="E25" i="3"/>
  <c r="E346" i="3"/>
  <c r="E15"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223" i="3"/>
  <c r="E493" i="3"/>
  <c r="E486" i="3"/>
  <c r="E490" i="3"/>
  <c r="E498" i="3"/>
  <c r="E463" i="3"/>
  <c r="E178" i="3"/>
  <c r="E226" i="3"/>
  <c r="E372" i="3"/>
  <c r="E540" i="3"/>
  <c r="E16" i="3"/>
  <c r="E329" i="3"/>
  <c r="E116" i="3"/>
  <c r="E564" i="3"/>
  <c r="E507" i="3"/>
  <c r="E376" i="3"/>
  <c r="E419" i="3"/>
  <c r="E40" i="3"/>
  <c r="E119" i="3"/>
  <c r="E276" i="3"/>
  <c r="L6" i="3"/>
  <c r="E473"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88" i="3"/>
  <c r="E393" i="3"/>
  <c r="E427" i="3"/>
  <c r="E440" i="3"/>
  <c r="J6" i="3"/>
  <c r="E401" i="3"/>
  <c r="E108" i="3"/>
  <c r="E242" i="3"/>
  <c r="E333" i="3"/>
  <c r="E43" i="3"/>
  <c r="E455" i="3"/>
  <c r="E96" i="3"/>
  <c r="E78" i="3"/>
  <c r="E190" i="3"/>
  <c r="E174" i="3"/>
  <c r="E220" i="3"/>
  <c r="E275" i="3"/>
  <c r="E235" i="3"/>
  <c r="E324" i="3"/>
  <c r="E342" i="3"/>
  <c r="E522" i="3"/>
  <c r="E35" i="3"/>
  <c r="E34" i="3"/>
  <c r="E206" i="3"/>
  <c r="E251" i="3"/>
  <c r="E370" i="3"/>
  <c r="E102" i="3"/>
  <c r="E113" i="3"/>
  <c r="E287" i="3"/>
  <c r="E326" i="3"/>
  <c r="E22" i="3"/>
  <c r="E129" i="3"/>
  <c r="E383" i="3"/>
  <c r="E86" i="3"/>
  <c r="E49" i="3"/>
  <c r="E232" i="3"/>
  <c r="AF6" i="3"/>
  <c r="E80" i="3"/>
  <c r="E158" i="3"/>
  <c r="E308" i="3"/>
  <c r="E83" i="3"/>
  <c r="E59" i="40"/>
  <c r="K16" i="1"/>
  <c r="N94" i="46"/>
  <c r="E26" i="43"/>
  <c r="J26" i="43"/>
  <c r="H26" i="43"/>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15"/>
  <c r="C14" i="67"/>
  <c r="C24" i="11" l="1"/>
  <c r="C44" i="11"/>
  <c r="D41" i="11" s="1"/>
  <c r="B23" i="1"/>
  <c r="B24" i="1"/>
  <c r="C29" i="11"/>
  <c r="D27" i="11" s="1"/>
  <c r="C29" i="68"/>
  <c r="D27" i="68" s="1"/>
  <c r="C28" i="11"/>
  <c r="C27" i="11" s="1"/>
  <c r="C18" i="67"/>
  <c r="C15" i="67"/>
  <c r="H23" i="6"/>
  <c r="C30" i="43"/>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8" i="12" l="1"/>
  <c r="F34" i="11"/>
  <c r="C37" i="11" s="1"/>
  <c r="J53" i="15"/>
  <c r="B3" i="43"/>
  <c r="C7" i="68"/>
  <c r="C5" i="68" s="1"/>
  <c r="C23" i="68" s="1"/>
  <c r="F50" i="68"/>
  <c r="F50" i="69"/>
  <c r="F34" i="68"/>
  <c r="M59" i="15"/>
  <c r="L59" i="15" s="1"/>
  <c r="M59" i="67"/>
  <c r="C29" i="12"/>
  <c r="D28" i="12" s="1"/>
  <c r="C26" i="12"/>
  <c r="D25" i="12" s="1"/>
  <c r="C26" i="11"/>
  <c r="D22" i="11" s="1"/>
  <c r="C23" i="11"/>
  <c r="C25" i="11"/>
  <c r="C26" i="68"/>
  <c r="D22" i="68" s="1"/>
  <c r="D8" i="71"/>
  <c r="C7" i="71"/>
  <c r="C19" i="67"/>
  <c r="C20" i="67" s="1"/>
  <c r="C26" i="67" s="1"/>
  <c r="T16" i="1"/>
  <c r="C18" i="15"/>
  <c r="C15" i="15"/>
  <c r="C36"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L56" i="15"/>
  <c r="Q52" i="15"/>
  <c r="F1" i="15"/>
  <c r="Q74" i="15"/>
  <c r="Q61" i="15"/>
  <c r="C37" i="68"/>
  <c r="C22" i="11"/>
  <c r="C31" i="11" s="1"/>
  <c r="C36" i="68"/>
  <c r="C34" i="68"/>
  <c r="J7" i="2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6" i="1"/>
  <c r="C35" i="68" l="1"/>
  <c r="C38"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M21" i="15"/>
  <c r="F41" i="15"/>
  <c r="F35" i="67"/>
  <c r="M21" i="67"/>
  <c r="F35" i="15"/>
  <c r="F69" i="15" l="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C49" i="68"/>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D2" i="36"/>
  <c r="L51" i="15"/>
  <c r="C19" i="9"/>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C20" i="9"/>
  <c r="D35" i="9"/>
  <c r="AO10" i="1"/>
  <c r="AO11" i="1"/>
  <c r="AO9" i="1"/>
  <c r="D34"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l="1"/>
  <c r="B2" i="40" s="1"/>
  <c r="B3" i="40" s="1"/>
  <c r="C32" i="12"/>
  <c r="B2" i="12" s="1"/>
  <c r="D19" i="9"/>
  <c r="D102" i="9" l="1"/>
  <c r="D21" i="9"/>
  <c r="G19" i="9"/>
  <c r="G21" i="9" s="1"/>
  <c r="D22" i="9"/>
  <c r="B3" i="12"/>
  <c r="D20" i="9"/>
  <c r="D103" i="9" l="1"/>
  <c r="G20" i="9"/>
  <c r="C32" i="9" s="1"/>
  <c r="C35" i="9" s="1"/>
  <c r="C34" i="9" s="1"/>
  <c r="D118" i="9" s="1"/>
  <c r="D4" i="52" s="1"/>
  <c r="B47" i="72" s="1"/>
  <c r="D119" i="9" l="1"/>
  <c r="D5" i="52" s="1"/>
  <c r="B49" i="72" s="1"/>
  <c r="H118" i="9"/>
  <c r="F118" i="9"/>
  <c r="G118" i="9" s="1"/>
  <c r="G4" i="52" s="1"/>
  <c r="B52" i="72" s="1"/>
  <c r="I118" i="9"/>
  <c r="H119" i="9"/>
  <c r="H5" i="52" s="1"/>
  <c r="H101" i="9"/>
  <c r="F4" i="52" l="1"/>
  <c r="B51" i="72" s="1"/>
  <c r="H4" i="52"/>
  <c r="D14" i="74"/>
  <c r="F119" i="9"/>
  <c r="F5" i="52" s="1"/>
  <c r="B53" i="72" s="1"/>
  <c r="C104" i="9"/>
  <c r="I4" i="52"/>
  <c r="C105" i="9"/>
  <c r="H102" i="9"/>
  <c r="E118" i="9"/>
  <c r="E4" i="52" s="1"/>
  <c r="B48" i="72" s="1"/>
  <c r="M48" i="9"/>
  <c r="D5" i="53"/>
  <c r="D45" i="9"/>
  <c r="H107" i="9"/>
  <c r="F14" i="74" l="1"/>
  <c r="E14" i="74"/>
  <c r="B5" i="74"/>
  <c r="D5" i="74" s="1"/>
  <c r="D53" i="9"/>
  <c r="C78" i="9"/>
  <c r="C73" i="9" s="1"/>
  <c r="C93" i="9"/>
  <c r="C86" i="9" s="1"/>
  <c r="D55" i="9"/>
  <c r="M53" i="9" s="1"/>
  <c r="C64" i="9"/>
  <c r="C63" i="9" s="1"/>
  <c r="C67" i="9" s="1"/>
  <c r="C85" i="9"/>
  <c r="D52" i="9"/>
  <c r="C72" i="9"/>
  <c r="D7" i="53"/>
  <c r="B21" i="72" s="1"/>
  <c r="H108" i="9"/>
  <c r="D13" i="53"/>
  <c r="M49" i="9"/>
  <c r="D122" i="9"/>
  <c r="G14" i="74" s="1"/>
  <c r="B6" i="74" s="1"/>
  <c r="D6" i="74" s="1"/>
  <c r="D6" i="53"/>
  <c r="B22" i="72" s="1"/>
  <c r="B20" i="72"/>
  <c r="C79" i="9" l="1"/>
  <c r="C5" i="74"/>
  <c r="L68" i="9"/>
  <c r="M68" i="9" s="1"/>
  <c r="L66" i="9"/>
  <c r="M66" i="9" s="1"/>
  <c r="L67" i="9"/>
  <c r="M67" i="9" s="1"/>
  <c r="L64" i="9"/>
  <c r="M64" i="9" s="1"/>
  <c r="L65" i="9"/>
  <c r="M65" i="9" s="1"/>
  <c r="L63" i="9"/>
  <c r="M63" i="9" s="1"/>
  <c r="D8" i="52"/>
  <c r="D123" i="9"/>
  <c r="D9" i="52" s="1"/>
  <c r="B30" i="72"/>
  <c r="D14" i="53"/>
  <c r="B32" i="72" s="1"/>
  <c r="C80" i="9"/>
  <c r="E80" i="9" s="1"/>
  <c r="E81" i="9" s="1"/>
  <c r="C95" i="9"/>
  <c r="D15" i="53"/>
  <c r="B31" i="72" s="1"/>
  <c r="C6" i="74"/>
  <c r="D59" i="9"/>
  <c r="M55" i="9" s="1"/>
  <c r="C68" i="9"/>
  <c r="D54" i="9" s="1"/>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<sst xmlns="http://schemas.openxmlformats.org/spreadsheetml/2006/main" count="8044" uniqueCount="3523">
  <si>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</si>
  <si>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</si>
  <si>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</si>
  <si>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</si>
  <si>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</si>
  <si>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</si>
  <si>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</si>
  <si>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</si>
  <si>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</si>
  <si>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</si>
  <si>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</si>
  <si>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</si>
  <si>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</si>
  <si>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</si>
  <si>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</si>
  <si>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</si>
  <si>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</si>
  <si>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</si>
  <si>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</si>
  <si>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</si>
  <si>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</si>
  <si>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</si>
  <si>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</si>
  <si>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</si>
  <si>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</si>
  <si>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</si>
  <si>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</si>
  <si>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</si>
  <si>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</si>
  <si>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</si>
  <si>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</si>
  <si>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</si>
  <si>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</si>
  <si>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</si>
  <si>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</si>
  <si>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</si>
  <si>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</si>
  <si>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</si>
  <si>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</si>
  <si>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</si>
  <si>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</si>
  <si>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</si>
  <si>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</si>
  <si>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</si>
  <si>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</si>
  <si>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</si>
  <si>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</si>
  <si>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</si>
  <si>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</si>
  <si>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</si>
  <si>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</si>
  <si>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</si>
  <si>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</si>
  <si>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</si>
  <si>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</si>
  <si>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</si>
  <si>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</si>
  <si>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</si>
  <si>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</si>
  <si>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</si>
  <si>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</si>
  <si>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</si>
  <si>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</si>
  <si>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</si>
  <si>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</si>
  <si>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</si>
  <si>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</si>
  <si>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</si>
  <si>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</si>
  <si>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</si>
  <si>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</si>
  <si>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</si>
  <si>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</si>
  <si>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</si>
  <si>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</si>
  <si>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</si>
  <si>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</si>
  <si>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</si>
  <si>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</si>
  <si>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</si>
  <si>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</si>
  <si>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</si>
  <si>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</si>
  <si>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</si>
  <si>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</si>
  <si>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</si>
  <si>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</si>
  <si>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</si>
  <si>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</si>
  <si>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</si>
  <si>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</si>
  <si>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</si>
  <si>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</si>
  <si>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</si>
  <si>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</si>
  <si>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</si>
  <si>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</si>
  <si>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</si>
  <si>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</si>
  <si>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</si>
  <si>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</si>
  <si>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</si>
  <si>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</si>
  <si>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</si>
  <si>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</si>
  <si>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</si>
  <si>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</si>
  <si>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</si>
  <si>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</si>
  <si>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</si>
  <si>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</si>
  <si>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</si>
  <si>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</si>
  <si>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</si>
  <si>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</si>
  <si>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</si>
  <si>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</si>
  <si>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</si>
  <si>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</si>
  <si>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</si>
  <si>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</si>
  <si>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</si>
  <si>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</si>
  <si>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</si>
  <si>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</si>
  <si>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</si>
  <si>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</si>
  <si>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</si>
  <si>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</si>
  <si>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</si>
  <si>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</si>
  <si>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</si>
  <si>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</si>
  <si>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</si>
  <si>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</si>
  <si>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</si>
  <si>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</si>
  <si>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</si>
  <si>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</si>
  <si>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</si>
  <si>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</si>
  <si>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</si>
  <si>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</si>
  <si>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</si>
  <si>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</si>
  <si>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</si>
  <si>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</si>
  <si>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</si>
  <si>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</si>
  <si>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</si>
  <si>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</si>
  <si>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</si>
  <si>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</si>
  <si>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</si>
  <si>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</si>
  <si>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</si>
  <si>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</si>
  <si>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</si>
  <si>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</si>
  <si>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</si>
  <si>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</si>
  <si>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</si>
  <si>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</si>
  <si>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</si>
  <si>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</si>
  <si>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</si>
  <si>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</si>
  <si>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</si>
  <si>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</si>
  <si>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</si>
  <si>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</si>
  <si>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</si>
  <si>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</si>
  <si>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</si>
  <si>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</si>
  <si>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</si>
  <si>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</si>
  <si>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</si>
  <si>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</si>
  <si>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</si>
  <si>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</si>
  <si>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</si>
  <si>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</si>
  <si>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</si>
  <si>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</si>
  <si>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</si>
  <si>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</si>
  <si>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</si>
  <si>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</si>
  <si>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</si>
  <si>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</si>
  <si>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</si>
  <si>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</si>
  <si>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</si>
  <si>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</si>
  <si>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</si>
  <si>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</si>
  <si>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</si>
  <si>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</si>
  <si>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</si>
  <si>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</si>
  <si>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</si>
  <si>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</si>
  <si>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</si>
  <si>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</si>
  <si>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</si>
  <si>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</si>
  <si>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</si>
  <si>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</si>
  <si>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</si>
  <si>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</si>
  <si>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</si>
  <si>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</si>
  <si>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</si>
  <si>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</si>
  <si>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</si>
  <si>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</si>
  <si>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</si>
  <si>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</si>
  <si>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</si>
  <si>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</si>
  <si>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</si>
  <si>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</si>
  <si>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</si>
  <si>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</si>
  <si>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</si>
  <si>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</si>
  <si>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</si>
  <si>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</si>
  <si>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</si>
  <si>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</si>
  <si>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</si>
  <si>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</si>
  <si>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</si>
  <si>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</si>
  <si>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</si>
  <si>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</si>
  <si>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</si>
  <si>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</si>
  <si>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</si>
  <si>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</si>
  <si>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</si>
  <si>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</si>
  <si>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</si>
  <si>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</si>
  <si>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</si>
  <si>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</si>
  <si>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</si>
  <si>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</si>
  <si>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</si>
  <si>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</si>
  <si>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</si>
  <si>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</si>
  <si>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</si>
  <si>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</si>
  <si>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</si>
  <si>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</si>
  <si>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</si>
  <si>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</si>
  <si>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</si>
  <si>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</si>
  <si>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</si>
  <si>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</si>
  <si>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</si>
  <si>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</si>
  <si>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</si>
  <si>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</si>
  <si>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</si>
  <si>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</si>
  <si>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</si>
  <si>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</si>
  <si>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</si>
  <si>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</si>
  <si>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</si>
  <si>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</si>
  <si>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</si>
  <si>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</si>
  <si>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</si>
  <si>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</si>
  <si>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</si>
  <si>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</si>
  <si>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</si>
  <si>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</si>
  <si>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</si>
  <si>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</si>
  <si>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</si>
  <si>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</si>
  <si>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</si>
  <si>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</si>
  <si>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</si>
  <si>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</si>
  <si>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</si>
  <si>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</si>
  <si>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</si>
  <si>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</si>
  <si>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</si>
  <si>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</si>
  <si>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</si>
  <si>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</si>
  <si>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</si>
  <si>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</si>
  <si>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</si>
  <si>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</si>
  <si>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</si>
  <si>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</si>
  <si>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</si>
  <si>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</si>
  <si>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</si>
  <si>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</si>
  <si>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</si>
  <si>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</si>
  <si>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</si>
  <si>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</si>
  <si>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</si>
  <si>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</si>
  <si>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</si>
  <si>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</si>
  <si>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</si>
  <si>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</si>
  <si>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</si>
  <si>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</si>
  <si>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</si>
  <si>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</si>
  <si>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</si>
  <si>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</si>
  <si>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</si>
  <si>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</si>
  <si>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</si>
  <si>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</si>
  <si>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</si>
  <si>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</si>
  <si>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</si>
  <si>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</si>
  <si>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</si>
  <si>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</si>
  <si>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</si>
  <si>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</si>
  <si>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</si>
  <si>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</si>
  <si>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</si>
  <si>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</si>
  <si>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</si>
  <si>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</si>
  <si>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</si>
  <si>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</si>
  <si>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</si>
  <si>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</si>
  <si>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</si>
  <si>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</si>
  <si>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</si>
  <si>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</si>
  <si>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</si>
  <si>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</si>
  <si>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</si>
  <si>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</si>
  <si>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</si>
  <si>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</si>
  <si>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</si>
  <si>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</si>
  <si>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</si>
  <si>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</si>
  <si>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</si>
  <si>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</si>
  <si>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</si>
  <si>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</si>
  <si>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</si>
  <si>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</si>
  <si>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</si>
  <si>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</si>
  <si>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</si>
  <si>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</si>
  <si>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</si>
  <si>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</si>
  <si>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</si>
  <si>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</si>
  <si>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</si>
  <si>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</si>
  <si>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</si>
  <si>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</si>
  <si>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</si>
  <si>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</si>
  <si>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</si>
  <si>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</si>
  <si>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</si>
  <si>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</si>
  <si>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</si>
  <si>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</si>
  <si>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</si>
  <si>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</si>
  <si>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</si>
  <si>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</si>
  <si>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</si>
  <si>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</si>
  <si>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</si>
  <si>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</si>
  <si>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</si>
  <si>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</si>
  <si>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</si>
  <si>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</si>
  <si>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</si>
  <si>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</si>
  <si>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</si>
  <si>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</si>
  <si>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</si>
  <si>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</si>
  <si>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</si>
  <si>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</si>
  <si>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</si>
  <si>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</si>
  <si>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</si>
  <si>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</si>
  <si>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</si>
  <si>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</si>
  <si>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</si>
  <si>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</si>
  <si>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</si>
  <si>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</si>
  <si>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</si>
  <si>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</si>
  <si>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</si>
  <si>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</si>
  <si>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</si>
  <si>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</si>
  <si>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</si>
  <si>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</si>
  <si>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</si>
  <si>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</si>
  <si>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</si>
  <si>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</si>
  <si>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</si>
  <si>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</si>
  <si>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</si>
  <si>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</si>
  <si>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</si>
  <si>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</si>
  <si>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</si>
  <si>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</si>
  <si>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</si>
  <si>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</si>
  <si>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</si>
  <si>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</si>
  <si>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</si>
  <si>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</si>
  <si>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</si>
  <si>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</si>
  <si>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</si>
  <si>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</si>
  <si>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</si>
  <si>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</si>
  <si>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</si>
  <si>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</si>
  <si>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</si>
  <si>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</si>
  <si>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</si>
  <si>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</si>
  <si>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</si>
  <si>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</si>
  <si>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</si>
  <si>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</si>
  <si>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</si>
  <si>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</si>
  <si>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</si>
  <si>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</si>
  <si>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</si>
  <si>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</si>
  <si>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</si>
  <si>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</si>
  <si>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</si>
  <si>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</si>
  <si>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</si>
  <si>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</si>
  <si>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</si>
  <si>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</si>
  <si>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</si>
  <si>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</si>
  <si>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</si>
  <si>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</si>
  <si>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</si>
  <si>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</si>
  <si>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</si>
  <si>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</si>
  <si>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</si>
  <si>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</si>
  <si>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</si>
  <si>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</si>
  <si>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</si>
  <si>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</si>
  <si>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</si>
  <si>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</si>
  <si>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</si>
  <si>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</si>
  <si>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</si>
  <si>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</si>
  <si>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</si>
  <si>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</si>
  <si>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</si>
  <si>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</si>
  <si>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</si>
  <si>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</si>
  <si>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</si>
  <si>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</si>
  <si>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</si>
  <si>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</si>
  <si>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</si>
  <si>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</si>
  <si>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</si>
  <si>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</si>
  <si>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</si>
  <si>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</si>
  <si>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</si>
  <si>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</si>
  <si>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</si>
  <si>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</si>
  <si>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</si>
  <si>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</si>
  <si>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</si>
  <si>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</si>
  <si>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</si>
  <si>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</si>
  <si>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</si>
  <si>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</si>
  <si>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</si>
  <si>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</si>
  <si>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</si>
  <si>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</si>
  <si>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</si>
  <si>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</si>
  <si>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</si>
  <si>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</si>
  <si>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</si>
  <si>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</si>
  <si>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</si>
  <si>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</si>
  <si>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</si>
  <si>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</si>
  <si>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</si>
  <si>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</si>
  <si>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</si>
  <si>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</si>
  <si>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</si>
  <si>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</si>
  <si>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</si>
  <si>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</si>
  <si>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</si>
  <si>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</si>
  <si>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</si>
  <si>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</si>
  <si>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</si>
  <si>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</si>
  <si>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</si>
  <si>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</si>
  <si>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</si>
  <si>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</si>
  <si>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</si>
  <si>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</si>
  <si>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</si>
  <si>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</si>
  <si>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</si>
  <si>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</si>
  <si>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</si>
  <si>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</si>
  <si>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</si>
  <si>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</si>
  <si>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</si>
  <si>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</si>
  <si>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</si>
  <si>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</si>
  <si>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</si>
  <si>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</si>
  <si>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</si>
  <si>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</si>
  <si>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</si>
  <si>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</si>
  <si>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</si>
  <si>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</si>
  <si>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</si>
  <si>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</si>
  <si>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</si>
  <si>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</si>
  <si>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</si>
  <si>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</si>
  <si>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</si>
  <si>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</si>
  <si>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</si>
  <si>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</si>
  <si>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</si>
  <si>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</si>
  <si>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</si>
  <si>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</si>
  <si>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</si>
  <si>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</si>
  <si>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</si>
  <si>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</si>
  <si>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</si>
  <si>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</si>
  <si>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</si>
  <si>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</si>
  <si>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</si>
  <si>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</si>
  <si>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</si>
  <si>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</si>
  <si>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</si>
  <si>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</si>
  <si>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</si>
  <si>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</si>
  <si>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</si>
  <si>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</si>
  <si>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</si>
  <si>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</si>
  <si>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</si>
  <si>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</si>
  <si>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</si>
  <si>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</si>
  <si>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</si>
  <si>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</si>
  <si>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</si>
  <si>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</si>
  <si>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</si>
  <si>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</si>
  <si>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</si>
  <si>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</si>
  <si>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</si>
  <si>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</si>
  <si>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</si>
  <si>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</si>
  <si>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</si>
  <si>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</si>
  <si>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</si>
  <si>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</si>
  <si>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</si>
  <si>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</si>
  <si>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</si>
  <si>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</si>
  <si>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</si>
  <si>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</si>
  <si>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</si>
  <si>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</si>
  <si>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</si>
  <si>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</si>
  <si>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</si>
  <si>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</si>
  <si>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</si>
  <si>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</si>
  <si>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</si>
  <si>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</si>
  <si>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</si>
  <si>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</si>
  <si>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</si>
  <si>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</si>
  <si>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</si>
  <si>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</si>
  <si>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</si>
  <si>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</si>
  <si>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</si>
  <si>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</si>
  <si>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</si>
  <si>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</si>
  <si>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</si>
  <si>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</si>
  <si>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</si>
  <si>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</si>
  <si>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</si>
  <si>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</si>
  <si>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</si>
  <si>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</si>
  <si>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</si>
  <si>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</si>
  <si>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</si>
  <si>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</si>
  <si>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</si>
  <si>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</si>
  <si>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</si>
  <si>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</si>
  <si>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</si>
  <si>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</si>
  <si>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</si>
  <si>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</si>
  <si>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</si>
  <si>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</si>
  <si>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</si>
  <si>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</si>
  <si>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</si>
  <si>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</si>
  <si>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</si>
  <si>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</si>
  <si>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</si>
  <si>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</si>
  <si>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</si>
  <si>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</si>
  <si>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</si>
  <si>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</si>
  <si>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</si>
  <si>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</si>
  <si>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</si>
  <si>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</si>
  <si>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</si>
  <si>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</si>
  <si>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</si>
  <si>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</si>
  <si>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</si>
  <si>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</si>
  <si>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</si>
  <si>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</si>
  <si>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</si>
  <si>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</si>
  <si>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</si>
  <si>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</si>
  <si>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</si>
  <si>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</si>
  <si>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</si>
  <si>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</si>
  <si>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</si>
  <si>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</si>
  <si>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</si>
  <si>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</si>
  <si>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</si>
  <si>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</si>
  <si>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</si>
  <si>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</si>
  <si>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</si>
  <si>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</si>
  <si>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</si>
  <si>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</si>
  <si>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</si>
  <si>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</si>
  <si>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</si>
  <si>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</si>
  <si>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</si>
  <si>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</si>
  <si>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</si>
  <si>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</si>
  <si>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</si>
  <si>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</si>
  <si>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</si>
  <si>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</si>
  <si>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</si>
  <si>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</si>
  <si>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</si>
  <si>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</si>
  <si>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</si>
  <si>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</si>
  <si>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</si>
  <si>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</si>
  <si>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</si>
  <si>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</si>
  <si>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</si>
  <si>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</si>
  <si>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</si>
  <si>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</si>
  <si>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</si>
  <si>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</si>
  <si>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</si>
  <si>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</si>
  <si>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</si>
  <si>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</si>
  <si>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</si>
  <si>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</si>
  <si>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</si>
  <si>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</si>
  <si>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</si>
  <si>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</si>
  <si>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</si>
  <si>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</si>
  <si>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</si>
  <si>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</si>
  <si>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</si>
  <si>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</si>
  <si>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</si>
  <si>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</si>
  <si>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</si>
  <si>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</si>
  <si>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</si>
  <si>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</si>
  <si>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</si>
  <si>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</si>
  <si>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</si>
  <si>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</si>
  <si>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</si>
  <si>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</si>
  <si>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</si>
  <si>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</si>
  <si>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</si>
  <si>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</si>
  <si>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</si>
  <si>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</si>
  <si>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</si>
  <si>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</si>
  <si>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</si>
  <si>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</si>
  <si>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</si>
  <si>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</si>
  <si>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</si>
  <si>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</si>
  <si>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</si>
  <si>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</si>
  <si>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</si>
  <si>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</si>
  <si>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</si>
  <si>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</si>
  <si>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</si>
  <si>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</si>
  <si>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</si>
  <si>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</si>
  <si>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</si>
  <si>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</si>
  <si>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</si>
  <si>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</si>
  <si>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</si>
  <si>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</si>
  <si>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</si>
  <si>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</si>
  <si>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</si>
  <si>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</si>
  <si>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</si>
  <si>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</si>
  <si>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</si>
  <si>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</si>
  <si>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</si>
  <si>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</si>
  <si>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</si>
  <si>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</si>
  <si>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</si>
  <si>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</si>
  <si>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</si>
  <si>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</si>
  <si>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</si>
  <si>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</si>
  <si>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</si>
  <si>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</si>
  <si>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</si>
  <si>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</si>
  <si>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</si>
  <si>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</si>
  <si>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</si>
  <si>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</si>
  <si>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</si>
  <si>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</si>
  <si>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</si>
  <si>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</si>
  <si>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</si>
  <si>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</si>
  <si>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</si>
  <si>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</si>
  <si>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</si>
  <si>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</si>
  <si>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</si>
  <si>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</si>
  <si>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</si>
  <si>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</si>
  <si>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</si>
  <si>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</si>
  <si>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</si>
  <si>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</si>
  <si>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</si>
  <si>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</si>
  <si>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</si>
  <si>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</si>
  <si>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</si>
  <si>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</si>
  <si>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</si>
  <si>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</si>
  <si>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</si>
  <si>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</si>
  <si>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</si>
  <si>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</si>
  <si>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</si>
  <si>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</si>
  <si>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</si>
  <si>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</si>
  <si>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</si>
  <si>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</si>
  <si>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</si>
  <si>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</si>
  <si>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</si>
  <si>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</si>
  <si>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</si>
  <si>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</si>
  <si>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</si>
  <si>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</si>
  <si>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</si>
  <si>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</si>
  <si>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</si>
  <si>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</si>
  <si>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</si>
  <si>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</si>
  <si>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</si>
  <si>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</si>
  <si>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</si>
  <si>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</si>
  <si>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</si>
  <si>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</si>
  <si>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</si>
  <si>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</si>
  <si>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</si>
  <si>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</si>
  <si>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</si>
  <si>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</si>
  <si>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</si>
  <si>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</si>
  <si>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</si>
  <si>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</si>
  <si>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</si>
  <si>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</si>
  <si>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</si>
  <si>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</si>
  <si>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</si>
  <si>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</si>
  <si>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</si>
  <si>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</si>
  <si>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</si>
  <si>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</si>
  <si>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</si>
  <si>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</si>
  <si>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</si>
  <si>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</si>
  <si>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</si>
  <si>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</si>
  <si>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</si>
  <si>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</si>
  <si>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</si>
  <si>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</si>
  <si>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</si>
  <si>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</si>
  <si>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</si>
  <si>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</si>
  <si>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</si>
  <si>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</si>
  <si>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</si>
  <si>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</si>
  <si>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</si>
  <si>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</si>
  <si>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</si>
  <si>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</si>
  <si>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</si>
  <si>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</si>
  <si>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</si>
  <si>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</si>
  <si>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</si>
  <si>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</si>
  <si>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</si>
  <si>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</si>
  <si>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</si>
  <si>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</si>
  <si>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</si>
  <si>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</si>
  <si>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</si>
  <si>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</si>
  <si>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</si>
  <si>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</si>
  <si>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</si>
  <si>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</si>
  <si>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</si>
  <si>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</si>
  <si>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</si>
  <si>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</si>
  <si>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</si>
  <si>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</si>
  <si>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</si>
  <si>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</si>
  <si>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</si>
  <si>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</si>
  <si>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</si>
  <si>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</si>
  <si>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</si>
  <si>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</si>
  <si>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</si>
  <si>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</si>
  <si>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</si>
  <si>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</si>
  <si>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</si>
  <si>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</si>
  <si>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</si>
  <si>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</si>
  <si>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</si>
  <si>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</si>
  <si>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</si>
  <si>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</si>
  <si>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</si>
  <si>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</si>
  <si>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</si>
  <si>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</si>
  <si>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</si>
  <si>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</si>
  <si>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</si>
  <si>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</si>
  <si>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</si>
  <si>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</si>
  <si>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</si>
  <si>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</si>
  <si>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</si>
  <si>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</si>
  <si>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</si>
  <si>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</si>
  <si>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</si>
  <si>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</si>
  <si>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</si>
  <si>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</si>
  <si>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</si>
  <si>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</si>
  <si>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</si>
  <si>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</si>
  <si>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</si>
  <si>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</si>
  <si>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</si>
  <si>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</si>
  <si>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</si>
  <si>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</si>
  <si>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</si>
  <si>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</si>
  <si>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</si>
  <si>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</si>
  <si>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</si>
  <si>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</si>
  <si>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</si>
  <si>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</si>
  <si>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</si>
  <si>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</si>
  <si>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</si>
  <si>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</si>
  <si>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</si>
  <si>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</si>
  <si>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</si>
  <si>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</si>
  <si>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</si>
  <si>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</si>
  <si>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</si>
  <si>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</si>
  <si>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</si>
  <si>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</si>
  <si>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</si>
  <si>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</si>
  <si>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</si>
  <si>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</si>
  <si>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</si>
  <si>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</si>
  <si>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</si>
  <si>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</si>
  <si>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</si>
  <si>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</si>
  <si>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</si>
  <si>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</si>
  <si>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</si>
  <si>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</si>
  <si>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</si>
  <si>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</si>
  <si>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</si>
  <si>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</si>
  <si>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</si>
  <si>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</si>
  <si>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</si>
  <si>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</si>
  <si>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</si>
  <si>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</si>
  <si>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</si>
  <si>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</si>
  <si>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</si>
  <si>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</si>
  <si>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</si>
  <si>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</si>
  <si>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</si>
  <si>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</si>
  <si>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</si>
  <si>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</si>
  <si>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</si>
  <si>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</si>
  <si>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</si>
  <si>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</si>
  <si>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</si>
  <si>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</si>
  <si>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</si>
  <si>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</si>
  <si>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</si>
  <si>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</si>
  <si>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</si>
  <si>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</si>
  <si>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</si>
  <si>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</si>
  <si>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</si>
  <si>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</si>
  <si>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</si>
  <si>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</si>
  <si>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</si>
  <si>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</si>
  <si>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</si>
  <si>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</si>
  <si>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</si>
  <si>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</si>
  <si>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</si>
  <si>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</si>
  <si>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</si>
  <si>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</si>
  <si>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</si>
  <si>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</si>
  <si>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</si>
  <si>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</si>
  <si>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</si>
  <si>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</si>
  <si>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</si>
  <si>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</si>
  <si>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</si>
  <si>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</si>
  <si>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</si>
  <si>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</si>
  <si>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</si>
  <si>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</si>
  <si>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</si>
  <si>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</si>
  <si>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</si>
  <si>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</si>
  <si>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</si>
  <si>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</si>
  <si>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</si>
  <si>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</si>
  <si>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</si>
  <si>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</si>
  <si>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</si>
  <si>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</si>
  <si>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</si>
  <si>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</si>
  <si>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</si>
  <si>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</si>
  <si>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</si>
  <si>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</si>
  <si>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</si>
  <si>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</si>
  <si>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</si>
  <si>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</si>
  <si>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</si>
  <si>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</si>
  <si>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</si>
  <si>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</si>
  <si>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</si>
  <si>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</si>
  <si>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</si>
  <si>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</si>
  <si>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</si>
  <si>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</si>
  <si>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</si>
  <si>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</si>
  <si>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</si>
  <si>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</si>
  <si>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</si>
  <si>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</si>
  <si>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</si>
  <si>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</si>
  <si>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</si>
  <si>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</si>
  <si>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</si>
  <si>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</si>
  <si>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</si>
  <si>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</si>
  <si>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</si>
  <si>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</si>
  <si>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</si>
  <si>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</si>
  <si>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</si>
  <si>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</si>
  <si>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</si>
  <si>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</si>
  <si>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</si>
  <si>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</si>
  <si>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</si>
  <si>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</si>
  <si>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</si>
  <si>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</si>
  <si>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</si>
  <si>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</si>
  <si>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</si>
  <si>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</si>
  <si>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</si>
  <si>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</si>
  <si>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</si>
  <si>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</si>
  <si>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</si>
  <si>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</si>
  <si>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</si>
  <si>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</si>
  <si>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</si>
  <si>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</si>
  <si>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</si>
  <si>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</si>
  <si>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</si>
  <si>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</si>
  <si>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</si>
  <si>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</si>
  <si>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</si>
  <si>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</si>
  <si>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</si>
  <si>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</si>
  <si>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</si>
  <si>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</si>
  <si>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</si>
  <si>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</si>
  <si>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</si>
  <si>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</si>
  <si>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</si>
  <si>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</si>
  <si>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</si>
  <si>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</si>
  <si>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</si>
  <si>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</si>
  <si>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</si>
  <si>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</si>
  <si>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</si>
  <si>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</si>
  <si>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</si>
  <si>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</si>
  <si>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</si>
  <si>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</si>
  <si>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</si>
  <si>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</si>
  <si>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</si>
  <si>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</si>
  <si>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</si>
  <si>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</si>
  <si>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</si>
  <si>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</si>
  <si>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</si>
  <si>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</si>
  <si>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</si>
  <si>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</si>
  <si>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</si>
  <si>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</si>
  <si>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</si>
  <si>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</si>
  <si>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</si>
  <si>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</si>
  <si>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</si>
  <si>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</si>
  <si>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</si>
  <si>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</si>
  <si>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</si>
  <si>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</si>
  <si>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</si>
  <si>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</si>
  <si>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</si>
  <si>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</si>
  <si>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</si>
  <si>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</si>
  <si>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</si>
  <si>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</si>
  <si>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</si>
  <si>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</si>
  <si>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</si>
  <si>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</si>
  <si>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</si>
  <si>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</si>
  <si>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</si>
  <si>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</si>
  <si>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</si>
  <si>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</si>
  <si>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</si>
  <si>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</si>
  <si>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</si>
  <si>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</si>
  <si>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</si>
  <si>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</si>
  <si>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</si>
  <si>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</si>
  <si>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</si>
  <si>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</si>
  <si>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</si>
  <si>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</si>
  <si>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</si>
  <si>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</si>
  <si>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</si>
  <si>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</si>
  <si>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</si>
  <si>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</si>
  <si>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</si>
  <si>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</si>
  <si>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</si>
  <si>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</si>
  <si>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</si>
  <si>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</si>
  <si>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</si>
  <si>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</si>
  <si>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</si>
  <si>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</si>
  <si>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</si>
  <si>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</si>
  <si>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</si>
  <si>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</si>
  <si>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</si>
  <si>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</si>
  <si>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</si>
  <si>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</si>
  <si>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</si>
  <si>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</si>
  <si>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</si>
  <si>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</si>
  <si>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</si>
  <si>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</si>
  <si>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</si>
  <si>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</si>
  <si>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</si>
  <si>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</si>
  <si>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</si>
  <si>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</si>
  <si>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</si>
  <si>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</si>
  <si>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</si>
  <si>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</si>
  <si>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</si>
  <si>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</si>
  <si>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</si>
  <si>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</si>
  <si>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</si>
  <si>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</si>
  <si>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</si>
  <si>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</si>
  <si>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</si>
  <si>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</si>
  <si>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</si>
  <si>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</si>
  <si>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</si>
  <si>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</si>
  <si>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</si>
  <si>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</si>
  <si>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</si>
  <si>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</si>
  <si>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</si>
  <si>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</si>
  <si>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</si>
  <si>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</si>
  <si>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</si>
  <si>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</si>
  <si>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</si>
  <si>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</si>
  <si>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</si>
  <si>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</si>
  <si>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</si>
  <si>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</si>
  <si>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</si>
  <si>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</si>
  <si>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</si>
  <si>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</si>
  <si>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</si>
  <si>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</si>
  <si>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</si>
  <si>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</si>
  <si>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</si>
  <si>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</si>
  <si>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</si>
  <si>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</si>
  <si>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</si>
  <si>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</si>
  <si>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</si>
  <si>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</si>
  <si>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</si>
  <si>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</si>
  <si>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</si>
  <si>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</si>
  <si>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</si>
  <si>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</si>
  <si>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</si>
  <si>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</si>
  <si>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</si>
  <si>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</si>
  <si>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</si>
  <si>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</si>
  <si>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</si>
  <si>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</si>
  <si>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</si>
  <si>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</si>
  <si>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</si>
  <si>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</si>
  <si>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</si>
  <si>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</si>
  <si>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</si>
  <si>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</si>
  <si>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</si>
  <si>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</si>
  <si>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</si>
  <si>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</si>
  <si>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</si>
  <si>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</si>
  <si>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</si>
  <si>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</si>
  <si>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</si>
  <si>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</si>
  <si>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</si>
  <si>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</si>
  <si>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</si>
  <si>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</si>
  <si>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</si>
  <si>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</si>
  <si>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</si>
  <si>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</si>
  <si>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</si>
  <si>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</si>
  <si>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</si>
  <si>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</si>
  <si>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</si>
  <si>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</si>
  <si>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</si>
  <si>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</si>
  <si>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</si>
  <si>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</si>
  <si>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</si>
  <si>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</si>
  <si>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</si>
  <si>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</si>
  <si>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</si>
  <si>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</si>
  <si>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</si>
  <si>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</si>
  <si>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</si>
  <si>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</si>
  <si>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</si>
  <si>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</si>
  <si>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</si>
  <si>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</si>
  <si>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</si>
  <si>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</si>
  <si>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</si>
  <si>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</si>
  <si>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</si>
  <si>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</si>
  <si>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</si>
  <si>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</si>
  <si>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</si>
  <si>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</si>
  <si>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</si>
  <si>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</si>
  <si>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</si>
  <si>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</si>
  <si>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</si>
  <si>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</si>
  <si>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</si>
  <si>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</si>
  <si>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</si>
  <si>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</si>
  <si>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</si>
  <si>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</si>
  <si>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</si>
  <si>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</si>
  <si>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</si>
  <si>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</si>
  <si>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</si>
  <si>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</si>
  <si>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</si>
  <si>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</si>
  <si>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</si>
  <si>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</si>
  <si>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</si>
  <si>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</si>
  <si>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</si>
  <si>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</si>
  <si>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</si>
  <si>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</si>
  <si>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</si>
  <si>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</si>
  <si>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</si>
  <si>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</si>
  <si>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</si>
  <si>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</si>
  <si>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</si>
  <si>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</si>
  <si>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</si>
  <si>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</si>
  <si>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</si>
  <si>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</si>
  <si>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</si>
  <si>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</si>
  <si>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</si>
  <si>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</si>
  <si>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</si>
  <si>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</si>
  <si>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</si>
  <si>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</si>
  <si>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</si>
  <si>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</si>
  <si>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</si>
  <si>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</si>
  <si>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</si>
  <si>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</si>
  <si>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</si>
  <si>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</si>
  <si>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</si>
  <si>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</si>
  <si>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</si>
  <si>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</si>
  <si>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</si>
  <si>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</si>
  <si>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</si>
  <si>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</si>
  <si>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</si>
  <si>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</si>
  <si>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</si>
  <si>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</si>
  <si>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</si>
  <si>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</si>
  <si>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</si>
  <si>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</si>
  <si>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</si>
  <si>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</si>
  <si>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</si>
  <si>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</si>
  <si>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</si>
  <si>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</si>
  <si>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</si>
  <si>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</si>
  <si>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</si>
  <si>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</si>
  <si>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</si>
  <si>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</si>
  <si>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</si>
  <si>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</si>
  <si>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</si>
  <si>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</si>
  <si>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</si>
  <si>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</si>
  <si>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</si>
  <si>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</si>
  <si>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</si>
  <si>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</si>
  <si>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</si>
  <si>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</si>
  <si>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</si>
  <si>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</si>
  <si>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</si>
  <si>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</si>
  <si>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</si>
  <si>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</si>
  <si>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</si>
  <si>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</si>
  <si>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</si>
  <si>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</si>
  <si>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</si>
  <si>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</si>
  <si>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</si>
  <si>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</si>
  <si>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</si>
  <si>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</si>
  <si>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</si>
  <si>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</si>
  <si>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</si>
  <si>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</si>
  <si>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</si>
  <si>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</si>
  <si>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</si>
  <si>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</si>
  <si>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</si>
  <si>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</si>
  <si>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</si>
  <si>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</si>
  <si>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</si>
  <si>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</si>
  <si>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</si>
  <si>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</si>
  <si>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</si>
  <si>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</si>
  <si>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</si>
  <si>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</si>
  <si>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</si>
  <si>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</si>
  <si>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</si>
  <si>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</si>
  <si>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</si>
  <si>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</si>
  <si>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</si>
  <si>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</si>
  <si>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</si>
  <si>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</si>
  <si>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</si>
  <si>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</si>
  <si>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</si>
  <si>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</si>
  <si>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</si>
  <si>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</si>
  <si>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</si>
  <si>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</si>
  <si>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</si>
  <si>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</si>
  <si>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</si>
  <si>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</si>
  <si>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</si>
  <si>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</si>
  <si>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</si>
  <si>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</si>
  <si>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</si>
  <si>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</si>
  <si>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</si>
  <si>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</si>
  <si>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</si>
  <si>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</si>
  <si>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</si>
  <si>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</si>
  <si>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</si>
  <si>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</si>
  <si>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</si>
  <si>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</si>
  <si>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</si>
  <si>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</si>
  <si>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</si>
  <si>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</si>
  <si>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</si>
  <si>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</si>
  <si>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</si>
  <si>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</si>
  <si>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</si>
  <si>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</si>
  <si>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</si>
  <si>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</si>
  <si>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</si>
  <si>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</si>
  <si>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</si>
  <si>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</si>
  <si>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</si>
  <si>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</si>
  <si>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</si>
  <si>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</si>
  <si>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</si>
  <si>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</si>
  <si>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</si>
  <si>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</si>
  <si>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</si>
  <si>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</si>
  <si>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</si>
  <si>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</si>
  <si>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</si>
  <si>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</si>
  <si>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</si>
  <si>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</si>
  <si>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</si>
  <si>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</si>
  <si>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</si>
  <si>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</si>
  <si>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</si>
  <si>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</si>
  <si>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</si>
  <si>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</si>
  <si>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</si>
  <si>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</si>
  <si>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</si>
  <si>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</si>
  <si>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</si>
  <si>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</si>
  <si>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</si>
  <si>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</si>
  <si>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</si>
  <si>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</si>
  <si>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</si>
  <si>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</si>
  <si>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</si>
  <si>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</si>
  <si>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</si>
  <si>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</si>
  <si>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</si>
  <si>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</si>
  <si>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</si>
  <si>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</si>
  <si>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</si>
  <si>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</si>
  <si>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</si>
  <si>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</si>
  <si>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</si>
  <si>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</si>
  <si>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</si>
  <si>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</si>
  <si>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</si>
  <si>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</si>
  <si>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</si>
  <si>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</si>
  <si>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</si>
  <si>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</si>
  <si>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</si>
  <si>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</si>
  <si>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</si>
  <si>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</si>
  <si>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</si>
  <si>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</si>
  <si>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</si>
  <si>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</si>
  <si>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</si>
  <si>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</si>
  <si>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</si>
  <si>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</si>
  <si>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</si>
  <si>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</si>
  <si>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</si>
  <si>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</si>
  <si>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</si>
  <si>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</si>
  <si>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</si>
  <si>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</si>
  <si>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</si>
  <si>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</si>
  <si>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</si>
  <si>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</si>
  <si>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</si>
  <si>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</si>
  <si>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</si>
  <si>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</si>
  <si>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</si>
  <si>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</si>
  <si>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</si>
  <si>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</si>
  <si>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</si>
  <si>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</si>
  <si>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</si>
  <si>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</si>
  <si>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</si>
  <si>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</si>
  <si>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</si>
  <si>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</si>
  <si>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</si>
  <si>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</si>
  <si>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</si>
  <si>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</si>
  <si>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</si>
  <si>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</si>
  <si>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</si>
  <si>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</si>
  <si>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</si>
  <si>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</si>
  <si>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</si>
  <si>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</si>
  <si>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</si>
  <si>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</si>
  <si>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</si>
  <si>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</si>
  <si>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</si>
  <si>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</si>
  <si>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</si>
  <si>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</si>
  <si>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</si>
  <si>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</si>
  <si>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</si>
  <si>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</si>
  <si>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</si>
  <si>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</si>
  <si>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</si>
  <si>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</si>
  <si>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</si>
  <si>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</si>
  <si>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</si>
  <si>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</si>
  <si>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</si>
  <si>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</si>
  <si>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</si>
  <si>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</si>
  <si>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</si>
  <si>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</si>
  <si>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</si>
  <si>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</si>
  <si>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</si>
  <si>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</si>
  <si>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</si>
  <si>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</si>
  <si>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</si>
  <si>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</si>
  <si>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</si>
  <si>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</si>
  <si>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</si>
  <si>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</si>
  <si>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</si>
  <si>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</si>
  <si>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</si>
  <si>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</si>
  <si>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</si>
  <si>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</si>
  <si>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</si>
  <si>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</si>
  <si>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</si>
  <si>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</si>
  <si>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</si>
  <si>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</si>
  <si>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</si>
  <si>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</si>
  <si>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</si>
  <si>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</si>
  <si>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</si>
  <si>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</si>
  <si>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</si>
  <si>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</si>
  <si>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</si>
  <si>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</si>
  <si>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</si>
  <si>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</si>
  <si>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</si>
  <si>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</si>
  <si>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</si>
  <si>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</si>
  <si>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</si>
  <si>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</si>
  <si>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</si>
  <si>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</si>
  <si>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</si>
  <si>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</si>
  <si>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</si>
  <si>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</si>
  <si>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</si>
  <si>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</si>
  <si>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</si>
  <si>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</si>
  <si>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</si>
  <si>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</si>
  <si>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</si>
  <si>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</si>
  <si>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</si>
  <si>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</si>
  <si>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</si>
  <si>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</si>
  <si>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</si>
  <si>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</si>
  <si>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</si>
  <si>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</si>
  <si>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</si>
  <si>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</si>
  <si>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</si>
  <si>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</si>
  <si>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</si>
  <si>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</si>
  <si>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</si>
  <si>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</si>
  <si>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</si>
  <si>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</si>
  <si>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</si>
  <si>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</si>
  <si>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</si>
  <si>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</si>
  <si>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</si>
  <si>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</si>
  <si>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</si>
  <si>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</si>
  <si>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</si>
  <si>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</si>
  <si>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</si>
  <si>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</si>
  <si>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</si>
  <si>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</si>
  <si>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</si>
  <si>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</si>
  <si>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</si>
  <si>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</si>
  <si>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</si>
  <si>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</si>
  <si>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</si>
  <si>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</si>
  <si>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</si>
  <si>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</si>
  <si>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</si>
  <si>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</si>
  <si>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</si>
  <si>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</si>
  <si>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</si>
  <si>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</si>
  <si>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</si>
  <si>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</si>
  <si>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</si>
  <si>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</si>
  <si>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</si>
  <si>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</si>
  <si>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</si>
  <si>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</si>
  <si>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</si>
  <si>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</si>
  <si>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</si>
  <si>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</si>
  <si>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</si>
  <si>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</si>
  <si>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</si>
  <si>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</si>
  <si>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</si>
  <si>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</si>
  <si>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</si>
  <si>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</si>
  <si>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</si>
  <si>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</si>
  <si>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</si>
  <si>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</si>
  <si>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</si>
  <si>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</si>
  <si>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</si>
  <si>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</si>
  <si>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</si>
  <si>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</si>
  <si>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</si>
  <si>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</si>
  <si>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</si>
  <si>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</si>
  <si>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</si>
  <si>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</si>
  <si>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</si>
  <si>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</si>
  <si>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</si>
  <si>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</si>
  <si>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</si>
  <si>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</si>
  <si>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</si>
  <si>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</si>
  <si>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</si>
  <si>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</si>
  <si>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</si>
  <si>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</si>
  <si>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</si>
  <si>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</si>
  <si>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</si>
  <si>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</si>
  <si>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</si>
  <si>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</si>
  <si>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</si>
  <si>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</si>
  <si>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</si>
  <si>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</si>
  <si>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</si>
  <si>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</si>
  <si>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</si>
  <si>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</si>
  <si>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</si>
  <si>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</si>
  <si>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</si>
  <si>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</si>
  <si>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</si>
  <si>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</si>
  <si>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</si>
  <si>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</si>
  <si>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</si>
  <si>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</si>
  <si>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</si>
  <si>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</si>
  <si>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</si>
  <si>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</si>
  <si>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</si>
  <si>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</si>
  <si>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</si>
  <si>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</si>
  <si>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</si>
  <si>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</si>
  <si>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</si>
  <si>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</si>
  <si>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</si>
  <si>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</si>
  <si>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</si>
  <si>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</si>
  <si>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</si>
  <si>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</si>
  <si>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</si>
  <si>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</si>
  <si>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</si>
  <si>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</si>
  <si>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</si>
  <si>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</si>
  <si>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</si>
  <si>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</si>
  <si>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</si>
  <si>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</si>
  <si>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</si>
  <si>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</si>
  <si>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</si>
  <si>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</si>
  <si>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</si>
  <si>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</si>
  <si>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</si>
  <si>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</si>
  <si>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</si>
  <si>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</si>
  <si>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</si>
  <si>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</si>
  <si>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</si>
  <si>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</si>
  <si>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</si>
  <si>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</si>
  <si>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</si>
  <si>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</si>
  <si>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</si>
  <si>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</si>
  <si>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</si>
  <si>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</si>
  <si>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</si>
  <si>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</si>
  <si>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</si>
  <si>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</si>
  <si>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</si>
  <si>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</si>
  <si>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</si>
  <si>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</si>
  <si>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</si>
  <si>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</si>
  <si>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</si>
  <si>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</si>
  <si>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</si>
  <si>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</si>
  <si>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</si>
  <si>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</si>
  <si>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</si>
  <si>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</si>
  <si>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</si>
  <si>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</si>
  <si>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</si>
  <si>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</si>
  <si>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</si>
  <si>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</si>
  <si>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</si>
  <si>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</si>
  <si>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</si>
  <si>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</si>
  <si>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</si>
  <si>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</si>
  <si>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</si>
  <si>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</si>
  <si>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</si>
  <si>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</si>
  <si>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</si>
  <si>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</si>
  <si>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</si>
  <si>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</si>
  <si>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</si>
  <si>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</si>
  <si>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</si>
  <si>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</si>
  <si>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</si>
  <si>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</si>
  <si>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</si>
  <si>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</si>
  <si>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</si>
  <si>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</si>
  <si>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</si>
  <si>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</si>
  <si>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</si>
  <si>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</si>
  <si>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</si>
  <si>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</si>
  <si>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</si>
  <si>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</si>
  <si>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</si>
  <si>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</si>
  <si>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</si>
  <si>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</si>
  <si>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</si>
  <si>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</si>
  <si>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</si>
  <si>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</si>
  <si>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</si>
  <si>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</si>
  <si>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</si>
  <si>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</si>
  <si>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</si>
  <si>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</si>
  <si>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</si>
  <si>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</si>
  <si>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</si>
  <si>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</si>
  <si>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</si>
  <si>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</si>
  <si>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</si>
  <si>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</si>
  <si>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</si>
  <si>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</si>
  <si>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</si>
  <si>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</si>
  <si>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</si>
  <si>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</si>
  <si>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</si>
  <si>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</si>
  <si>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</si>
  <si>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</si>
  <si>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</si>
  <si>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</si>
  <si>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</si>
  <si>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</si>
  <si>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</si>
  <si>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</si>
  <si>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</si>
  <si>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</si>
  <si>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</si>
  <si>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</si>
  <si>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</si>
  <si>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</si>
  <si>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</si>
  <si>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</si>
  <si>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</si>
  <si>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</si>
  <si>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</si>
  <si>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</si>
  <si>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</si>
  <si>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</si>
  <si>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</si>
  <si>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</si>
  <si>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</si>
  <si>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</si>
  <si>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</si>
  <si>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</si>
  <si>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</si>
  <si>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</si>
  <si>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</si>
  <si>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</si>
  <si>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</si>
  <si>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</si>
  <si>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</si>
  <si>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</si>
  <si>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</si>
  <si>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</si>
  <si>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</si>
  <si>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</si>
  <si>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</si>
  <si>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</si>
  <si>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</si>
  <si>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</si>
  <si>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</si>
  <si>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</si>
  <si>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</si>
  <si>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</si>
  <si>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</si>
  <si>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</si>
  <si>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</si>
  <si>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</si>
  <si>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</si>
  <si>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</si>
  <si>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</si>
  <si>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</si>
  <si>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</si>
  <si>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</si>
  <si>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</si>
  <si>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</si>
  <si>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</si>
  <si>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</si>
  <si>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</si>
  <si>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</si>
  <si>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</si>
  <si>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</si>
  <si>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</si>
  <si>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</si>
  <si>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</si>
  <si>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</si>
  <si>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</si>
  <si>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</si>
  <si>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</si>
  <si>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</si>
  <si>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</si>
  <si>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</si>
  <si>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</si>
  <si>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</si>
  <si>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</si>
  <si>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</si>
  <si>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</si>
  <si>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</si>
  <si>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</si>
  <si>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</si>
  <si>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</si>
  <si>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</si>
  <si>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</si>
  <si>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</si>
  <si>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</si>
  <si>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</si>
  <si>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</si>
  <si>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</si>
  <si>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</si>
  <si>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</si>
  <si>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</si>
  <si>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</si>
  <si>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</si>
  <si>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</si>
  <si>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</si>
  <si>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</si>
  <si>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</si>
  <si>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</si>
  <si>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</si>
  <si>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</si>
  <si>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</si>
  <si>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</si>
  <si>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</si>
  <si>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</si>
  <si>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</si>
  <si>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</si>
  <si>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</si>
  <si>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</si>
  <si>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</si>
  <si>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</si>
  <si>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</si>
  <si>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</si>
  <si>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</si>
  <si>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</si>
  <si>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</si>
  <si>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</si>
  <si>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</si>
  <si>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</si>
  <si>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</si>
  <si>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</si>
  <si>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</si>
  <si>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</si>
  <si>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</si>
  <si>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</si>
  <si>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</si>
  <si>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</si>
  <si>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</si>
  <si>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</si>
  <si>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</si>
  <si>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</si>
  <si>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</si>
  <si>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</si>
  <si>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</si>
  <si>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</si>
  <si>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</si>
  <si>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</si>
  <si>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</si>
  <si>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</si>
  <si>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</si>
  <si>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</si>
  <si>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</si>
  <si>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</si>
  <si>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</si>
  <si>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</si>
  <si>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</si>
  <si>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</si>
  <si>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</si>
  <si>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</si>
  <si>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</si>
  <si>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</si>
  <si>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</si>
  <si>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</si>
  <si>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</si>
  <si>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</si>
  <si>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</si>
  <si>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</si>
  <si>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</si>
  <si>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</si>
  <si>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</si>
  <si>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</si>
  <si>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</si>
  <si>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</si>
  <si>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</si>
  <si>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</si>
  <si>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</si>
  <si>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</si>
  <si>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</si>
  <si>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</si>
  <si>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</si>
  <si>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</si>
  <si>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</si>
  <si>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</si>
  <si>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</si>
  <si>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</si>
  <si>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</si>
  <si>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</si>
  <si>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</si>
  <si>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</si>
  <si>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</si>
  <si>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</si>
  <si>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</si>
  <si>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</si>
  <si>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</si>
  <si>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</si>
  <si>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</si>
  <si>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</si>
  <si>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</si>
  <si>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</si>
  <si>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</si>
  <si>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</si>
  <si>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</si>
  <si>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</si>
  <si>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</si>
  <si>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</si>
  <si>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</si>
  <si>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</si>
  <si>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</si>
  <si>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</si>
  <si>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</si>
  <si>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</si>
  <si>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</si>
  <si>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</si>
  <si>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</si>
  <si>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</si>
  <si>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</si>
  <si>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</si>
  <si>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</si>
  <si>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</si>
  <si>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</si>
  <si>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</si>
  <si>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</si>
  <si>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</si>
  <si>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</si>
  <si>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</si>
  <si>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</si>
  <si>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</si>
  <si>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</si>
  <si>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</si>
  <si>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</si>
  <si>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</si>
  <si>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</si>
  <si>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</si>
  <si>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</si>
  <si>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</si>
  <si>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</si>
  <si>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</si>
  <si>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</si>
  <si>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</si>
  <si>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</si>
  <si>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</si>
  <si>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</si>
  <si>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</si>
  <si>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</si>
  <si>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</si>
  <si>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</si>
  <si>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</si>
  <si>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</si>
  <si>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</si>
  <si>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</si>
  <si>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</si>
  <si>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</si>
  <si>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</si>
  <si>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</si>
  <si>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</si>
  <si>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</si>
  <si>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</si>
  <si>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</si>
  <si>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</si>
  <si>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</si>
  <si>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</si>
  <si>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</si>
  <si>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</si>
  <si>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</si>
  <si>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</si>
  <si>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</si>
  <si>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</si>
  <si>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</si>
  <si>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</si>
  <si>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</si>
  <si>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</si>
  <si>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</si>
  <si>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</si>
  <si>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</si>
  <si>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</si>
  <si>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</si>
  <si>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</si>
  <si>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</si>
  <si>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</si>
  <si>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</si>
  <si>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</si>
  <si>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</si>
  <si>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</si>
  <si>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</si>
  <si>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</si>
  <si>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</si>
  <si>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</si>
  <si>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</si>
  <si>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</si>
  <si>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</si>
  <si>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</si>
  <si>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</si>
  <si>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</si>
  <si>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</si>
  <si>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</si>
  <si>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</si>
  <si>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</si>
  <si>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</si>
  <si>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</si>
  <si>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</si>
  <si>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</si>
  <si>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</si>
  <si>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</si>
  <si>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</si>
  <si>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</si>
  <si>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</si>
  <si>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</si>
  <si>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</si>
  <si>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</si>
  <si>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</si>
  <si>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</si>
  <si>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</si>
  <si>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</si>
  <si>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</si>
  <si>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</si>
  <si>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</si>
  <si>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</si>
  <si>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</si>
  <si>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</si>
  <si>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</si>
  <si>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</si>
  <si>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</si>
  <si>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</si>
  <si>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</si>
  <si>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</si>
  <si>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</si>
  <si>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</si>
  <si>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</si>
  <si>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</si>
  <si>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</si>
  <si>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</si>
  <si>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</si>
  <si>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</si>
  <si>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</si>
  <si>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</si>
  <si>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</si>
  <si>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</si>
  <si>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</si>
  <si>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</si>
  <si>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</si>
  <si>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</si>
  <si>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</si>
  <si>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</si>
  <si>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</si>
  <si>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</si>
  <si>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</si>
  <si>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</si>
  <si>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</si>
  <si>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</si>
  <si>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</si>
  <si>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</si>
  <si>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</si>
  <si>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</si>
  <si>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</si>
  <si>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</si>
  <si>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</si>
  <si>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</si>
  <si>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</si>
  <si>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</si>
  <si>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</si>
  <si>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</si>
  <si>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</si>
  <si>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</si>
  <si>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</si>
  <si>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</si>
  <si>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</si>
  <si>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</si>
  <si>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</si>
  <si>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</si>
  <si>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</si>
  <si>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</si>
  <si>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</si>
  <si>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</si>
  <si>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</si>
  <si>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</si>
  <si>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</si>
  <si>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</si>
  <si>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</si>
  <si>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</si>
  <si>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</si>
  <si>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</si>
  <si>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</si>
  <si>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</si>
  <si>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</si>
  <si>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</si>
  <si>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</si>
  <si>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</si>
  <si>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</si>
  <si>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</si>
  <si>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</si>
  <si>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</si>
  <si>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</si>
  <si>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</si>
  <si>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</si>
  <si>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</si>
  <si>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</si>
  <si>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</si>
  <si>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</si>
  <si>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</si>
  <si>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</si>
  <si>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</si>
  <si>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</si>
  <si>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</si>
  <si>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</si>
  <si>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</si>
  <si>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</si>
  <si>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</si>
  <si>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</si>
  <si>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</si>
  <si>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</si>
  <si>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</si>
  <si>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</si>
  <si>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</si>
  <si>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</si>
  <si>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</si>
  <si>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</si>
  <si>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</si>
  <si>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</si>
  <si>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</si>
  <si>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</si>
  <si>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</si>
  <si>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</si>
  <si>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</si>
  <si>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</si>
  <si>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</si>
  <si>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</si>
  <si>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</si>
  <si>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</si>
  <si>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</si>
  <si>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</si>
  <si>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</si>
  <si>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</si>
  <si>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</si>
  <si>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</si>
  <si>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</si>
  <si>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</si>
  <si>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</si>
  <si>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</si>
  <si>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</si>
  <si>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</si>
  <si>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</si>
  <si>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</si>
  <si>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</si>
  <si>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</si>
  <si>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</si>
  <si>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</si>
  <si>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</si>
  <si>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</si>
  <si>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</si>
  <si>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</si>
  <si>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</si>
  <si>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</si>
  <si>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</si>
  <si>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</si>
  <si>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</si>
  <si>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</si>
  <si>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</si>
  <si>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</si>
  <si>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</si>
  <si>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</si>
  <si>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</si>
  <si>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</si>
  <si>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</si>
  <si>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</si>
  <si>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</si>
  <si>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</si>
  <si>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</si>
  <si>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</si>
  <si>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</si>
  <si>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</si>
  <si>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</si>
  <si>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</si>
  <si>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</si>
  <si>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</si>
  <si>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</si>
  <si>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</si>
  <si>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</si>
  <si>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</si>
  <si>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</si>
  <si>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</si>
  <si>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</si>
  <si>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</si>
  <si>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</si>
  <si>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</si>
  <si>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</si>
  <si>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</si>
  <si>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</si>
  <si>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</si>
  <si>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</si>
  <si>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</si>
  <si>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</si>
  <si>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</si>
  <si>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</si>
  <si>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</si>
  <si>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</si>
  <si>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</si>
  <si>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</si>
  <si>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</si>
  <si>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</si>
  <si>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</si>
  <si>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</si>
  <si>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</si>
  <si>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</si>
  <si>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</si>
  <si>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</si>
  <si>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</si>
  <si>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</si>
  <si>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</si>
  <si>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</si>
  <si>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</si>
  <si>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</si>
  <si>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</si>
  <si>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</si>
  <si>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</si>
  <si>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</si>
  <si>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</si>
  <si>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</si>
  <si>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</si>
  <si>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</si>
  <si>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</si>
  <si>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</si>
  <si>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</si>
  <si>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</si>
  <si>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</si>
  <si>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</si>
  <si>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</si>
  <si>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</si>
  <si>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</si>
  <si>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</si>
  <si>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</si>
  <si>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</si>
  <si>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</si>
  <si>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</si>
  <si>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</si>
  <si>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</si>
  <si>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</si>
  <si>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</si>
  <si>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</si>
  <si>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</si>
  <si>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</si>
  <si>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</si>
  <si>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</si>
  <si>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</si>
  <si>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</si>
  <si>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</si>
  <si>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</si>
  <si>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</si>
  <si>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</si>
  <si>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</si>
  <si>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</si>
  <si>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</si>
  <si>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</si>
  <si>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</si>
  <si>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</si>
  <si>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</si>
  <si>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</si>
  <si>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</si>
  <si>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</si>
  <si>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</si>
  <si>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</si>
  <si>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</si>
  <si>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</si>
  <si>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</si>
  <si>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</si>
  <si>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</si>
  <si>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</si>
  <si>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</si>
  <si>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</si>
  <si>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</si>
  <si>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</si>
  <si>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</si>
  <si>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</si>
  <si>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</si>
  <si>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</si>
  <si>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</si>
  <si>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</si>
  <si>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</si>
  <si>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</si>
  <si>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</si>
  <si>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</si>
  <si>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</si>
  <si>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</si>
  <si>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</si>
  <si>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</si>
  <si>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</si>
  <si>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</si>
  <si>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</si>
  <si>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</si>
  <si>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</si>
  <si>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</si>
  <si>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</si>
  <si>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</si>
  <si>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</si>
  <si>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</si>
  <si>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</si>
  <si>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</si>
  <si>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</si>
  <si>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</si>
  <si>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</si>
  <si>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</si>
  <si>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</si>
  <si>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</si>
  <si>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</si>
  <si>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</si>
  <si>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</si>
  <si>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</si>
  <si>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</si>
  <si>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</si>
  <si>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</si>
  <si>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</si>
  <si>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</si>
  <si>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</si>
  <si>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</si>
  <si>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</si>
  <si>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</si>
  <si>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</si>
  <si>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</si>
  <si>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</si>
  <si>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</si>
  <si>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</si>
  <si>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</si>
  <si>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</si>
  <si>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</si>
  <si>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</si>
  <si>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</si>
  <si>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</si>
  <si>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</si>
  <si>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</si>
  <si>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</si>
  <si>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</si>
  <si>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</si>
  <si>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</si>
  <si>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</si>
  <si>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</si>
  <si>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</si>
  <si>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</si>
  <si>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</si>
  <si>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</si>
  <si>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</si>
  <si>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</si>
  <si>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</si>
  <si>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</si>
  <si>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</si>
  <si>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</si>
  <si>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</si>
  <si>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</si>
  <si>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</si>
  <si>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</si>
  <si>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</si>
  <si>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</si>
  <si>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</si>
  <si>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</si>
  <si>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</si>
  <si>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</si>
  <si>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</si>
  <si>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</si>
  <si>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</si>
  <si>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</si>
  <si>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</si>
  <si>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</si>
  <si>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</si>
  <si>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</si>
  <si>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</si>
  <si>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</si>
  <si>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</si>
  <si>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</si>
  <si>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</si>
  <si>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</si>
  <si>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</si>
  <si>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</si>
  <si>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</si>
  <si>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</si>
  <si>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</si>
  <si>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</si>
  <si>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</si>
  <si>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</si>
  <si>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</si>
  <si>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</si>
  <si>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</si>
  <si>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</si>
  <si>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</si>
  <si>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</si>
  <si>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</si>
  <si>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</si>
  <si>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</si>
  <si>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</si>
  <si>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</si>
  <si>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</si>
  <si>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</si>
  <si>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</si>
  <si>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</si>
  <si>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</si>
  <si>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</si>
  <si>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</si>
  <si>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</si>
  <si>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</si>
  <si>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</si>
  <si>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</si>
  <si>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</si>
  <si>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</si>
  <si>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</si>
  <si>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</si>
  <si>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</si>
  <si>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</si>
  <si>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</si>
  <si>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</si>
  <si>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</si>
  <si>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</si>
  <si>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</si>
  <si>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</si>
  <si>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</si>
  <si>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</si>
  <si>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</si>
  <si>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</si>
  <si>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</si>
  <si>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</si>
  <si>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</si>
  <si>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</si>
  <si>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</si>
  <si>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</si>
  <si>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</si>
  <si>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</si>
  <si>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</si>
  <si>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</si>
  <si>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</si>
  <si>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</si>
  <si>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</si>
  <si>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</si>
  <si>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</si>
  <si>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</si>
  <si>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</si>
  <si>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</si>
  <si>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</si>
  <si>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</si>
  <si>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</si>
  <si>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</si>
  <si>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</si>
  <si>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</si>
  <si>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</si>
  <si>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</si>
  <si>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</si>
  <si>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</si>
  <si>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</si>
  <si>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</si>
  <si>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</si>
  <si>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</si>
  <si>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</si>
  <si>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</si>
  <si>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</si>
  <si>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</si>
  <si>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</si>
  <si>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</si>
  <si>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</si>
  <si>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</si>
  <si>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</si>
  <si>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</si>
  <si>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</si>
  <si>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</si>
  <si>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</si>
  <si>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</si>
  <si>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</si>
  <si>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</si>
  <si>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</si>
  <si>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</si>
  <si>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</si>
  <si>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</si>
  <si>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</si>
  <si>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</si>
  <si>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</si>
  <si>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</si>
  <si>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</si>
  <si>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</si>
  <si>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</si>
  <si>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</si>
  <si>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</si>
  <si>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</si>
  <si>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</si>
  <si>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</si>
  <si>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</si>
  <si>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</si>
  <si>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</si>
  <si>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</si>
  <si>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</si>
  <si>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</si>
  <si>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</si>
  <si>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</si>
  <si>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</si>
  <si>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</si>
  <si>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</si>
  <si>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</si>
  <si>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</si>
  <si>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</si>
  <si>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</si>
  <si>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</si>
  <si>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</si>
  <si>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</si>
  <si>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</si>
  <si>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</si>
  <si>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</si>
  <si>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</si>
  <si>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</si>
  <si>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</si>
  <si>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</si>
  <si>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</si>
  <si>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</si>
  <si>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</si>
  <si>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</si>
  <si>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</si>
  <si>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</si>
  <si>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</si>
  <si>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</si>
  <si>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</si>
  <si>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</si>
  <si>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</si>
  <si>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</si>
  <si>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</si>
  <si>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</si>
  <si>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</si>
  <si>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</si>
  <si>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</si>
  <si>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</si>
  <si>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</si>
  <si>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</si>
  <si>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</si>
  <si>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</si>
  <si>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</si>
  <si>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</si>
  <si>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</si>
  <si>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</si>
  <si>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</si>
  <si>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</si>
  <si>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</si>
  <si>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</si>
  <si>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</si>
  <si>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</si>
  <si>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</si>
  <si>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</si>
  <si>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</si>
  <si>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</si>
  <si>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</si>
  <si>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</si>
  <si>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</si>
  <si>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</si>
  <si>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</si>
  <si>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</si>
  <si>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</si>
  <si>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</si>
  <si>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</si>
  <si>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</si>
  <si>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</si>
  <si>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</si>
  <si>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</si>
  <si>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</si>
  <si>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</si>
  <si>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</si>
  <si>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</si>
  <si>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</si>
  <si>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</si>
  <si>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</si>
  <si>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</si>
  <si>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</si>
  <si>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</si>
  <si>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</si>
  <si>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</si>
  <si>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</si>
  <si>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</si>
  <si>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</si>
  <si>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</si>
  <si>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</si>
  <si>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</si>
  <si>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</si>
  <si>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</si>
  <si>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</si>
  <si>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</si>
  <si>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</si>
  <si>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</si>
  <si>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</si>
  <si>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</si>
  <si>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</si>
  <si>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</si>
  <si>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</si>
  <si>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</si>
  <si>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</si>
  <si>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</si>
  <si>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</si>
  <si>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</si>
  <si>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</si>
  <si>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</si>
  <si>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</si>
  <si>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</si>
  <si>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</si>
  <si>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</si>
  <si>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</si>
  <si>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</si>
  <si>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</si>
  <si>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</si>
  <si>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</si>
  <si>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</si>
  <si>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</si>
  <si>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</si>
  <si>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</si>
  <si>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</si>
  <si>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</si>
  <si>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</si>
  <si>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</si>
  <si>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</si>
  <si>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</si>
  <si>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</si>
  <si>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</si>
  <si>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</si>
  <si>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</si>
  <si>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</si>
  <si>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</si>
  <si>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</si>
  <si>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</si>
  <si>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</si>
  <si>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</si>
  <si>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</si>
  <si>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</si>
  <si>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</si>
  <si>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</si>
  <si>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</si>
  <si>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</si>
  <si>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</si>
  <si>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</si>
  <si>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</si>
  <si>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</si>
  <si>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</si>
  <si>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</si>
  <si>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</si>
  <si>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</si>
  <si>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</si>
  <si>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</si>
  <si>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</si>
  <si>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</si>
  <si>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</si>
  <si>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</si>
  <si>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</si>
  <si>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</si>
  <si>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</si>
  <si>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</si>
  <si>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</si>
  <si>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</si>
  <si>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</si>
  <si>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</si>
  <si>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</si>
  <si>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</si>
  <si>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</si>
  <si>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</si>
  <si>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</si>
  <si>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</si>
  <si>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</si>
  <si>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</si>
  <si>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</si>
  <si>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</si>
  <si>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</si>
  <si>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</si>
  <si>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</si>
  <si>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</si>
  <si>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</si>
  <si>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</si>
  <si>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</si>
  <si>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</si>
  <si>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</si>
  <si>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</si>
  <si>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</si>
  <si>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</si>
  <si>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</si>
  <si>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</si>
  <si>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</si>
  <si>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</si>
  <si>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</si>
  <si>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</si>
  <si>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</si>
  <si>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</si>
  <si>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</si>
  <si>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</si>
  <si>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</si>
  <si>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</si>
  <si>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</si>
  <si>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</si>
  <si>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</si>
  <si>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</si>
  <si>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</si>
  <si>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</si>
  <si>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</si>
  <si>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</si>
  <si>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</si>
  <si>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</si>
  <si>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</si>
  <si>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</si>
  <si>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</si>
  <si>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</si>
  <si>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</si>
  <si>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</si>
  <si>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</si>
  <si>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</si>
  <si>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</si>
  <si>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</si>
  <si>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</si>
  <si>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</si>
  <si>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</si>
  <si>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</si>
  <si>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</si>
  <si>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</si>
  <si>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</si>
  <si>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</si>
  <si>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</si>
  <si>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</si>
  <si>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</si>
  <si>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</si>
  <si>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</si>
  <si>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</si>
  <si>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</si>
  <si>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</si>
  <si>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</si>
  <si>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</si>
  <si>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</si>
  <si>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</si>
  <si>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</si>
  <si>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</si>
  <si>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</si>
  <si>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</si>
  <si>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</si>
  <si>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</si>
  <si>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</si>
  <si>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</si>
  <si>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</si>
  <si>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</si>
  <si>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</si>
  <si>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</si>
  <si>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</si>
  <si>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</si>
  <si>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</si>
  <si>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</si>
  <si>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</si>
  <si>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</si>
  <si>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</si>
  <si>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</si>
  <si>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</si>
  <si>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</si>
  <si>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</si>
  <si>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</si>
  <si>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</si>
  <si>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</si>
  <si>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</si>
  <si>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</si>
  <si>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</si>
  <si>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</si>
  <si>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</si>
  <si>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</si>
  <si>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</si>
  <si>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</si>
  <si>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</si>
  <si>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</si>
  <si>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</si>
  <si>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</si>
  <si>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</si>
  <si>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</si>
  <si>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</si>
  <si>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</si>
  <si>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</si>
  <si>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</si>
  <si>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</si>
  <si>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</si>
  <si>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</si>
  <si>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</si>
  <si>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</si>
  <si>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</si>
  <si>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</si>
  <si>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</si>
  <si>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</si>
  <si>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</si>
  <si>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</si>
  <si>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</si>
  <si>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</si>
  <si>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</si>
  <si>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</si>
  <si>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</si>
  <si>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</si>
  <si>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</si>
  <si>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</si>
  <si>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</si>
  <si>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</si>
  <si>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</si>
  <si>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</si>
  <si>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</si>
  <si>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</si>
  <si>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</si>
  <si>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</si>
  <si>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</si>
  <si>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</si>
  <si>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</si>
  <si>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</si>
  <si>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</si>
  <si>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</si>
  <si>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</si>
  <si>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</si>
  <si>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</si>
  <si>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</si>
  <si>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</si>
  <si>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</si>
  <si>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</si>
  <si>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</si>
  <si>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</si>
  <si>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</si>
  <si>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</si>
  <si>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</si>
  <si>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</si>
  <si>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</si>
  <si>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</si>
  <si>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</si>
  <si>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</si>
  <si>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</si>
  <si>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</si>
  <si>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</si>
  <si>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</si>
  <si>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</si>
  <si>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</si>
  <si>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</si>
  <si>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</si>
  <si>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</si>
  <si>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</si>
  <si>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</si>
  <si>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</si>
  <si>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</si>
  <si>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</si>
  <si>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</si>
  <si>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</si>
  <si>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</si>
  <si>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</si>
  <si>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</si>
  <si>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</si>
  <si>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</si>
  <si>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</si>
  <si>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</si>
  <si>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</si>
  <si>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</si>
  <si>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</si>
  <si>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</si>
  <si>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</si>
  <si>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</si>
  <si>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</si>
  <si>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</si>
  <si>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</si>
  <si>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</si>
  <si>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</si>
  <si>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</si>
  <si>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</si>
  <si>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</si>
  <si>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</si>
  <si>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</si>
  <si>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</si>
  <si>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</si>
  <si>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</si>
  <si>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</si>
  <si>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</si>
  <si>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</si>
  <si>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</si>
  <si>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</si>
  <si>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</si>
  <si>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</si>
  <si>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</si>
  <si>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</si>
  <si>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</si>
  <si>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</si>
  <si>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</si>
  <si>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</si>
  <si>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</si>
  <si>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</si>
  <si>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</si>
  <si>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</si>
  <si>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</si>
  <si>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</si>
  <si>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</si>
  <si>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</si>
  <si>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</si>
  <si>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</si>
  <si>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</si>
  <si>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</si>
  <si>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</si>
  <si>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</si>
  <si>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</si>
  <si>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</si>
  <si>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</si>
  <si>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</si>
  <si>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</si>
  <si>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</si>
  <si>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</si>
  <si>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</si>
  <si>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</si>
  <si>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</si>
  <si>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</si>
  <si>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</si>
  <si>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</si>
  <si>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</si>
  <si>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</si>
  <si>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</si>
  <si>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</si>
  <si>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</si>
  <si>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</si>
  <si>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</si>
  <si>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</si>
  <si>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</si>
  <si>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</si>
  <si>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</si>
  <si>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</si>
  <si>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</si>
  <si>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</si>
  <si>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</si>
  <si>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</si>
  <si>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</si>
  <si>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</si>
  <si>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</si>
  <si>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</si>
  <si>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</si>
  <si>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</si>
  <si>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</si>
  <si>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</si>
  <si>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</si>
  <si>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</si>
  <si>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</si>
  <si>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</si>
  <si>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</si>
  <si>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</si>
  <si>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</si>
  <si>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</si>
  <si>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</si>
  <si>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</si>
  <si>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</si>
  <si>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</si>
  <si>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</si>
  <si>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</si>
  <si>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</si>
  <si>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</si>
  <si>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</si>
  <si>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</si>
  <si>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</si>
  <si>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</si>
  <si>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</si>
  <si>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</si>
  <si>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</si>
  <si>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</si>
  <si>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</si>
  <si>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</si>
  <si>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</si>
  <si>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</si>
  <si>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</si>
  <si>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</si>
  <si>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</si>
  <si>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</si>
  <si>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</si>
  <si>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</si>
  <si>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</si>
  <si>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</si>
  <si>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</si>
  <si>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</si>
  <si>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</si>
  <si>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</si>
  <si>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</si>
  <si>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</si>
  <si>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</si>
  <si>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</si>
  <si>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</si>
  <si>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</si>
  <si>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</si>
  <si>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</si>
  <si>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</si>
  <si>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</si>
  <si>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</si>
  <si>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</si>
  <si>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</si>
  <si>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</si>
  <si>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</si>
  <si>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</si>
  <si>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</si>
  <si>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</si>
  <si>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</si>
  <si>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</si>
  <si>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</si>
  <si>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</si>
  <si>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</si>
  <si>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</si>
  <si>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</si>
  <si>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</si>
  <si>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</si>
  <si>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</si>
  <si>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</si>
  <si>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</si>
  <si>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</si>
  <si>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</si>
  <si>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</si>
  <si>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</si>
  <si>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</si>
  <si>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</si>
  <si>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</si>
  <si>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</si>
  <si>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</si>
  <si>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</si>
  <si>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</si>
  <si>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</si>
  <si>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</si>
  <si>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</si>
  <si>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</si>
  <si>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</si>
  <si>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</si>
  <si>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</si>
  <si>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</si>
  <si>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</si>
  <si>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</si>
  <si>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</si>
  <si>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</si>
  <si>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</si>
  <si>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</si>
  <si>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</si>
  <si>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</si>
  <si>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</si>
  <si>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</si>
  <si>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</si>
  <si>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</si>
  <si>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</si>
  <si>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</si>
  <si>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</si>
  <si>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</si>
  <si>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</si>
  <si>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</si>
  <si>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</si>
  <si>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</si>
  <si>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工行翠微路</t>
    <phoneticPr fontId="6" type="noConversion"/>
  </si>
  <si>
    <t>北京巴瑞医疗器械有限公司</t>
    <phoneticPr fontId="6" type="noConversion"/>
  </si>
  <si>
    <t>北京市</t>
  </si>
  <si>
    <t>企业</t>
  </si>
  <si>
    <t>抵押</t>
  </si>
  <si>
    <t>房地产抵押价值</t>
  </si>
  <si>
    <t>通路</t>
  </si>
  <si>
    <t>在建</t>
  </si>
  <si>
    <t>通电</t>
  </si>
  <si>
    <t>通讯</t>
  </si>
  <si>
    <t>通上水</t>
  </si>
  <si>
    <t>通下水</t>
  </si>
  <si>
    <t>通热</t>
  </si>
  <si>
    <t>燃气</t>
  </si>
  <si>
    <t>Ⅷ-生物医药基地</t>
  </si>
  <si>
    <r>
      <t>1#</t>
    </r>
    <r>
      <rPr>
        <sz val="10"/>
        <color indexed="8"/>
        <rFont val="宋体"/>
        <family val="3"/>
        <charset val="134"/>
      </rPr>
      <t>厂房</t>
    </r>
    <phoneticPr fontId="3" type="noConversion"/>
  </si>
  <si>
    <t>是</t>
  </si>
  <si>
    <t>地上</t>
  </si>
  <si>
    <t>标准厂房</t>
  </si>
  <si>
    <t>办公楼</t>
  </si>
  <si>
    <r>
      <t>2#</t>
    </r>
    <r>
      <rPr>
        <sz val="10"/>
        <color indexed="8"/>
        <rFont val="宋体"/>
        <family val="3"/>
        <charset val="134"/>
      </rPr>
      <t>厂房</t>
    </r>
    <phoneticPr fontId="3" type="noConversion"/>
  </si>
  <si>
    <r>
      <t>3#</t>
    </r>
    <r>
      <rPr>
        <sz val="10"/>
        <color indexed="8"/>
        <rFont val="宋体"/>
        <family val="3"/>
        <charset val="134"/>
      </rPr>
      <t>厂房</t>
    </r>
    <phoneticPr fontId="3" type="noConversion"/>
  </si>
  <si>
    <t>戊类库房</t>
  </si>
  <si>
    <t>门卫</t>
    <phoneticPr fontId="3" type="noConversion"/>
  </si>
  <si>
    <t>地下车库</t>
  </si>
  <si>
    <t>地下车库</t>
    <phoneticPr fontId="3" type="noConversion"/>
  </si>
  <si>
    <t>地下</t>
  </si>
  <si>
    <t>工业</t>
    <phoneticPr fontId="7" type="noConversion"/>
  </si>
  <si>
    <t>地下车库</t>
    <phoneticPr fontId="7" type="noConversion"/>
  </si>
  <si>
    <t>利息：取LPR加浮动点数</t>
  </si>
  <si>
    <t>工程进度</t>
  </si>
  <si>
    <t>研发</t>
    <phoneticPr fontId="3" type="noConversion"/>
  </si>
  <si>
    <t>办公</t>
    <phoneticPr fontId="3" type="noConversion"/>
  </si>
  <si>
    <t>仓储</t>
    <phoneticPr fontId="3" type="noConversion"/>
  </si>
  <si>
    <t>收益法</t>
  </si>
  <si>
    <t>押一</t>
  </si>
  <si>
    <t>在建（套用方法）</t>
  </si>
  <si>
    <t>钢</t>
  </si>
  <si>
    <t>非生产用房</t>
  </si>
  <si>
    <t>否</t>
  </si>
  <si>
    <t>未包含在土地购买价格中</t>
  </si>
  <si>
    <t>全部缴纳</t>
  </si>
  <si>
    <t>已包含在土地取得成本中</t>
  </si>
  <si>
    <t>宗地容积率</t>
  </si>
  <si>
    <t>与级别开发程度不一致</t>
  </si>
  <si>
    <t>平整</t>
  </si>
  <si>
    <t>较好</t>
  </si>
  <si>
    <t>一般</t>
  </si>
  <si>
    <t>好</t>
  </si>
  <si>
    <t>项目全部</t>
  </si>
  <si>
    <t>成本法</t>
  </si>
  <si>
    <t>假设开发法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</si>
  <si>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</si>
  <si>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</si>
  <si>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</si>
  <si>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</si>
  <si>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</si>
  <si>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</si>
  <si>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</si>
  <si>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</si>
  <si>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</si>
  <si>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</si>
  <si>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</si>
  <si>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</si>
  <si>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</si>
  <si>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</si>
  <si>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</si>
  <si>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</si>
  <si>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大兴生物医药产业基地DX00-0501-0051-2地块M1工业用地国有建设用地使用权出让公告</t>
  </si>
  <si>
    <t>京规自挂(兴)工业[2022]002号</t>
  </si>
  <si>
    <t xml:space="preserve"> 大兴区  </t>
  </si>
  <si>
    <t xml:space="preserve"> 已成交  </t>
  </si>
  <si>
    <t xml:space="preserve"> ≥1.0,≤1.0  </t>
  </si>
  <si>
    <t xml:space="preserve"> 工业用地  </t>
  </si>
  <si>
    <t>2022-06-30</t>
  </si>
  <si>
    <t xml:space="preserve"> 北京华洋奎龙药业有限公司  </t>
  </si>
  <si>
    <t>大兴生物医药产业基地DX00-0501-0057地块M1一类工业用地国有建设用地使用权出让挂牌文件</t>
  </si>
  <si>
    <t>大兴生物医药产业基地DX00-0501-0057地块</t>
  </si>
  <si>
    <t xml:space="preserve"> ≤1.5  </t>
  </si>
  <si>
    <t xml:space="preserve"> 工业  </t>
  </si>
  <si>
    <t>2021-10-11</t>
  </si>
  <si>
    <t xml:space="preserve"> 北京谊安和瑞技术有限公司  </t>
  </si>
  <si>
    <t>大兴生物医药产业基地DX00-0502-0045地块M1一类工业用地国有建设用地使用权出让挂牌文件</t>
  </si>
  <si>
    <t>大兴生物医药产业基地DX00-0502-0045地块</t>
  </si>
  <si>
    <t xml:space="preserve"> ≤0.8  </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</si>
  <si>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</si>
  <si>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</si>
  <si>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</si>
  <si>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</si>
  <si>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</si>
  <si>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</si>
  <si>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大兴生物医药产业基地DX00-0502-0029地块M1一类工业用地</t>
  </si>
  <si>
    <t>京土整储挂(兴)工业[2021]003号</t>
  </si>
  <si>
    <t>2021-08-25</t>
  </si>
  <si>
    <t xml:space="preserve"> 北京药康生物科技有限公司  </t>
  </si>
  <si>
    <t>大兴生物医药产业基地DX00-0502-6004-3地块M1一类工业用地国有建设用地使用权出让</t>
  </si>
  <si>
    <t>京土整储挂(兴)工业[2020]004号</t>
  </si>
  <si>
    <t xml:space="preserve"> ≤2.0  </t>
  </si>
  <si>
    <t xml:space="preserve"> M1一类工业用地  </t>
  </si>
  <si>
    <t>2020-11-04</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</si>
  <si>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</si>
  <si>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</si>
  <si>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</si>
  <si>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</si>
  <si>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大兴生物医药产业基地DX00-0502-6004-1地块M1工业项目用地</t>
  </si>
  <si>
    <t>京土整储挂(兴)工业[2020]003号</t>
  </si>
  <si>
    <t xml:space="preserve"> 一类工业用地(M1)  </t>
  </si>
  <si>
    <t>2020-07-29</t>
  </si>
  <si>
    <t xml:space="preserve"> 北京三元基因药业股份有限公司  </t>
  </si>
  <si>
    <t>大兴生物医药产业基地DX00-0502-6004-2地块工业用地国有建设用地使用权出让</t>
  </si>
  <si>
    <t>京土整储挂(兴)工业【2020】002号</t>
  </si>
  <si>
    <t>2020-05-21</t>
  </si>
  <si>
    <t xml:space="preserve"> 北京赛诺希德医疗科技有限公司  </t>
  </si>
  <si>
    <t>大兴生物医药产业基地DX00-0502-6014-3地块工业用地</t>
  </si>
  <si>
    <t>京土整储挂(兴)工业[2020]001号</t>
  </si>
  <si>
    <t xml:space="preserve"> 工业厂房  </t>
  </si>
  <si>
    <t>2020-04-06</t>
  </si>
  <si>
    <t xml:space="preserve"> 北京本草方源药业集团有限公司  </t>
  </si>
  <si>
    <t>大兴生物医药产业基地项目DX00-0502-6009地块工业用地</t>
  </si>
  <si>
    <t>京土整储挂(兴)工业[2019]002号</t>
  </si>
  <si>
    <t>2019-12-22</t>
  </si>
  <si>
    <t xml:space="preserve"> 北京费森尤斯卡比医药有限公司  </t>
  </si>
  <si>
    <t>大兴生物医药产业基地0501-023地块工业用地国有建设用地</t>
  </si>
  <si>
    <t>京土整储挂(兴)工业[2018]003号</t>
  </si>
  <si>
    <t>2019-01-17</t>
  </si>
  <si>
    <t xml:space="preserve"> 中关村医疗器械园有限公司  </t>
  </si>
  <si>
    <t>大兴生物医药产业基地0503-039、040、043、044地块工业用地</t>
  </si>
  <si>
    <t>京土整储挂(兴)工业[2018]004号</t>
  </si>
  <si>
    <t xml:space="preserve"> 北京民海生物科技有限公司  </t>
  </si>
  <si>
    <t>大兴生物医药产业基地0503-011-1、014-1、016-1地块工业用地国有建设用地使用权出让</t>
  </si>
  <si>
    <t>京土整储挂(兴)工业[2018]002号</t>
  </si>
  <si>
    <t>2018-12-29</t>
  </si>
  <si>
    <t>七通</t>
  </si>
  <si>
    <t>楼面地价</t>
  </si>
  <si>
    <t>工业</t>
    <phoneticPr fontId="32" type="noConversion"/>
  </si>
  <si>
    <t>较规则</t>
  </si>
  <si>
    <t>较规则</t>
    <phoneticPr fontId="32" type="noConversion"/>
  </si>
  <si>
    <t>七通</t>
    <phoneticPr fontId="32" type="noConversion"/>
  </si>
  <si>
    <t>六通</t>
    <phoneticPr fontId="32" type="noConversion"/>
  </si>
  <si>
    <t>五通</t>
    <phoneticPr fontId="32" type="noConversion"/>
  </si>
  <si>
    <t>四通</t>
  </si>
  <si>
    <t>四通</t>
    <phoneticPr fontId="32" type="noConversion"/>
  </si>
  <si>
    <t>较好</t>
    <phoneticPr fontId="32"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</si>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</sst>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16" borderId="0" xfId="0" applyNumberFormat="1" applyFill="1" applyAlignment="1"/>
    <xf numFmtId="14" fontId="0" fillId="16" borderId="0" xfId="0" applyNumberFormat="1" applyFill="1" applyAlignment="1"/>
    <xf numFmtId="0" fontId="0" fillId="5" borderId="0" xfId="0" applyNumberFormat="1" applyFill="1" applyAlignment="1"/>
    <xf numFmtId="14" fontId="0" fillId="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北京市出让国有建设用地使用权及在建建筑物房地产抵押价值预评估</v>
      </c>
    </row>
    <row r="3" spans="1:2" s="1203" customFormat="1">
      <c r="A3" s="1201" t="s">
        <v>523</v>
      </c>
      <c r="B3" s="1202" t="str">
        <f>'预评函-封皮'!B40</f>
        <v>工行翠微路</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北京巴瑞医疗器械有限公司所有。根据《国有土地使用证》[]，估价对象（分摊）出让国有建设用地使用权面积为23254.45平方米，建筑面积为34689.1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为北京巴瑞医疗器械有限公司开发建设的，该项目尚在开发建设中。根据《国有土地使用证》[]，估价对象（分摊）出让国有建设用地使用权面积为23254.45平方米，规划建筑面积为34689.1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2023年4月28日（评估专业人员实地查勘之日）</v>
      </c>
    </row>
    <row r="13" spans="1:2" s="1203" customFormat="1">
      <c r="A13" s="1201" t="s">
        <v>529</v>
      </c>
      <c r="B13" s="1202" t="str">
        <f>'预评函-1'!A18</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13149</v>
      </c>
    </row>
    <row r="21" spans="1:2" s="1203" customFormat="1">
      <c r="A21" s="1201" t="s">
        <v>537</v>
      </c>
      <c r="B21" s="1202">
        <f ca="1">'预评函-2'!D7</f>
        <v>3791</v>
      </c>
    </row>
    <row r="22" spans="1:2" s="1203" customFormat="1">
      <c r="A22" s="1201" t="s">
        <v>538</v>
      </c>
      <c r="B22" s="1202" t="str">
        <f ca="1">'预评函-2'!D6</f>
        <v>壹亿叁仟壹佰肆拾玖万元整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13149</v>
      </c>
    </row>
    <row r="31" spans="1:2" s="1203" customFormat="1">
      <c r="A31" s="1201" t="s">
        <v>576</v>
      </c>
      <c r="B31" s="1202">
        <f ca="1">'预评函-2'!D15</f>
        <v>3791</v>
      </c>
    </row>
    <row r="32" spans="1:2" s="1203" customFormat="1">
      <c r="A32" s="1201" t="s">
        <v>543</v>
      </c>
      <c r="B32" s="1202" t="str">
        <f ca="1">'预评函-2'!D14</f>
        <v>壹亿叁仟壹佰肆拾玖万元整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34689.100000000006</v>
      </c>
    </row>
    <row r="44" spans="1:2" s="1203" customFormat="1">
      <c r="A44" s="1201" t="s">
        <v>575</v>
      </c>
      <c r="B44" s="1202" t="str">
        <f>'预评函-3'!C2</f>
        <v>(分摊)土地面积</v>
      </c>
    </row>
    <row r="45" spans="1:2" s="1203" customFormat="1">
      <c r="A45" s="1201" t="s">
        <v>547</v>
      </c>
      <c r="B45" s="1202">
        <f>'预评函-3'!C4</f>
        <v>23254.45</v>
      </c>
    </row>
    <row r="46" spans="1:2" s="1203" customFormat="1">
      <c r="A46" s="1201" t="s">
        <v>573</v>
      </c>
      <c r="B46" s="1202" t="str">
        <f>'预评函-3'!D2</f>
        <v>出让国有建设用地使用权价值</v>
      </c>
    </row>
    <row r="47" spans="1:2" s="1203" customFormat="1">
      <c r="A47" s="1201" t="s">
        <v>548</v>
      </c>
      <c r="B47" s="1202">
        <f ca="1">'预评函-3'!D4</f>
        <v>3603</v>
      </c>
    </row>
    <row r="48" spans="1:2" s="1203" customFormat="1">
      <c r="A48" s="1201" t="s">
        <v>549</v>
      </c>
      <c r="B48" s="1202">
        <f ca="1">'预评函-3'!E4</f>
        <v>1039</v>
      </c>
    </row>
    <row r="49" spans="1:2" s="1203" customFormat="1">
      <c r="A49" s="1201" t="s">
        <v>550</v>
      </c>
      <c r="B49" s="1202" t="str">
        <f ca="1">'预评函-3'!D5</f>
        <v>叁仟陆佰零叁万元整</v>
      </c>
    </row>
    <row r="50" spans="1:2" s="1203" customFormat="1">
      <c r="A50" s="1201" t="s">
        <v>574</v>
      </c>
      <c r="B50" s="1202" t="str">
        <f>'预评函-3'!F2</f>
        <v>在建建筑物价值</v>
      </c>
    </row>
    <row r="51" spans="1:2" s="1203" customFormat="1">
      <c r="A51" s="1201" t="s">
        <v>551</v>
      </c>
      <c r="B51" s="1202">
        <f ca="1">'预评函-3'!F4</f>
        <v>9546</v>
      </c>
    </row>
    <row r="52" spans="1:2" s="1203" customFormat="1">
      <c r="A52" s="1201" t="s">
        <v>552</v>
      </c>
      <c r="B52" s="1202">
        <f ca="1">'预评函-3'!G4</f>
        <v>2752</v>
      </c>
    </row>
    <row r="53" spans="1:2" s="1203" customFormat="1">
      <c r="A53" s="1201" t="s">
        <v>580</v>
      </c>
      <c r="B53" s="1202" t="str">
        <f ca="1">'预评函-3'!F5</f>
        <v>玖仟伍佰肆拾陆万元整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为估价委托人在向工行翠微路办理贷款手续过程中，确定房地产抵押贷款额度提供参考依据而评估房地产抵押价值。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45044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3.64</v>
      </c>
      <c r="D5" s="3023">
        <f>IF(ISERROR(ROUND(POWER(1+E5,A5-C5)*(POWER(1+E5,C5)-1)/(POWER(1+E5,A5)-1),3)),0,ROUND(POWER(1+E5,A5-C5)*(POWER(1+E5,C5)-1)/(POWER(1+E5,A5)-1),4))</f>
        <v>0.16800000000000001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13.65</v>
      </c>
      <c r="D6" s="3023">
        <f>IF(ISERROR(ROUND(POWER(1+E6,A6-C6)*(POWER(1+E6,C6)-1)/(POWER(1+E6,A6)-1),3)),0,ROUND(POWER(1+E6,A6-C6)*(POWER(1+E6,C6)-1)/(POWER(1+E6,A6)-1),4))</f>
        <v>0.4824</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33.659999999999997</v>
      </c>
      <c r="D7" s="3023">
        <f>IF(ISERROR(ROUND(POWER(1+E7,A7-C7)*(POWER(1+E7,C7)-1)/(POWER(1+E7,A7)-1),3)),0,ROUND(POWER(1+E7,A7-C7)*(POWER(1+E7,C7)-1)/(POWER(1+E7,A7)-1),4))</f>
        <v>0.78320000000000001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12"/>
      <c r="D1" s="3512"/>
      <c r="E1" s="3512"/>
      <c r="F1" s="3512"/>
      <c r="G1" s="3512"/>
      <c r="H1" s="3512"/>
      <c r="I1" s="351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2168</v>
      </c>
      <c r="B3" s="2373">
        <v>45044</v>
      </c>
      <c r="C3" s="2374" t="s">
        <v>2169</v>
      </c>
      <c r="D3" s="2373">
        <f>B3</f>
        <v>45044</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3376</v>
      </c>
      <c r="C4" s="2376">
        <f ca="1">SUMIF(注册房地产估价师,B4,估价师及机构信息!B3:B24)</f>
        <v>1120070131</v>
      </c>
      <c r="D4" s="2375" t="s">
        <v>3377</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3448" t="s">
        <v>3378</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2383" t="str">
        <f>B5</f>
        <v>工行翠微路</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2173</v>
      </c>
      <c r="B7" s="3449" t="s">
        <v>3379</v>
      </c>
      <c r="C7" s="2384"/>
      <c r="D7" s="2385"/>
      <c r="E7" s="2660"/>
      <c r="F7" s="2662"/>
      <c r="G7" s="2662"/>
      <c r="H7" s="2662"/>
      <c r="I7" s="2662"/>
      <c r="J7" s="2437"/>
      <c r="K7" s="2614"/>
      <c r="L7" s="2611"/>
      <c r="M7" s="2611"/>
      <c r="N7" s="2437"/>
      <c r="O7" s="2448"/>
      <c r="P7" s="2437"/>
      <c r="Q7" s="2437"/>
      <c r="R7" s="2437"/>
    </row>
    <row r="8" spans="1:30">
      <c r="A8" s="2386" t="s">
        <v>2174</v>
      </c>
      <c r="B8" s="2387" t="s">
        <v>3382</v>
      </c>
      <c r="C8" s="2388"/>
      <c r="D8" s="3514" t="s">
        <v>2175</v>
      </c>
      <c r="E8" s="2389" t="s">
        <v>3383</v>
      </c>
      <c r="F8" s="2390"/>
      <c r="G8" s="2661"/>
      <c r="H8" s="2661"/>
      <c r="I8" s="2661"/>
      <c r="J8" s="2437"/>
      <c r="K8" s="2612"/>
      <c r="L8" s="2611"/>
      <c r="M8" s="2611"/>
      <c r="N8" s="2437"/>
      <c r="O8" s="2448"/>
      <c r="P8" s="2437"/>
      <c r="Q8" s="2437"/>
      <c r="R8" s="2437"/>
    </row>
    <row r="9" spans="1:30" ht="13.5" thickBot="1">
      <c r="A9" s="2391" t="s">
        <v>2176</v>
      </c>
      <c r="B9" s="2392" t="s">
        <v>3383</v>
      </c>
      <c r="C9" s="2393"/>
      <c r="D9" s="3515"/>
      <c r="E9" s="2392" t="s">
        <v>43</v>
      </c>
      <c r="F9" s="2394"/>
      <c r="G9" s="2663"/>
      <c r="H9" s="2663"/>
      <c r="I9" s="2663"/>
      <c r="J9" s="2437"/>
      <c r="K9" s="2614"/>
      <c r="L9" s="2611"/>
      <c r="M9" s="2611"/>
      <c r="N9" s="2437"/>
      <c r="O9" s="2448"/>
      <c r="P9" s="2437"/>
      <c r="Q9" s="2437"/>
      <c r="R9" s="2437"/>
    </row>
    <row r="10" spans="1:30" ht="13.5" thickTop="1">
      <c r="A10" s="2395" t="s">
        <v>2177</v>
      </c>
      <c r="B10" s="2396" t="s">
        <v>3380</v>
      </c>
      <c r="C10" s="2397"/>
      <c r="D10" s="2381"/>
      <c r="E10" s="2398" t="s">
        <v>2178</v>
      </c>
      <c r="F10" s="2664"/>
      <c r="G10" s="2665"/>
      <c r="H10" s="2666"/>
      <c r="I10" s="2667"/>
      <c r="J10" s="2437"/>
      <c r="K10" s="2614"/>
      <c r="L10" s="2611"/>
      <c r="M10" s="2611"/>
      <c r="N10" s="2437"/>
      <c r="O10" s="2448"/>
      <c r="P10" s="2437"/>
      <c r="Q10" s="2437"/>
      <c r="R10" s="2437"/>
    </row>
    <row r="11" spans="1:30" ht="25.5">
      <c r="A11" s="2399" t="s">
        <v>2179</v>
      </c>
      <c r="B11" s="2400" t="s">
        <v>3381</v>
      </c>
      <c r="C11" s="2401" t="str">
        <f>B7</f>
        <v>北京巴瑞医疗器械有限公司</v>
      </c>
      <c r="D11" s="2402"/>
      <c r="E11" s="2370"/>
      <c r="F11" s="2370"/>
      <c r="G11" s="2370"/>
      <c r="H11" s="2370"/>
      <c r="I11" s="2370"/>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2577</v>
      </c>
      <c r="J12" s="3060"/>
      <c r="K12" s="2611"/>
      <c r="L12" s="2611"/>
      <c r="M12" s="2437"/>
      <c r="N12" s="2448"/>
      <c r="O12" s="2437"/>
      <c r="P12" s="2437"/>
      <c r="Q12" s="2437"/>
      <c r="AD12" s="1745"/>
    </row>
    <row r="13" spans="1:30">
      <c r="A13" s="3421" t="s">
        <v>3335</v>
      </c>
      <c r="B13" s="2405" t="s">
        <v>2188</v>
      </c>
      <c r="C13" s="856"/>
      <c r="D13" s="856"/>
      <c r="E13" s="856"/>
      <c r="F13" s="856">
        <f>H13</f>
        <v>51806</v>
      </c>
      <c r="G13" s="856"/>
      <c r="H13" s="856">
        <v>51806</v>
      </c>
      <c r="I13" s="856"/>
      <c r="J13" s="3060"/>
      <c r="K13" s="2611"/>
      <c r="L13" s="2611"/>
      <c r="M13" s="2437"/>
      <c r="N13" s="2448"/>
      <c r="O13" s="2437"/>
      <c r="P13" s="2437"/>
      <c r="Q13" s="2437"/>
      <c r="AD13" s="1745"/>
    </row>
    <row r="14" spans="1:30">
      <c r="A14" s="1081"/>
      <c r="B14" s="2405" t="s">
        <v>2189</v>
      </c>
      <c r="C14" s="2406"/>
      <c r="D14" s="2406"/>
      <c r="E14" s="2406"/>
      <c r="F14" s="2406">
        <v>20</v>
      </c>
      <c r="G14" s="2406"/>
      <c r="H14" s="2406">
        <v>20</v>
      </c>
      <c r="I14" s="2406"/>
      <c r="J14" s="3061"/>
      <c r="K14" s="2611"/>
      <c r="L14" s="2611"/>
      <c r="M14" s="2437"/>
      <c r="N14" s="2448"/>
      <c r="O14" s="2437"/>
      <c r="P14" s="2437"/>
      <c r="Q14" s="2437"/>
      <c r="AD14" s="1745"/>
    </row>
    <row r="15" spans="1:30">
      <c r="A15" s="320"/>
      <c r="B15" s="2407" t="s">
        <v>2190</v>
      </c>
      <c r="C15" s="2408" t="str">
        <f>IF(A13="出让",IF(C13="","",ROUNDDOWN(MIN((C13-$D$3)/365,C14),2)),C14)</f>
        <v/>
      </c>
      <c r="D15" s="2408" t="str">
        <f>IF(A13="出让",IF(D13="","",ROUNDDOWN(MIN((D13-$D$3)/365,D14),2)),D14)</f>
        <v/>
      </c>
      <c r="E15" s="2408" t="str">
        <f>IF(A13="出让",IF(E13="","",ROUNDDOWN(MIN((E13-$D$3)/365,E14),2)),E14)</f>
        <v/>
      </c>
      <c r="F15" s="2408">
        <f>IF(A13="出让",IF(F13="","",ROUNDDOWN(MIN((F13-$D$3)/365,F14),2)),F14)</f>
        <v>18.52</v>
      </c>
      <c r="G15" s="2408" t="str">
        <f>IF(A13="出让",IF(G13="","",ROUNDDOWN(MIN((G13-$D$3)/365,G14),2)),G14)</f>
        <v/>
      </c>
      <c r="H15" s="2408">
        <f>IF(A13="出让",IF(H13="","",ROUNDDOWN(MIN((H13-$D$3)/365,H14),2)),H14)</f>
        <v>18.52</v>
      </c>
      <c r="I15" s="2408" t="str">
        <f>IF(A13="出让",IF(I13="","",ROUNDDOWN(MIN((I13-$D$3)/365,I14),2)),I14)</f>
        <v/>
      </c>
      <c r="J15" s="3062"/>
      <c r="K15" s="2449"/>
      <c r="L15" s="2449"/>
      <c r="M15" s="2507"/>
      <c r="N15" s="2449"/>
      <c r="O15" s="2507"/>
      <c r="P15" s="2437"/>
      <c r="Q15" s="2437"/>
      <c r="AD15" s="1745"/>
    </row>
    <row r="16" spans="1:30">
      <c r="A16" s="2398" t="s">
        <v>2191</v>
      </c>
      <c r="B16" s="3521"/>
      <c r="C16" s="3522"/>
      <c r="D16" s="3523"/>
      <c r="E16" s="2411" t="s">
        <v>2192</v>
      </c>
      <c r="F16" s="3524"/>
      <c r="G16" s="3525"/>
      <c r="H16" s="3525"/>
      <c r="I16" s="3526"/>
      <c r="J16" s="2437"/>
      <c r="K16" s="2615"/>
      <c r="L16" s="2449"/>
      <c r="M16" s="2449"/>
      <c r="N16" s="2507"/>
      <c r="O16" s="2449"/>
      <c r="P16" s="2507"/>
      <c r="Q16" s="2437"/>
      <c r="R16" s="2437"/>
    </row>
    <row r="17" spans="1:28">
      <c r="A17" s="313" t="s">
        <v>2193</v>
      </c>
      <c r="B17" s="302" t="s">
        <v>2194</v>
      </c>
      <c r="C17" s="8">
        <f>'数据-汇总表'!E3</f>
        <v>34689.100000000006</v>
      </c>
      <c r="D17" s="2322" t="s">
        <v>2195</v>
      </c>
      <c r="E17" s="3527" t="s">
        <v>2196</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2197</v>
      </c>
      <c r="B18" s="1090" t="s">
        <v>2198</v>
      </c>
      <c r="C18" s="2413">
        <f>'数据-汇总表'!D3</f>
        <v>23254.45</v>
      </c>
      <c r="D18" s="1092" t="s">
        <v>2199</v>
      </c>
      <c r="E18" s="3530" t="s">
        <v>2200</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2203</v>
      </c>
      <c r="B20" s="3517" t="s">
        <v>2204</v>
      </c>
      <c r="C20" s="3518"/>
      <c r="D20" s="3519" t="s">
        <v>2205</v>
      </c>
      <c r="E20" s="3520"/>
      <c r="F20" s="2645" t="s">
        <v>1056</v>
      </c>
      <c r="G20" s="2662"/>
      <c r="H20" s="2662"/>
      <c r="I20" s="2662"/>
      <c r="J20" s="2437"/>
      <c r="K20" s="351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2207</v>
      </c>
      <c r="C21" s="2632" t="s">
        <v>1057</v>
      </c>
      <c r="D21" s="1568" t="s">
        <v>2208</v>
      </c>
      <c r="E21" s="2633" t="s">
        <v>1057</v>
      </c>
      <c r="F21" s="2646"/>
      <c r="G21" s="2662"/>
      <c r="H21" s="2662"/>
      <c r="I21" s="2662"/>
      <c r="J21" s="2437"/>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2209</v>
      </c>
      <c r="C22" s="2632" t="s">
        <v>1058</v>
      </c>
      <c r="D22" s="2661"/>
      <c r="E22" s="2661"/>
      <c r="F22" s="2661"/>
      <c r="G22" s="2662"/>
      <c r="H22" s="2662"/>
      <c r="I22" s="2662"/>
      <c r="J22" s="2437"/>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4"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4"/>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4"/>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5"/>
      <c r="B30" s="302" t="s">
        <v>2216</v>
      </c>
      <c r="C30" s="3506"/>
      <c r="D30" s="3507"/>
      <c r="E30" s="2662"/>
      <c r="F30" s="2662"/>
      <c r="G30" s="2662"/>
      <c r="H30" s="2662"/>
      <c r="I30" s="2662"/>
      <c r="J30" s="2437"/>
      <c r="K30" s="2614"/>
      <c r="L30" s="2611"/>
      <c r="M30" s="2611"/>
      <c r="N30" s="2437"/>
      <c r="O30" s="2448"/>
      <c r="P30" s="2437"/>
      <c r="Q30" s="2437"/>
      <c r="R30" s="2437"/>
      <c r="S30" s="2437"/>
      <c r="T30" s="2437"/>
      <c r="U30" s="2437"/>
      <c r="V30" s="2437"/>
    </row>
    <row r="31" spans="1:28">
      <c r="A31" s="3508" t="s">
        <v>2217</v>
      </c>
      <c r="B31" s="2420" t="s">
        <v>3385</v>
      </c>
      <c r="C31" s="2323" t="str">
        <f>IF(B31="现房","成新及维护状况正常否",IF(B31="在建","工程状态是否正常",IF(B31="土地","是否闲置","-")))</f>
        <v>工程状态是否正常</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6" t="s">
        <v>3384</v>
      </c>
      <c r="C34" s="2026" t="s">
        <v>3386</v>
      </c>
      <c r="D34" s="2026" t="s">
        <v>3387</v>
      </c>
      <c r="E34" s="2026" t="s">
        <v>3388</v>
      </c>
      <c r="F34" s="2026" t="s">
        <v>3389</v>
      </c>
      <c r="G34" s="2026" t="s">
        <v>3390</v>
      </c>
      <c r="H34" s="2026" t="s">
        <v>3391</v>
      </c>
      <c r="I34" s="2662"/>
      <c r="J34" s="2437"/>
      <c r="K34" s="2425">
        <f>COUNTIF(B34:H34,"——")</f>
        <v>0</v>
      </c>
      <c r="L34" s="323" t="s">
        <v>2219</v>
      </c>
      <c r="M34" s="323" t="s">
        <v>2220</v>
      </c>
      <c r="N34" s="323" t="s">
        <v>2221</v>
      </c>
      <c r="O34" s="323" t="s">
        <v>2222</v>
      </c>
      <c r="P34" s="323" t="s">
        <v>2223</v>
      </c>
      <c r="Q34" s="323" t="s">
        <v>2224</v>
      </c>
      <c r="R34" s="323" t="s">
        <v>2225</v>
      </c>
      <c r="S34" s="3503" t="s">
        <v>2226</v>
      </c>
      <c r="T34" s="2426" t="str">
        <f>NUMBERSTRING(7-K34,1)&amp;"通"</f>
        <v>七通</v>
      </c>
      <c r="U34" s="2437"/>
      <c r="V34" s="2437"/>
    </row>
    <row r="35" spans="1:30">
      <c r="A35" s="2427"/>
      <c r="B35" s="3510" t="s">
        <v>2227</v>
      </c>
      <c r="C35" s="3510"/>
      <c r="D35" s="3510"/>
      <c r="E35" s="3510"/>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3"/>
      <c r="T35" s="329" t="str">
        <f>IF(T34="一通",L35,IF(T34="二通",M35,IF(T34="三通",N35,IF(T34="四通",O35,IF(T34="五通",P35,IF(T34="六通",Q35,R35))))))</f>
        <v>通路、通电、通讯、通上水、通下水、通热、燃气</v>
      </c>
      <c r="U35" s="2437"/>
      <c r="V35" s="2437"/>
    </row>
    <row r="36" spans="1:30">
      <c r="A36" s="2428"/>
      <c r="B36" s="664" t="s">
        <v>2183</v>
      </c>
      <c r="C36" s="664" t="s">
        <v>2184</v>
      </c>
      <c r="D36" s="664" t="s">
        <v>2182</v>
      </c>
      <c r="E36" s="664" t="s">
        <v>2187</v>
      </c>
      <c r="F36" s="3063" t="s">
        <v>2580</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c r="E37" s="2429" t="s">
        <v>305</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c r="E38" s="2430" t="s">
        <v>3392</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2231</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3" sqref="F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23652.31</v>
      </c>
      <c r="B3" s="11">
        <f>IF(C3="否",G5-AT5,G5)</f>
        <v>35282.600000000006</v>
      </c>
      <c r="C3" s="1580" t="s">
        <v>3394</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35282.600000000006</v>
      </c>
      <c r="H5" s="13">
        <f t="shared" ref="H5:AT5" si="0">SUM(H13:H656)</f>
        <v>29776.6</v>
      </c>
      <c r="I5" s="13">
        <f t="shared" si="0"/>
        <v>13935.5</v>
      </c>
      <c r="J5" s="13">
        <f t="shared" si="0"/>
        <v>0</v>
      </c>
      <c r="K5" s="13">
        <f t="shared" si="0"/>
        <v>1943.8</v>
      </c>
      <c r="L5" s="13">
        <f t="shared" si="0"/>
        <v>0</v>
      </c>
      <c r="M5" s="13">
        <f t="shared" si="0"/>
        <v>6784</v>
      </c>
      <c r="N5" s="13">
        <f t="shared" si="0"/>
        <v>0</v>
      </c>
      <c r="O5" s="13">
        <f t="shared" si="0"/>
        <v>7113.3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4912.5</v>
      </c>
      <c r="AD5" s="13">
        <f t="shared" si="0"/>
        <v>0</v>
      </c>
      <c r="AE5" s="13">
        <f t="shared" si="0"/>
        <v>0</v>
      </c>
      <c r="AF5" s="13">
        <f t="shared" si="0"/>
        <v>0</v>
      </c>
      <c r="AG5" s="13">
        <f t="shared" si="0"/>
        <v>0</v>
      </c>
      <c r="AH5" s="13">
        <f t="shared" si="0"/>
        <v>0</v>
      </c>
      <c r="AI5" s="13">
        <f t="shared" si="0"/>
        <v>0</v>
      </c>
      <c r="AJ5" s="13">
        <f t="shared" si="0"/>
        <v>0</v>
      </c>
      <c r="AK5" s="13">
        <f t="shared" si="0"/>
        <v>0</v>
      </c>
      <c r="AL5" s="13">
        <f t="shared" si="0"/>
        <v>938.4</v>
      </c>
      <c r="AM5" s="13">
        <f t="shared" si="0"/>
        <v>0</v>
      </c>
      <c r="AN5" s="13">
        <f t="shared" si="0"/>
        <v>3974.1000000000004</v>
      </c>
      <c r="AO5" s="13">
        <f t="shared" si="0"/>
        <v>0</v>
      </c>
      <c r="AP5" s="13">
        <f t="shared" si="0"/>
        <v>0</v>
      </c>
      <c r="AQ5" s="13">
        <f t="shared" si="0"/>
        <v>0</v>
      </c>
      <c r="AR5" s="13">
        <f t="shared" si="0"/>
        <v>0</v>
      </c>
      <c r="AS5" s="13">
        <f t="shared" si="0"/>
        <v>0</v>
      </c>
      <c r="AT5" s="13">
        <f t="shared" si="0"/>
        <v>593.5</v>
      </c>
      <c r="AU5" s="1346"/>
      <c r="AV5" s="12" t="s">
        <v>1070</v>
      </c>
      <c r="AW5" s="1347"/>
      <c r="AX5" s="1347"/>
      <c r="AY5" s="14" t="s">
        <v>2</v>
      </c>
      <c r="AZ5" s="15">
        <f t="shared" ref="AZ5:BT5" si="1">SUM(AZ13:AZ656)</f>
        <v>34689.100000000006</v>
      </c>
      <c r="BA5" s="15">
        <f t="shared" si="1"/>
        <v>29776.6</v>
      </c>
      <c r="BB5" s="15">
        <f t="shared" si="1"/>
        <v>13935.5</v>
      </c>
      <c r="BC5" s="15">
        <f t="shared" si="1"/>
        <v>1943.8</v>
      </c>
      <c r="BD5" s="15">
        <f t="shared" si="1"/>
        <v>6784</v>
      </c>
      <c r="BE5" s="15">
        <f t="shared" si="1"/>
        <v>7113.3</v>
      </c>
      <c r="BF5" s="15">
        <f t="shared" si="1"/>
        <v>0</v>
      </c>
      <c r="BG5" s="15">
        <f t="shared" si="1"/>
        <v>0</v>
      </c>
      <c r="BH5" s="15">
        <f t="shared" si="1"/>
        <v>0</v>
      </c>
      <c r="BI5" s="15">
        <f t="shared" si="1"/>
        <v>0</v>
      </c>
      <c r="BJ5" s="15">
        <f t="shared" si="1"/>
        <v>0</v>
      </c>
      <c r="BK5" s="15">
        <f t="shared" si="1"/>
        <v>0</v>
      </c>
      <c r="BL5" s="15">
        <f t="shared" si="1"/>
        <v>4912.5</v>
      </c>
      <c r="BM5" s="15">
        <f t="shared" si="1"/>
        <v>0</v>
      </c>
      <c r="BN5" s="15">
        <f t="shared" si="1"/>
        <v>0</v>
      </c>
      <c r="BO5" s="15">
        <f t="shared" si="1"/>
        <v>0</v>
      </c>
      <c r="BP5" s="15">
        <f t="shared" si="1"/>
        <v>0</v>
      </c>
      <c r="BQ5" s="15">
        <f t="shared" si="1"/>
        <v>938.4</v>
      </c>
      <c r="BR5" s="15">
        <f t="shared" si="1"/>
        <v>3974.1000000000004</v>
      </c>
      <c r="BS5" s="15">
        <f t="shared" si="1"/>
        <v>0</v>
      </c>
      <c r="BT5" s="16">
        <f t="shared" si="1"/>
        <v>0</v>
      </c>
    </row>
    <row r="6" spans="1:72" s="1589" customFormat="1" ht="12.75">
      <c r="A6" s="12" t="s">
        <v>1071</v>
      </c>
      <c r="B6" s="1586"/>
      <c r="C6" s="1586"/>
      <c r="D6" s="1587"/>
      <c r="E6" s="13">
        <f>H6+AC6+AT6</f>
        <v>23652.31</v>
      </c>
      <c r="F6" s="13" t="s">
        <v>0</v>
      </c>
      <c r="G6" s="13" t="s">
        <v>1</v>
      </c>
      <c r="H6" s="17">
        <f>SUMIF(I$12:AB$12,"总值",I6:AB6)</f>
        <v>19961.27</v>
      </c>
      <c r="I6" s="13">
        <f t="shared" ref="I6:AB6" si="2">ROUND($A$3*I5/$B$3,2)</f>
        <v>9341.91</v>
      </c>
      <c r="J6" s="13">
        <f t="shared" si="2"/>
        <v>0</v>
      </c>
      <c r="K6" s="13">
        <f t="shared" si="2"/>
        <v>1303.06</v>
      </c>
      <c r="L6" s="13">
        <f t="shared" si="2"/>
        <v>0</v>
      </c>
      <c r="M6" s="13">
        <f t="shared" si="2"/>
        <v>4547.7700000000004</v>
      </c>
      <c r="N6" s="13">
        <f t="shared" si="2"/>
        <v>0</v>
      </c>
      <c r="O6" s="13">
        <f t="shared" si="2"/>
        <v>4768.53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3293.1800000000003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629.07000000000005</v>
      </c>
      <c r="AM6" s="13">
        <f t="shared" si="3"/>
        <v>0</v>
      </c>
      <c r="AN6" s="13">
        <f t="shared" si="3"/>
        <v>2664.11</v>
      </c>
      <c r="AO6" s="13">
        <f t="shared" si="3"/>
        <v>0</v>
      </c>
      <c r="AP6" s="13">
        <f t="shared" si="3"/>
        <v>0</v>
      </c>
      <c r="AQ6" s="13">
        <f t="shared" si="3"/>
        <v>0</v>
      </c>
      <c r="AR6" s="13">
        <f t="shared" si="3"/>
        <v>0</v>
      </c>
      <c r="AS6" s="13">
        <f t="shared" si="3"/>
        <v>0</v>
      </c>
      <c r="AT6" s="17">
        <f>IF(C3="是",ROUND($A$3*AT5/$B$3,2),0)</f>
        <v>397.86</v>
      </c>
      <c r="AU6" s="1588"/>
      <c r="AV6" s="12" t="s">
        <v>1071</v>
      </c>
      <c r="AW6" s="1586"/>
      <c r="AX6" s="1586"/>
      <c r="AY6" s="18">
        <f>IF(AY3&gt;0,AY3,ROUND($A$3*AZ5/$B$3,2))</f>
        <v>23254.45</v>
      </c>
      <c r="AZ6" s="13" t="s">
        <v>2</v>
      </c>
      <c r="BA6" s="13">
        <f>ROUND($AY$6*BA5/$AZ$5,2)</f>
        <v>19961.27</v>
      </c>
      <c r="BB6" s="13">
        <f>ROUND($AY$6*BB5/$AZ$5,2)</f>
        <v>9341.91</v>
      </c>
      <c r="BC6" s="13">
        <f t="shared" ref="BC6:BH6" si="4">ROUND($AY$6*BC5/$AZ$5,2)</f>
        <v>1303.06</v>
      </c>
      <c r="BD6" s="13">
        <f t="shared" si="4"/>
        <v>4547.7700000000004</v>
      </c>
      <c r="BE6" s="13">
        <f t="shared" si="4"/>
        <v>4768.53</v>
      </c>
      <c r="BF6" s="13">
        <f t="shared" si="4"/>
        <v>0</v>
      </c>
      <c r="BG6" s="13">
        <f t="shared" si="4"/>
        <v>0</v>
      </c>
      <c r="BH6" s="13">
        <f t="shared" si="4"/>
        <v>0</v>
      </c>
      <c r="BI6" s="13">
        <f t="shared" ref="BI6:BT6" si="5">ROUND($AY$6*BI5/$AZ$5,2)</f>
        <v>0</v>
      </c>
      <c r="BJ6" s="13">
        <f t="shared" si="5"/>
        <v>0</v>
      </c>
      <c r="BK6" s="13">
        <f t="shared" si="5"/>
        <v>0</v>
      </c>
      <c r="BL6" s="13">
        <f t="shared" si="5"/>
        <v>3293.18</v>
      </c>
      <c r="BM6" s="13">
        <f t="shared" si="5"/>
        <v>0</v>
      </c>
      <c r="BN6" s="13">
        <f t="shared" si="5"/>
        <v>0</v>
      </c>
      <c r="BO6" s="13">
        <f t="shared" si="5"/>
        <v>0</v>
      </c>
      <c r="BP6" s="13">
        <f t="shared" si="5"/>
        <v>0</v>
      </c>
      <c r="BQ6" s="13">
        <f t="shared" si="5"/>
        <v>629.07000000000005</v>
      </c>
      <c r="BR6" s="13">
        <f t="shared" si="5"/>
        <v>2664.11</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3395</v>
      </c>
      <c r="J9" s="809"/>
      <c r="K9" s="1603" t="s">
        <v>3395</v>
      </c>
      <c r="L9" s="809"/>
      <c r="M9" s="1603" t="s">
        <v>3395</v>
      </c>
      <c r="N9" s="809"/>
      <c r="O9" s="1603" t="s">
        <v>3404</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v>
      </c>
      <c r="N10" s="809"/>
      <c r="O10" s="1609" t="s">
        <v>3336</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t="s">
        <v>3397</v>
      </c>
      <c r="L11" s="1615"/>
      <c r="M11" s="1614" t="s">
        <v>3400</v>
      </c>
      <c r="N11" s="1615"/>
      <c r="O11" s="1614" t="s">
        <v>3336</v>
      </c>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标准厂房</v>
      </c>
      <c r="BC12" s="1624" t="str">
        <f>K11</f>
        <v>办公楼</v>
      </c>
      <c r="BD12" s="1624" t="str">
        <f>M11</f>
        <v>戊类库房</v>
      </c>
      <c r="BE12" s="1599" t="str">
        <f>O11</f>
        <v>车库</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3393</v>
      </c>
      <c r="D13" s="1625" t="s">
        <v>3394</v>
      </c>
      <c r="E13" s="13">
        <f>IF($C$3="是",ROUND($A$3*G13/$B$3,2),ROUND($A$3*(G13-AT13)/$B$3,2))</f>
        <v>3487.52</v>
      </c>
      <c r="F13" s="29"/>
      <c r="G13" s="30">
        <f>H13+AC13+AT13</f>
        <v>5202.4000000000005</v>
      </c>
      <c r="H13" s="17">
        <f>SUMIF(I$12:AB$12,"总值",I13:AB13)</f>
        <v>5041.6000000000004</v>
      </c>
      <c r="I13" s="1626">
        <v>3797.8</v>
      </c>
      <c r="J13" s="1626"/>
      <c r="K13" s="1626">
        <v>1243.8</v>
      </c>
      <c r="L13" s="1626"/>
      <c r="M13" s="1626"/>
      <c r="N13" s="1626"/>
      <c r="O13" s="1626"/>
      <c r="P13" s="1626"/>
      <c r="Q13" s="1626"/>
      <c r="R13" s="1626"/>
      <c r="S13" s="1626"/>
      <c r="T13" s="1626"/>
      <c r="U13" s="1626"/>
      <c r="V13" s="1626"/>
      <c r="W13" s="1626"/>
      <c r="X13" s="1626"/>
      <c r="Y13" s="1626"/>
      <c r="Z13" s="1626"/>
      <c r="AA13" s="1626"/>
      <c r="AB13" s="1626"/>
      <c r="AC13" s="13">
        <f>SUMIF(AD$12:AS$12,"总值",AD13:AS13)</f>
        <v>160.80000000000001</v>
      </c>
      <c r="AD13" s="1627"/>
      <c r="AE13" s="1627"/>
      <c r="AF13" s="1627"/>
      <c r="AG13" s="1627"/>
      <c r="AH13" s="1627"/>
      <c r="AI13" s="1627"/>
      <c r="AJ13" s="1627"/>
      <c r="AK13" s="1627"/>
      <c r="AL13" s="1627">
        <v>160.80000000000001</v>
      </c>
      <c r="AM13" s="1627"/>
      <c r="AN13" s="1627"/>
      <c r="AO13" s="1627"/>
      <c r="AP13" s="1627"/>
      <c r="AQ13" s="1627"/>
      <c r="AR13" s="1627"/>
      <c r="AS13" s="1627"/>
      <c r="AT13" s="1628"/>
      <c r="AU13" s="1629"/>
      <c r="AV13" s="8">
        <f t="shared" ref="AV13:AX17" si="6">A13</f>
        <v>0</v>
      </c>
      <c r="AW13" s="8">
        <f t="shared" si="6"/>
        <v>0</v>
      </c>
      <c r="AX13" s="8" t="str">
        <f t="shared" si="6"/>
        <v>1#厂房</v>
      </c>
      <c r="AY13" s="1349">
        <f>ROUND($AY$6*AZ13/$AZ$5,2)</f>
        <v>3487.52</v>
      </c>
      <c r="AZ13" s="13">
        <f>BA13+BL13</f>
        <v>5202.4000000000005</v>
      </c>
      <c r="BA13" s="13">
        <f>SUM(BB13:BK13)</f>
        <v>5041.6000000000004</v>
      </c>
      <c r="BB13" s="13">
        <f>IF($D13="是",I13-J13,0)</f>
        <v>3797.8</v>
      </c>
      <c r="BC13" s="13">
        <f>IF($D13="是",K13-L13,0)</f>
        <v>1243.8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160.80000000000001</v>
      </c>
      <c r="BM13" s="13">
        <f>IF($D13="是",AD13-AE13,0)</f>
        <v>0</v>
      </c>
      <c r="BN13" s="13">
        <f>IF($D13="是",AF13-AG13,0)</f>
        <v>0</v>
      </c>
      <c r="BO13" s="13">
        <f>IF($D13="是",AH13-AI13,0)</f>
        <v>0</v>
      </c>
      <c r="BP13" s="13">
        <f>IF($D13="是",AJ13-AK13,0)</f>
        <v>0</v>
      </c>
      <c r="BQ13" s="13">
        <f>IF($D13="是",AL13-AM13,0)</f>
        <v>160.80000000000001</v>
      </c>
      <c r="BR13" s="13">
        <f>IF($D13="是",AN13-AO13,0)</f>
        <v>0</v>
      </c>
      <c r="BS13" s="13">
        <f>IF($D13="是",AP13-AQ13,0)</f>
        <v>0</v>
      </c>
      <c r="BT13" s="19">
        <f>IF($D13="是",AR13-AS13,0)</f>
        <v>0</v>
      </c>
    </row>
    <row r="14" spans="1:72" s="1579" customFormat="1" ht="12.75">
      <c r="A14" s="1051"/>
      <c r="B14" s="1051"/>
      <c r="C14" s="1570" t="s">
        <v>3398</v>
      </c>
      <c r="D14" s="1625" t="s">
        <v>3394</v>
      </c>
      <c r="E14" s="13">
        <f>IF($C$3="是",ROUND($A$3*G14/$B$3,2),ROUND($A$3*(G14-AT14)/$B$3,2))</f>
        <v>2900.28</v>
      </c>
      <c r="F14" s="29"/>
      <c r="G14" s="30">
        <f>H14+AC14+AT14</f>
        <v>4326.4000000000005</v>
      </c>
      <c r="H14" s="17">
        <f>SUMIF(I$12:AB$12,"总值",I14:AB14)</f>
        <v>4053.7</v>
      </c>
      <c r="I14" s="1626">
        <v>4053.7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222.6</v>
      </c>
      <c r="AD14" s="1627"/>
      <c r="AE14" s="1627"/>
      <c r="AF14" s="1627"/>
      <c r="AG14" s="1627"/>
      <c r="AH14" s="1627"/>
      <c r="AI14" s="1627"/>
      <c r="AJ14" s="1627"/>
      <c r="AK14" s="1627"/>
      <c r="AL14" s="1627">
        <v>222.6</v>
      </c>
      <c r="AM14" s="1627"/>
      <c r="AN14" s="1627"/>
      <c r="AO14" s="1627"/>
      <c r="AP14" s="1627"/>
      <c r="AQ14" s="1627"/>
      <c r="AR14" s="1627"/>
      <c r="AS14" s="1627"/>
      <c r="AT14" s="1628">
        <v>50.1</v>
      </c>
      <c r="AU14" s="1629"/>
      <c r="AV14" s="8">
        <f t="shared" si="6"/>
        <v>0</v>
      </c>
      <c r="AW14" s="8">
        <f t="shared" si="6"/>
        <v>0</v>
      </c>
      <c r="AX14" s="8" t="str">
        <f t="shared" si="6"/>
        <v>2#厂房</v>
      </c>
      <c r="AY14" s="1349">
        <f>ROUND($AY$6*AZ14/$AZ$5,2)</f>
        <v>2866.69</v>
      </c>
      <c r="AZ14" s="13">
        <f>BA14+BL14</f>
        <v>4276.3</v>
      </c>
      <c r="BA14" s="13">
        <f>SUM(BB14:BK14)</f>
        <v>4053.7</v>
      </c>
      <c r="BB14" s="13">
        <f>IF($D14="是",I14-J14,0)</f>
        <v>4053.7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222.6</v>
      </c>
      <c r="BM14" s="13">
        <f>IF($D14="是",AD14-AE14,0)</f>
        <v>0</v>
      </c>
      <c r="BN14" s="13">
        <f>IF($D14="是",AF14-AG14,0)</f>
        <v>0</v>
      </c>
      <c r="BO14" s="13">
        <f>IF($D14="是",AH14-AI14,0)</f>
        <v>0</v>
      </c>
      <c r="BP14" s="13">
        <f>IF($D14="是",AJ14-AK14,0)</f>
        <v>0</v>
      </c>
      <c r="BQ14" s="13">
        <f>IF($D14="是",AL14-AM14,0)</f>
        <v>222.6</v>
      </c>
      <c r="BR14" s="13">
        <f>IF($D14="是",AN14-AO14,0)</f>
        <v>0</v>
      </c>
      <c r="BS14" s="13">
        <f>IF($D14="是",AP14-AQ14,0)</f>
        <v>0</v>
      </c>
      <c r="BT14" s="19">
        <f>IF($D14="是",AR14-AS14,0)</f>
        <v>0</v>
      </c>
    </row>
    <row r="15" spans="1:72" s="1579" customFormat="1" ht="12.75">
      <c r="A15" s="1051"/>
      <c r="B15" s="1051"/>
      <c r="C15" s="1570" t="s">
        <v>3399</v>
      </c>
      <c r="D15" s="1625" t="s">
        <v>3394</v>
      </c>
      <c r="E15" s="13">
        <f>IF($C$3="是",ROUND($A$3*G15/$B$3,2),ROUND($A$3*(G15-AT15)/$B$3,2))</f>
        <v>9447.49</v>
      </c>
      <c r="F15" s="29"/>
      <c r="G15" s="30">
        <f>H15+AC15+AT15</f>
        <v>14093</v>
      </c>
      <c r="H15" s="17">
        <f>SUMIF(I$12:AB$12,"总值",I15:AB15)</f>
        <v>13568</v>
      </c>
      <c r="I15" s="1626">
        <v>6084</v>
      </c>
      <c r="J15" s="1626"/>
      <c r="K15" s="1626">
        <v>700</v>
      </c>
      <c r="L15" s="1626"/>
      <c r="M15" s="1626">
        <v>6784</v>
      </c>
      <c r="N15" s="1626"/>
      <c r="O15" s="1626"/>
      <c r="P15" s="1626"/>
      <c r="Q15" s="1626"/>
      <c r="R15" s="1626"/>
      <c r="S15" s="1626"/>
      <c r="T15" s="1626"/>
      <c r="U15" s="1626"/>
      <c r="V15" s="1626"/>
      <c r="W15" s="1626"/>
      <c r="X15" s="1626"/>
      <c r="Y15" s="1626"/>
      <c r="Z15" s="1626"/>
      <c r="AA15" s="1626"/>
      <c r="AB15" s="1626"/>
      <c r="AC15" s="13">
        <f>SUMIF(AD$12:AS$12,"总值",AD15:AS15)</f>
        <v>525</v>
      </c>
      <c r="AD15" s="1627"/>
      <c r="AE15" s="1627"/>
      <c r="AF15" s="1627"/>
      <c r="AG15" s="1627"/>
      <c r="AH15" s="1627"/>
      <c r="AI15" s="1627"/>
      <c r="AJ15" s="1627"/>
      <c r="AK15" s="1627"/>
      <c r="AL15" s="1627">
        <f>30+265+230</f>
        <v>525</v>
      </c>
      <c r="AM15" s="1627"/>
      <c r="AN15" s="1627"/>
      <c r="AO15" s="1627"/>
      <c r="AP15" s="1627"/>
      <c r="AQ15" s="1627"/>
      <c r="AR15" s="1627"/>
      <c r="AS15" s="1627"/>
      <c r="AT15" s="1628"/>
      <c r="AU15" s="1629"/>
      <c r="AV15" s="8">
        <f t="shared" si="6"/>
        <v>0</v>
      </c>
      <c r="AW15" s="8">
        <f t="shared" si="6"/>
        <v>0</v>
      </c>
      <c r="AX15" s="8" t="str">
        <f t="shared" si="6"/>
        <v>3#厂房</v>
      </c>
      <c r="AY15" s="1349">
        <f>ROUND($AY$6*AZ15/$AZ$5,2)</f>
        <v>9447.49</v>
      </c>
      <c r="AZ15" s="13">
        <f>BA15+BL15</f>
        <v>14093</v>
      </c>
      <c r="BA15" s="13">
        <f>SUM(BB15:BK15)</f>
        <v>13568</v>
      </c>
      <c r="BB15" s="13">
        <f>IF($D15="是",I15-J15,0)</f>
        <v>6084</v>
      </c>
      <c r="BC15" s="13">
        <f>IF($D15="是",K15-L15,0)</f>
        <v>700</v>
      </c>
      <c r="BD15" s="13">
        <f>IF($D15="是",M15-N15,0)</f>
        <v>6784</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525</v>
      </c>
      <c r="BM15" s="13">
        <f>IF($D15="是",AD15-AE15,0)</f>
        <v>0</v>
      </c>
      <c r="BN15" s="13">
        <f>IF($D15="是",AF15-AG15,0)</f>
        <v>0</v>
      </c>
      <c r="BO15" s="13">
        <f>IF($D15="是",AH15-AI15,0)</f>
        <v>0</v>
      </c>
      <c r="BP15" s="13">
        <f>IF($D15="是",AJ15-AK15,0)</f>
        <v>0</v>
      </c>
      <c r="BQ15" s="13">
        <f>IF($D15="是",AL15-AM15,0)</f>
        <v>525</v>
      </c>
      <c r="BR15" s="13">
        <f>IF($D15="是",AN15-AO15,0)</f>
        <v>0</v>
      </c>
      <c r="BS15" s="13">
        <f>IF($D15="是",AP15-AQ15,0)</f>
        <v>0</v>
      </c>
      <c r="BT15" s="19">
        <f>IF($D15="是",AR15-AS15,0)</f>
        <v>0</v>
      </c>
    </row>
    <row r="16" spans="1:72" s="1579" customFormat="1" ht="12.75">
      <c r="A16" s="1051"/>
      <c r="B16" s="1051"/>
      <c r="C16" s="3450" t="s">
        <v>3401</v>
      </c>
      <c r="D16" s="1625" t="s">
        <v>3394</v>
      </c>
      <c r="E16" s="13">
        <f>IF($C$3="是",ROUND($A$3*G16/$B$3,2),ROUND($A$3*(G16-AT16)/$B$3,2))</f>
        <v>20.11</v>
      </c>
      <c r="F16" s="29"/>
      <c r="G16" s="30">
        <f>H16+AC16+AT16</f>
        <v>30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30</v>
      </c>
      <c r="AD16" s="1627"/>
      <c r="AE16" s="1627"/>
      <c r="AF16" s="1627"/>
      <c r="AG16" s="1627"/>
      <c r="AH16" s="1627"/>
      <c r="AI16" s="1627"/>
      <c r="AJ16" s="1627"/>
      <c r="AK16" s="1627"/>
      <c r="AL16" s="1627">
        <v>30</v>
      </c>
      <c r="AM16" s="1627"/>
      <c r="AN16" s="1627"/>
      <c r="AO16" s="1627"/>
      <c r="AP16" s="1627"/>
      <c r="AQ16" s="1627"/>
      <c r="AR16" s="1627"/>
      <c r="AS16" s="1627"/>
      <c r="AT16" s="1628"/>
      <c r="AU16" s="1629"/>
      <c r="AV16" s="8">
        <f t="shared" si="6"/>
        <v>0</v>
      </c>
      <c r="AW16" s="8">
        <f t="shared" si="6"/>
        <v>0</v>
      </c>
      <c r="AX16" s="8" t="str">
        <f t="shared" si="6"/>
        <v>门卫</v>
      </c>
      <c r="AY16" s="1349">
        <f>ROUND($AY$6*AZ16/$AZ$5,2)</f>
        <v>20.11</v>
      </c>
      <c r="AZ16" s="13">
        <f>BA16+BL16</f>
        <v>30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30</v>
      </c>
      <c r="BM16" s="13">
        <f>IF($D16="是",AD16-AE16,0)</f>
        <v>0</v>
      </c>
      <c r="BN16" s="13">
        <f>IF($D16="是",AF16-AG16,0)</f>
        <v>0</v>
      </c>
      <c r="BO16" s="13">
        <f>IF($D16="是",AH16-AI16,0)</f>
        <v>0</v>
      </c>
      <c r="BP16" s="13">
        <f>IF($D16="是",AJ16-AK16,0)</f>
        <v>0</v>
      </c>
      <c r="BQ16" s="13">
        <f>IF($D16="是",AL16-AM16,0)</f>
        <v>30</v>
      </c>
      <c r="BR16" s="13">
        <f>IF($D16="是",AN16-AO16,0)</f>
        <v>0</v>
      </c>
      <c r="BS16" s="13">
        <f>IF($D16="是",AP16-AQ16,0)</f>
        <v>0</v>
      </c>
      <c r="BT16" s="19">
        <f>IF($D16="是",AR16-AS16,0)</f>
        <v>0</v>
      </c>
    </row>
    <row r="17" spans="1:72" s="1579" customFormat="1" ht="12.75">
      <c r="A17" s="1051"/>
      <c r="B17" s="1051"/>
      <c r="C17" s="3450" t="s">
        <v>3403</v>
      </c>
      <c r="D17" s="1625" t="s">
        <v>3394</v>
      </c>
      <c r="E17" s="13">
        <f>IF($C$3="是",ROUND($A$3*G17/$B$3,2),ROUND($A$3*(G17-AT17)/$B$3,2))</f>
        <v>7796.91</v>
      </c>
      <c r="F17" s="29"/>
      <c r="G17" s="30">
        <f>H17+AC17+AT17</f>
        <v>11630.800000000001</v>
      </c>
      <c r="H17" s="17">
        <f>SUMIF(I$12:AB$12,"总值",I17:AB17)</f>
        <v>7113.3</v>
      </c>
      <c r="I17" s="1626"/>
      <c r="J17" s="1626"/>
      <c r="K17" s="1626"/>
      <c r="L17" s="1626"/>
      <c r="M17" s="1626"/>
      <c r="N17" s="1626"/>
      <c r="O17" s="1626">
        <v>7113.3</v>
      </c>
      <c r="P17" s="1626"/>
      <c r="Q17" s="1626"/>
      <c r="R17" s="1626"/>
      <c r="S17" s="1626"/>
      <c r="T17" s="1626"/>
      <c r="U17" s="1626"/>
      <c r="V17" s="1626"/>
      <c r="W17" s="1626"/>
      <c r="X17" s="1626"/>
      <c r="Y17" s="1626"/>
      <c r="Z17" s="1626"/>
      <c r="AA17" s="1626"/>
      <c r="AB17" s="1626"/>
      <c r="AC17" s="13">
        <f>SUMIF(AD$12:AS$12,"总值",AD17:AS17)</f>
        <v>3974.1000000000004</v>
      </c>
      <c r="AD17" s="1627"/>
      <c r="AE17" s="1627"/>
      <c r="AF17" s="1627"/>
      <c r="AG17" s="1627"/>
      <c r="AH17" s="1627"/>
      <c r="AI17" s="1627"/>
      <c r="AJ17" s="1627"/>
      <c r="AK17" s="1627"/>
      <c r="AL17" s="1627"/>
      <c r="AM17" s="1627"/>
      <c r="AN17" s="1627">
        <f>410.3+3563.8</f>
        <v>3974.1000000000004</v>
      </c>
      <c r="AO17" s="1627"/>
      <c r="AP17" s="1627"/>
      <c r="AQ17" s="1627"/>
      <c r="AR17" s="1627"/>
      <c r="AS17" s="1627"/>
      <c r="AT17" s="1628">
        <v>543.4</v>
      </c>
      <c r="AU17" s="1629"/>
      <c r="AV17" s="8">
        <f t="shared" si="6"/>
        <v>0</v>
      </c>
      <c r="AW17" s="8">
        <f t="shared" si="6"/>
        <v>0</v>
      </c>
      <c r="AX17" s="8" t="str">
        <f t="shared" si="6"/>
        <v>地下车库</v>
      </c>
      <c r="AY17" s="1349">
        <f>ROUND($AY$6*AZ17/$AZ$5,2)</f>
        <v>7432.63</v>
      </c>
      <c r="AZ17" s="13">
        <f>BA17+BL17</f>
        <v>11087.400000000001</v>
      </c>
      <c r="BA17" s="13">
        <f>SUM(BB17:BK17)</f>
        <v>7113.3</v>
      </c>
      <c r="BB17" s="13">
        <f>IF($D17="是",I17-J17,0)</f>
        <v>0</v>
      </c>
      <c r="BC17" s="13">
        <f>IF($D17="是",K17-L17,0)</f>
        <v>0</v>
      </c>
      <c r="BD17" s="13">
        <f>IF($D17="是",M17-N17,0)</f>
        <v>0</v>
      </c>
      <c r="BE17" s="13">
        <f>IF($D17="是",O17-P17,0)</f>
        <v>7113.3</v>
      </c>
      <c r="BF17" s="13">
        <f>IF($D17="是",Q17-R17,0)</f>
        <v>0</v>
      </c>
      <c r="BG17" s="13">
        <f>IF($D17="是",S17-T17,0)</f>
        <v>0</v>
      </c>
      <c r="BH17" s="13">
        <f>IF($D17="是",U17-V17,0)</f>
        <v>0</v>
      </c>
      <c r="BI17" s="13">
        <f>IF($D17="是",W17-X17,0)</f>
        <v>0</v>
      </c>
      <c r="BJ17" s="13">
        <f>IF($D17="是",Y17-Z17,0)</f>
        <v>0</v>
      </c>
      <c r="BK17" s="13">
        <f>IF($D17="是",AA17-AB17,0)</f>
        <v>0</v>
      </c>
      <c r="BL17" s="13">
        <f>SUM(BM17:BT17)</f>
        <v>3974.1000000000004</v>
      </c>
      <c r="BM17" s="13">
        <f>IF($D17="是",AD17-AE17,0)</f>
        <v>0</v>
      </c>
      <c r="BN17" s="13">
        <f>IF($D17="是",AF17-AG17,0)</f>
        <v>0</v>
      </c>
      <c r="BO17" s="13">
        <f>IF($D17="是",AH17-AI17,0)</f>
        <v>0</v>
      </c>
      <c r="BP17" s="13">
        <f>IF($D17="是",AJ17-AK17,0)</f>
        <v>0</v>
      </c>
      <c r="BQ17" s="13">
        <f>IF($D17="是",AL17-AM17,0)</f>
        <v>0</v>
      </c>
      <c r="BR17" s="13">
        <f>IF($D17="是",AN17-AO17,0)</f>
        <v>3974.1000000000004</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2" t="s">
        <v>1130</v>
      </c>
      <c r="B2" s="3542"/>
      <c r="C2" s="3542"/>
      <c r="D2" s="796" t="s">
        <v>1106</v>
      </c>
      <c r="E2" s="1639" t="s">
        <v>1107</v>
      </c>
      <c r="F2" s="2657"/>
      <c r="G2" s="2648"/>
      <c r="H2" s="2649"/>
      <c r="I2" s="2325" t="s">
        <v>1131</v>
      </c>
      <c r="J2" s="2657"/>
      <c r="K2" s="2657"/>
      <c r="L2" s="2657"/>
      <c r="M2" s="2657"/>
      <c r="N2" s="2659"/>
      <c r="O2" s="2657"/>
      <c r="P2" s="2657"/>
    </row>
    <row r="3" spans="1:16" ht="15.75" thickBot="1">
      <c r="A3" s="3543" t="s">
        <v>1104</v>
      </c>
      <c r="B3" s="3543"/>
      <c r="C3" s="3543"/>
      <c r="D3" s="43">
        <f>'数据-基础表'!AY6</f>
        <v>23254.45</v>
      </c>
      <c r="E3" s="43">
        <f>'数据-基础表'!AZ5</f>
        <v>34689.100000000006</v>
      </c>
      <c r="F3" s="2657"/>
      <c r="G3" s="1145"/>
      <c r="H3" s="1026" t="s">
        <v>1105</v>
      </c>
      <c r="I3" s="855">
        <f>ROUND('数据-基础表'!B3/'数据-基础表'!A3,2)</f>
        <v>1.49</v>
      </c>
      <c r="J3" s="2657"/>
      <c r="K3" s="2657"/>
      <c r="L3" s="2657"/>
      <c r="M3" s="2657"/>
      <c r="N3" s="2659"/>
      <c r="O3" s="2657"/>
      <c r="P3" s="2657"/>
    </row>
    <row r="4" spans="1:16" ht="15">
      <c r="A4" s="3544"/>
      <c r="B4" s="3545"/>
      <c r="C4" s="3546"/>
      <c r="D4" s="1641" t="s">
        <v>1106</v>
      </c>
      <c r="E4" s="1642" t="s">
        <v>1107</v>
      </c>
      <c r="F4" s="2657"/>
      <c r="G4" s="2650" t="s">
        <v>1132</v>
      </c>
      <c r="H4" s="1026" t="s">
        <v>1112</v>
      </c>
      <c r="I4" s="855">
        <f>ROUND(SUMIF('数据-基础表'!I9:AS9,"地上",'数据-基础表'!I5:AS5)/'数据-基础表'!A3,2)</f>
        <v>1</v>
      </c>
      <c r="J4" s="2657"/>
      <c r="K4" s="2657"/>
      <c r="L4" s="2657"/>
      <c r="M4" s="2657"/>
      <c r="N4" s="2659"/>
      <c r="O4" s="2657"/>
      <c r="P4" s="2657"/>
    </row>
    <row r="5" spans="1:16">
      <c r="A5" s="44" t="s">
        <v>1108</v>
      </c>
      <c r="B5" s="3547" t="s">
        <v>1109</v>
      </c>
      <c r="C5" s="3547"/>
      <c r="D5" s="45">
        <f>ROUND($D$3*E5/$E$3,2)</f>
        <v>0</v>
      </c>
      <c r="E5" s="46">
        <f>SUMIF('数据-基础表'!$11:$11,"住宅",'数据-基础表'!$5:$5)</f>
        <v>0</v>
      </c>
      <c r="F5" s="2657"/>
      <c r="G5" s="1145"/>
      <c r="H5" s="1026" t="s">
        <v>1105</v>
      </c>
      <c r="I5" s="855">
        <f>ROUND(E31/D31,2)</f>
        <v>1.49</v>
      </c>
      <c r="J5" s="2657"/>
      <c r="K5" s="2657"/>
      <c r="L5" s="2657"/>
      <c r="M5" s="2657"/>
      <c r="N5" s="2657"/>
      <c r="O5" s="2657"/>
      <c r="P5" s="2657"/>
    </row>
    <row r="6" spans="1:16" ht="15" thickBot="1">
      <c r="A6" s="1644"/>
      <c r="B6" s="3547" t="s">
        <v>1110</v>
      </c>
      <c r="C6" s="3547"/>
      <c r="D6" s="45">
        <f>ROUND($D$3*E6/$E$3,2)</f>
        <v>23254.45</v>
      </c>
      <c r="E6" s="46">
        <f>E3-E5</f>
        <v>34689.100000000006</v>
      </c>
      <c r="F6" s="2657"/>
      <c r="G6" s="2651" t="s">
        <v>1111</v>
      </c>
      <c r="H6" s="1146" t="s">
        <v>1112</v>
      </c>
      <c r="I6" s="2652">
        <f>ROUND(F31/D31,2)</f>
        <v>1.01</v>
      </c>
      <c r="J6" s="2657"/>
      <c r="K6" s="2657"/>
      <c r="L6" s="2657"/>
      <c r="M6" s="2657"/>
      <c r="N6" s="2657"/>
      <c r="O6" s="2657"/>
      <c r="P6" s="2657"/>
    </row>
    <row r="7" spans="1:16" ht="15.75" thickBot="1">
      <c r="A7" s="3539"/>
      <c r="B7" s="3540"/>
      <c r="C7" s="3541"/>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15192.74</v>
      </c>
      <c r="E8" s="48">
        <f>SUMIF('数据-基础表'!BB10:BK10,"地上",'数据-基础表'!BB5:BK5)</f>
        <v>22663.3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4768.53</v>
      </c>
      <c r="E13" s="48">
        <f>SUMPRODUCT(('数据-基础表'!BB10:BK10="地下")*('数据-基础表'!BB11:BK11="车库")*('数据-基础表'!BB5:BK5))</f>
        <v>7113.3</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19961.27</v>
      </c>
      <c r="E16" s="50">
        <f>SUM(E8:E15)</f>
        <v>29776.6</v>
      </c>
      <c r="F16" s="2657"/>
      <c r="G16" s="2658"/>
      <c r="H16" s="1648" t="s">
        <v>1134</v>
      </c>
      <c r="I16" s="1649"/>
      <c r="J16" s="1139"/>
      <c r="K16" s="3536" t="s">
        <v>1134</v>
      </c>
      <c r="L16" s="3537"/>
      <c r="M16" s="3537"/>
      <c r="N16" s="3537"/>
      <c r="O16" s="3537"/>
      <c r="P16" s="3538"/>
    </row>
    <row r="17" spans="1:19" ht="15">
      <c r="A17" s="1650" t="s">
        <v>1135</v>
      </c>
      <c r="B17" s="1651" t="s">
        <v>1136</v>
      </c>
      <c r="C17" s="1652" t="s">
        <v>1137</v>
      </c>
      <c r="D17" s="1653" t="s">
        <v>1125</v>
      </c>
      <c r="E17" s="1654" t="s">
        <v>1126</v>
      </c>
      <c r="F17" s="1655"/>
      <c r="G17" s="1656"/>
      <c r="H17" s="1657" t="s">
        <v>1138</v>
      </c>
      <c r="I17" s="1658" t="s">
        <v>1123</v>
      </c>
      <c r="J17" s="1139"/>
      <c r="K17" s="3533" t="s">
        <v>1139</v>
      </c>
      <c r="L17" s="3534"/>
      <c r="M17" s="3535"/>
      <c r="N17" s="3533" t="s">
        <v>1140</v>
      </c>
      <c r="O17" s="3534"/>
      <c r="P17" s="35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3405</v>
      </c>
      <c r="D19" s="45">
        <f>ROUND($D$3*E19/$E$3,2)</f>
        <v>15192.74</v>
      </c>
      <c r="E19" s="53">
        <f t="shared" ref="E19:E26" si="1">SUM(F19:G19)</f>
        <v>22663.3</v>
      </c>
      <c r="F19" s="2793">
        <f>'数据-基础表'!I5+'数据-基础表'!K5+'数据-基础表'!M5</f>
        <v>22663.3</v>
      </c>
      <c r="G19" s="2794"/>
      <c r="H19" s="670">
        <f>ROUND($D$3*I19/$E$3,2)</f>
        <v>2506.48</v>
      </c>
      <c r="I19" s="48">
        <f t="shared" ref="I19:I26" si="2">IF($I$17="自定义",P19,M19)</f>
        <v>3738.96</v>
      </c>
      <c r="J19" s="1139"/>
      <c r="K19" s="1138">
        <f t="shared" ref="K19:K26" si="3">ROUND(E$28*E19/E$27,2)</f>
        <v>3738.96</v>
      </c>
      <c r="L19" s="1026">
        <f t="shared" ref="L19:L26" si="4">ROUND(IF(COUNTIF(C19,"*住宅*")&gt;0,E$29*E19/E$32,0),2)</f>
        <v>0</v>
      </c>
      <c r="M19" s="1150">
        <f>K19+L19</f>
        <v>3738.96</v>
      </c>
      <c r="N19" s="1668"/>
      <c r="O19" s="1669"/>
      <c r="P19" s="1150">
        <f>N19+O19</f>
        <v>0</v>
      </c>
      <c r="R19" s="1026">
        <f t="shared" ref="R19:S26" si="5">D19+H19</f>
        <v>17699.22</v>
      </c>
      <c r="S19" s="1027">
        <f t="shared" si="5"/>
        <v>26402.26</v>
      </c>
    </row>
    <row r="20" spans="1:19">
      <c r="A20" s="1670"/>
      <c r="B20" s="47" t="s">
        <v>1152</v>
      </c>
      <c r="C20" s="3415" t="s">
        <v>3406</v>
      </c>
      <c r="D20" s="45">
        <f t="shared" ref="D20:D26" si="6">ROUND($D$3*E20/$E$3,2)</f>
        <v>4768.53</v>
      </c>
      <c r="E20" s="53">
        <f t="shared" si="1"/>
        <v>7113.3</v>
      </c>
      <c r="F20" s="2793"/>
      <c r="G20" s="2794">
        <f>'数据-基础表'!O5</f>
        <v>7113.3</v>
      </c>
      <c r="H20" s="670">
        <f t="shared" ref="H20:H26" si="7">ROUND($D$3*I20/$E$3,2)</f>
        <v>786.7</v>
      </c>
      <c r="I20" s="48">
        <f t="shared" si="2"/>
        <v>1173.54</v>
      </c>
      <c r="J20" s="1139"/>
      <c r="K20" s="1138">
        <f t="shared" si="3"/>
        <v>1173.54</v>
      </c>
      <c r="L20" s="1026">
        <f t="shared" si="4"/>
        <v>0</v>
      </c>
      <c r="M20" s="1150">
        <f t="shared" ref="M20:M26" si="8">K20+L20</f>
        <v>1173.54</v>
      </c>
      <c r="N20" s="1668"/>
      <c r="O20" s="1669"/>
      <c r="P20" s="1150">
        <f t="shared" ref="P20:P26" si="9">N20+O20</f>
        <v>0</v>
      </c>
      <c r="R20" s="1026">
        <f t="shared" si="5"/>
        <v>5555.23</v>
      </c>
      <c r="S20" s="1027">
        <f t="shared" si="5"/>
        <v>8286.84</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19961.27</v>
      </c>
      <c r="E27" s="1141">
        <f>IF(SUM(E19:E26)='数据-基础表'!BA5,SUM(E19:E26),IF(F27="地上面积有误","面积有误","地下面积有误"))</f>
        <v>29776.6</v>
      </c>
      <c r="F27" s="1140">
        <f>IF(SUM(F19:F26)=E8,SUM(F19:F26),"地上面积有误")</f>
        <v>22663.3</v>
      </c>
      <c r="G27" s="1142">
        <f>SUM(G19:G26)</f>
        <v>7113.3</v>
      </c>
      <c r="H27" s="1143">
        <f>SUM(H19:H26)</f>
        <v>3293.1800000000003</v>
      </c>
      <c r="I27" s="1144">
        <f>SUM(I19:I26)</f>
        <v>4912.5</v>
      </c>
      <c r="J27" s="1139"/>
      <c r="K27" s="1147">
        <f>SUM(K19:K26)</f>
        <v>4912.5</v>
      </c>
      <c r="L27" s="1148">
        <f>SUM(L19:L26)</f>
        <v>0</v>
      </c>
      <c r="M27" s="1151">
        <f>SUM(M19:M26)</f>
        <v>4912.5</v>
      </c>
      <c r="N27" s="1147">
        <f t="shared" ref="N27:O27" si="10">SUM(N19:N26)</f>
        <v>0</v>
      </c>
      <c r="O27" s="1148">
        <f t="shared" si="10"/>
        <v>0</v>
      </c>
      <c r="P27" s="1149">
        <f>SUM(P19:P26)</f>
        <v>0</v>
      </c>
      <c r="R27" s="1028">
        <f>IF(SUM(R19:R26)=$D$3,SUM(R19:R26),SUM(R19:R26)&amp;"误差"&amp;ROUND(SUM(R19:R26)-$D$3,2))</f>
        <v>23254.45</v>
      </c>
      <c r="S27" s="1026">
        <f>IF(SUM(S19:S26)=$E$3,SUM(S19:S26),SUM(S19:S26)&amp;"误差"&amp;ROUND(SUM(S19:S26)-E3,2))</f>
        <v>34689.1</v>
      </c>
    </row>
    <row r="28" spans="1:19">
      <c r="A28" s="1670"/>
      <c r="B28" s="47" t="s">
        <v>1154</v>
      </c>
      <c r="C28" s="1038" t="s">
        <v>1155</v>
      </c>
      <c r="D28" s="45">
        <f>ROUND($D$3*E28/$E$3,2)</f>
        <v>3293.18</v>
      </c>
      <c r="E28" s="53">
        <f>SUM(F28:G28)</f>
        <v>4912.5</v>
      </c>
      <c r="F28" s="56">
        <f>'数据-基础表'!BQ5+'数据-基础表'!BS5</f>
        <v>938.4</v>
      </c>
      <c r="G28" s="57">
        <f>'数据-基础表'!BR5+'数据-基础表'!BT5</f>
        <v>3974.1000000000004</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3293.18</v>
      </c>
      <c r="E30" s="1140">
        <f>SUM(E28:E29)</f>
        <v>4912.5</v>
      </c>
      <c r="F30" s="1140">
        <f>SUM(F28:F29)</f>
        <v>938.4</v>
      </c>
      <c r="G30" s="1142">
        <f>SUM(G28:G29)</f>
        <v>3974.1000000000004</v>
      </c>
      <c r="H30" s="2657"/>
      <c r="I30" s="2657"/>
      <c r="J30" s="2657"/>
      <c r="K30" s="2657"/>
      <c r="L30" s="2657"/>
      <c r="M30" s="2657"/>
      <c r="N30" s="2657"/>
      <c r="O30" s="2657"/>
      <c r="P30" s="2657"/>
    </row>
    <row r="31" spans="1:19" ht="15.75" thickBot="1">
      <c r="A31" s="1676"/>
      <c r="B31" s="1677"/>
      <c r="C31" s="835" t="s">
        <v>1157</v>
      </c>
      <c r="D31" s="676">
        <f>D27+D30</f>
        <v>23254.45</v>
      </c>
      <c r="E31" s="676">
        <f>E27+E30</f>
        <v>34689.1</v>
      </c>
      <c r="F31" s="677">
        <f>F27+F30</f>
        <v>23601.7</v>
      </c>
      <c r="G31" s="678">
        <f>G27+G30</f>
        <v>11087.400000000001</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45044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20</v>
      </c>
      <c r="E6" s="857">
        <f>IF(B6="","",SUMIF(项目基本情况!C$12:I$12,C6,项目基本情况!C$13:I$13))</f>
        <v>51806</v>
      </c>
      <c r="F6" s="64">
        <f>SUMIF(项目基本情况!C$12:I$12,C6,项目基本情况!C$15:I$15)</f>
        <v>18.52</v>
      </c>
      <c r="G6" s="65">
        <f>IF(ISERROR(ROUND(POWER(1+H6,D6-F6)*(POWER(1+H6,F6)-1)/(POWER(1+H6,D6)-1),3)),0,ROUND(POWER(1+H6,D6-F6)*(POWER(1+H6,F6)-1)/(POWER(1+H6,D6)-1),3))</f>
        <v>0.95499999999999996</v>
      </c>
      <c r="H6" s="732">
        <v>0.05</v>
      </c>
      <c r="I6" s="732">
        <v>5.5E-2</v>
      </c>
      <c r="J6" s="66">
        <v>7.4999999999999997E-2</v>
      </c>
      <c r="K6" s="1030">
        <f>SUMIF('数据-汇总表'!C$19:C$33,A6,'数据-汇总表'!E$19:E$33)</f>
        <v>22663.3</v>
      </c>
      <c r="L6" s="733">
        <v>4000</v>
      </c>
      <c r="M6" s="67">
        <f t="shared" ref="M6:M14" si="0">ROUND(K6*L6/10000,0)</f>
        <v>9065</v>
      </c>
      <c r="N6" s="731">
        <v>0.55000000000000004</v>
      </c>
      <c r="O6" s="67">
        <f>IF($N$5="成新度","——",ROUND(M6*N6,0))</f>
        <v>4986</v>
      </c>
      <c r="P6" s="68">
        <f>IF($N$5="成新度","——",M6-O6)</f>
        <v>4079</v>
      </c>
      <c r="Q6" s="734">
        <v>0.15</v>
      </c>
      <c r="R6" s="69">
        <f ca="1">SUMIF('数据-汇总表'!C$19:C$33,A6,'数据-汇总表'!R$19:R$27)</f>
        <v>17699.22</v>
      </c>
      <c r="S6" s="51">
        <f>IF('数据-汇总表'!$I$17="按面积比例",SUMIF('数据-汇总表'!C$19:C$33,A6,'数据-汇总表'!K$19:K$33),SUMIF('数据-汇总表'!C$19:C$33,A6,'数据-汇总表'!N$19:N$33))</f>
        <v>3738.96</v>
      </c>
      <c r="T6" s="1172">
        <f>ROUND($L$14*S6/10000,0)</f>
        <v>1496</v>
      </c>
      <c r="U6" s="3426">
        <v>2.5</v>
      </c>
      <c r="V6" s="70">
        <v>0.02</v>
      </c>
      <c r="W6" s="70">
        <v>0.1</v>
      </c>
      <c r="X6" s="1040"/>
      <c r="Y6" s="71">
        <v>1</v>
      </c>
      <c r="Z6" s="72"/>
      <c r="AA6" s="66"/>
      <c r="AB6" s="66"/>
      <c r="AC6" s="1040"/>
      <c r="AD6" s="73"/>
      <c r="AE6" s="1041">
        <f ca="1">IF(AN6="",0,SUMIF(INDIRECT("'"&amp;AN6&amp;"'"&amp;"!E:E"),$AE$5,INDIRECT("'"&amp;AN6&amp;"'"&amp;"!F:F")))</f>
        <v>17.62</v>
      </c>
      <c r="AF6" s="1348"/>
      <c r="AG6" s="138">
        <f>IF(AF6="",0,AE6-AF6)</f>
        <v>0</v>
      </c>
      <c r="AH6" s="74"/>
      <c r="AI6" s="76">
        <v>365</v>
      </c>
      <c r="AJ6" s="77"/>
      <c r="AK6" s="78">
        <v>5.0000000000000001E-3</v>
      </c>
      <c r="AL6" s="79">
        <v>1E-3</v>
      </c>
      <c r="AM6" s="80">
        <v>0.01</v>
      </c>
      <c r="AN6" s="1715" t="s">
        <v>3412</v>
      </c>
      <c r="AO6" s="52">
        <f ca="1">SUMIF(INDIRECT("'"&amp;AN6&amp;"'"&amp;"!A:A"),"总价",INDIRECT("'"&amp;AN6&amp;"'"&amp;"!B:B"))</f>
        <v>21468</v>
      </c>
      <c r="AP6" s="1716">
        <f>IF(C6="住宅",K6*L6,0)</f>
        <v>0</v>
      </c>
      <c r="AQ6" s="52">
        <f>ROUND($L$14*$N$14*S6/10000,0)</f>
        <v>823</v>
      </c>
      <c r="AR6" s="52">
        <f>ROUND($L$14*(1-$N$14)*S6/10000,0)</f>
        <v>673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3336</v>
      </c>
      <c r="D7" s="858">
        <f>SUMIF(项目基本情况!C$12:I$12,C7,项目基本情况!C$14:I$14)</f>
        <v>20</v>
      </c>
      <c r="E7" s="857">
        <f>IF(B7="","",SUMIF(项目基本情况!C$12:I$12,C7,项目基本情况!C$13:I$13))</f>
        <v>51806</v>
      </c>
      <c r="F7" s="64">
        <f>SUMIF(项目基本情况!C$12:I$12,C7,项目基本情况!C$15:I$15)</f>
        <v>18.52</v>
      </c>
      <c r="G7" s="65">
        <f t="shared" ref="G7:G11" si="2">IF(ISERROR(ROUND(POWER(1+H7,D7-F7)*(POWER(1+H7,F7)-1)/(POWER(1+H7,D7)-1),3)),0,ROUND(POWER(1+H7,D7-F7)*(POWER(1+H7,F7)-1)/(POWER(1+H7,D7)-1),3))</f>
        <v>0.95199999999999996</v>
      </c>
      <c r="H7" s="732">
        <v>4.4999999999999998E-2</v>
      </c>
      <c r="I7" s="732">
        <v>0.05</v>
      </c>
      <c r="J7" s="66">
        <v>7.4999999999999997E-2</v>
      </c>
      <c r="K7" s="1030">
        <f>SUMIF('数据-汇总表'!C$19:C$33,A7,'数据-汇总表'!E$19:E$33)</f>
        <v>7113.3</v>
      </c>
      <c r="L7" s="733">
        <f>L6</f>
        <v>4000</v>
      </c>
      <c r="M7" s="67">
        <f t="shared" si="0"/>
        <v>2845</v>
      </c>
      <c r="N7" s="731">
        <f>N6</f>
        <v>0.55000000000000004</v>
      </c>
      <c r="O7" s="67">
        <f t="shared" ref="O7:O14" si="3">IF($N$5="成新度","——",ROUND(M7*N7,0))</f>
        <v>1565</v>
      </c>
      <c r="P7" s="68">
        <f t="shared" ref="P7:P14" si="4">IF($N$5="成新度","——",M7-O7)</f>
        <v>1280</v>
      </c>
      <c r="Q7" s="734">
        <f>Q6</f>
        <v>0.15</v>
      </c>
      <c r="R7" s="69">
        <f ca="1">SUMIF('数据-汇总表'!C$19:C$33,A7,'数据-汇总表'!R$19:R$27)</f>
        <v>5555.23</v>
      </c>
      <c r="S7" s="51">
        <f>IF('数据-汇总表'!$I$17="按面积比例",SUMIF('数据-汇总表'!C$19:C$33,A7,'数据-汇总表'!K$19:K$33),SUMIF('数据-汇总表'!C$19:C$33,A7,'数据-汇总表'!N$19:N$33))</f>
        <v>1173.54</v>
      </c>
      <c r="T7" s="1172">
        <f t="shared" ref="T7:T13" si="5">ROUND($L$14*S7/10000,0)</f>
        <v>469</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258</v>
      </c>
      <c r="AR7" s="52">
        <f t="shared" ref="AR7:AR13" si="11">ROUND($L$14*(1-$N$14)*S7/10000,0)</f>
        <v>211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4912.5</v>
      </c>
      <c r="L14" s="82">
        <f>L6</f>
        <v>4000</v>
      </c>
      <c r="M14" s="67">
        <f t="shared" si="0"/>
        <v>1965</v>
      </c>
      <c r="N14" s="83">
        <f>N6</f>
        <v>0.55000000000000004</v>
      </c>
      <c r="O14" s="67">
        <f t="shared" si="3"/>
        <v>1081</v>
      </c>
      <c r="P14" s="68">
        <f t="shared" si="4"/>
        <v>884</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0.95399999999999996</v>
      </c>
      <c r="H16" s="90">
        <f>ROUND(SUMPRODUCT(H6:H13,K6:K13)/SUMPRODUCT((H6:H13&gt;0)*(K6:K13)),3)</f>
        <v>4.9000000000000002E-2</v>
      </c>
      <c r="I16" s="91"/>
      <c r="J16" s="91"/>
      <c r="K16" s="92">
        <f>SUM(K6:K15)</f>
        <v>34689.1</v>
      </c>
      <c r="L16" s="93">
        <f>ROUND(M16*10000/SUM(K6:K14),0)</f>
        <v>4000</v>
      </c>
      <c r="M16" s="93">
        <f>SUM(M6:M14)</f>
        <v>13875</v>
      </c>
      <c r="N16" s="94">
        <f>ROUND(SUMPRODUCT(M6:M14,N6:N14)/M16,3)</f>
        <v>0.55000000000000004</v>
      </c>
      <c r="O16" s="93">
        <f>SUM(O6:O14)</f>
        <v>7632</v>
      </c>
      <c r="P16" s="93">
        <f>SUM(P6:P14)</f>
        <v>6243</v>
      </c>
      <c r="Q16" s="95">
        <f>ROUND(SUMPRODUCT(Q6:Q13,K6:K13)/SUMPRODUCT((Q6:Q13&gt;0)*(K6:K13)),2)</f>
        <v>0.15</v>
      </c>
      <c r="R16" s="1034">
        <f ca="1">SUM(R6:R13)</f>
        <v>23254.45</v>
      </c>
      <c r="S16" s="96">
        <f>SUM(S6:S13)</f>
        <v>4912.5</v>
      </c>
      <c r="T16" s="97">
        <f>IF(SUMIF(T6:T13,"&lt;9E307")=M14,SUMIF(T6:T13,"&lt;9E307"),"有误，请检查")</f>
        <v>1965</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B20*N16</f>
        <v>1.1000000000000001</v>
      </c>
      <c r="C21" s="2671"/>
      <c r="D21" s="2674"/>
      <c r="E21" s="2671"/>
      <c r="F21" s="2671"/>
      <c r="G21" s="2671"/>
      <c r="H21" s="2671"/>
      <c r="I21" s="2671"/>
      <c r="J21" s="2671"/>
      <c r="K21" s="2670"/>
      <c r="L21" s="2670"/>
      <c r="M21" s="2669"/>
      <c r="N21" s="2669"/>
      <c r="O21" s="2669"/>
      <c r="P21" s="2669"/>
      <c r="Q21" s="2669"/>
      <c r="R21" s="3451" t="s">
        <v>3409</v>
      </c>
      <c r="S21" s="2669">
        <f>'数据-基础表'!I5</f>
        <v>13935.5</v>
      </c>
      <c r="T21" s="2669">
        <v>2.5</v>
      </c>
      <c r="U21" s="2669">
        <f>T21*S21</f>
        <v>34838.75</v>
      </c>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3451" t="s">
        <v>3410</v>
      </c>
      <c r="S22" s="2669">
        <f>'数据-基础表'!K5</f>
        <v>1943.8</v>
      </c>
      <c r="T22" s="2669">
        <v>2.5</v>
      </c>
      <c r="U22" s="2669">
        <f t="shared" ref="U22:U23" si="12">T22*S22</f>
        <v>4859.5</v>
      </c>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1.1000000000000001</v>
      </c>
      <c r="C23" s="2671"/>
      <c r="D23" s="2674"/>
      <c r="E23" s="2671"/>
      <c r="F23" s="2671"/>
      <c r="G23" s="2671"/>
      <c r="H23" s="2671"/>
      <c r="I23" s="2671"/>
      <c r="J23" s="2671"/>
      <c r="K23" s="2670"/>
      <c r="L23" s="2670"/>
      <c r="M23" s="2669"/>
      <c r="N23" s="2669"/>
      <c r="O23" s="2669"/>
      <c r="P23" s="2669"/>
      <c r="Q23" s="2669"/>
      <c r="R23" s="3451" t="s">
        <v>3411</v>
      </c>
      <c r="S23" s="2669">
        <f>'数据-基础表'!M5</f>
        <v>6784</v>
      </c>
      <c r="T23" s="2669">
        <v>2</v>
      </c>
      <c r="U23" s="2669">
        <f t="shared" si="12"/>
        <v>13568</v>
      </c>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0.89999999999999991</v>
      </c>
      <c r="C24" s="2671"/>
      <c r="D24" s="2674"/>
      <c r="E24" s="2671"/>
      <c r="F24" s="2671"/>
      <c r="G24" s="2671"/>
      <c r="H24" s="2671"/>
      <c r="I24" s="2671"/>
      <c r="J24" s="2671"/>
      <c r="K24" s="2670"/>
      <c r="L24" s="2670"/>
      <c r="M24" s="2669"/>
      <c r="N24" s="2669"/>
      <c r="O24" s="2669"/>
      <c r="P24" s="2669"/>
      <c r="Q24" s="2669"/>
      <c r="R24" s="2669"/>
      <c r="S24" s="2669">
        <f>SUM(S21:S23)</f>
        <v>22663.3</v>
      </c>
      <c r="T24" s="2669">
        <f>ROUND(U24/S24,2)</f>
        <v>2.35</v>
      </c>
      <c r="U24" s="2669">
        <f>SUM(U21:U23)</f>
        <v>53266.25</v>
      </c>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694</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8" t="s">
        <v>2284</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9"/>
      <c r="I2" s="799"/>
      <c r="J2" s="799"/>
      <c r="K2" s="799"/>
      <c r="L2" s="799"/>
      <c r="M2" s="799"/>
      <c r="N2" s="799"/>
      <c r="O2" s="799"/>
      <c r="P2" s="799"/>
      <c r="Q2" s="799"/>
      <c r="R2" s="799"/>
    </row>
    <row r="3" spans="1:29" ht="48">
      <c r="A3" s="2439" t="s">
        <v>2281</v>
      </c>
      <c r="B3" s="2461" t="s">
        <v>2250</v>
      </c>
      <c r="C3" s="2462" t="s">
        <v>2282</v>
      </c>
      <c r="D3" s="2463"/>
      <c r="E3" s="2440" t="s">
        <v>2281</v>
      </c>
      <c r="F3" s="2464" t="s">
        <v>2251</v>
      </c>
      <c r="G3" s="2465" t="s">
        <v>2283</v>
      </c>
      <c r="H3" s="799"/>
      <c r="I3" s="799"/>
      <c r="J3" s="799"/>
      <c r="K3" s="799"/>
      <c r="L3" s="799"/>
      <c r="M3" s="799"/>
      <c r="N3" s="799"/>
      <c r="O3" s="799"/>
      <c r="P3" s="799"/>
      <c r="Q3" s="799"/>
      <c r="R3" s="799"/>
    </row>
    <row r="4" spans="1:29" ht="36.75">
      <c r="A4" s="2440"/>
      <c r="B4" s="323" t="s">
        <v>2252</v>
      </c>
      <c r="C4" s="2466" t="s">
        <v>2253</v>
      </c>
      <c r="D4" s="2463"/>
      <c r="E4" s="2467"/>
      <c r="F4" s="1373" t="s">
        <v>2254</v>
      </c>
      <c r="G4" s="2468" t="s">
        <v>2255</v>
      </c>
      <c r="H4" s="799"/>
      <c r="I4" s="799"/>
      <c r="J4" s="799"/>
      <c r="K4" s="799"/>
      <c r="L4" s="799"/>
      <c r="M4" s="799"/>
      <c r="N4" s="799"/>
      <c r="O4" s="799"/>
      <c r="P4" s="799"/>
      <c r="Q4" s="799"/>
      <c r="R4" s="799"/>
    </row>
    <row r="5" spans="1:29" ht="36.75">
      <c r="A5" s="2440"/>
      <c r="B5" s="323" t="s">
        <v>2256</v>
      </c>
      <c r="C5" s="2466" t="s">
        <v>2257</v>
      </c>
      <c r="D5" s="2463"/>
      <c r="E5" s="2467"/>
      <c r="F5" s="323" t="s">
        <v>2258</v>
      </c>
      <c r="G5" s="2468" t="s">
        <v>2259</v>
      </c>
      <c r="H5" s="799"/>
      <c r="I5" s="799"/>
      <c r="J5" s="799"/>
      <c r="K5" s="799"/>
      <c r="L5" s="799"/>
      <c r="M5" s="799"/>
      <c r="N5" s="799"/>
      <c r="O5" s="799"/>
      <c r="P5" s="799"/>
      <c r="Q5" s="799"/>
      <c r="R5" s="799"/>
    </row>
    <row r="6" spans="1:29" ht="36">
      <c r="A6" s="2440"/>
      <c r="B6" s="323" t="s">
        <v>2260</v>
      </c>
      <c r="C6" s="2468" t="s">
        <v>2255</v>
      </c>
      <c r="D6" s="2463"/>
      <c r="E6" s="2467"/>
      <c r="F6" s="323" t="s">
        <v>2261</v>
      </c>
      <c r="G6" s="2468" t="s">
        <v>2262</v>
      </c>
      <c r="H6" s="799"/>
      <c r="I6" s="799"/>
      <c r="J6" s="799"/>
      <c r="K6" s="799"/>
      <c r="L6" s="799"/>
      <c r="M6" s="799"/>
      <c r="N6" s="799"/>
      <c r="O6" s="799"/>
      <c r="P6" s="799"/>
      <c r="Q6" s="799"/>
      <c r="R6" s="799"/>
    </row>
    <row r="7" spans="1:29" ht="24.75" thickBot="1">
      <c r="A7" s="2440"/>
      <c r="B7" s="323" t="s">
        <v>2258</v>
      </c>
      <c r="C7" s="2468" t="s">
        <v>2259</v>
      </c>
      <c r="D7" s="2469"/>
      <c r="E7" s="2470"/>
      <c r="F7" s="2471" t="s">
        <v>2263</v>
      </c>
      <c r="G7" s="2472" t="s">
        <v>2264</v>
      </c>
      <c r="H7" s="799"/>
      <c r="I7" s="799"/>
      <c r="J7" s="799"/>
      <c r="K7" s="799"/>
      <c r="L7" s="799"/>
      <c r="M7" s="799"/>
      <c r="N7" s="799"/>
      <c r="O7" s="799"/>
      <c r="P7" s="799"/>
      <c r="Q7" s="799"/>
      <c r="R7" s="799"/>
    </row>
    <row r="8" spans="1:29">
      <c r="A8" s="2440"/>
      <c r="B8" s="323" t="s">
        <v>2261</v>
      </c>
      <c r="C8" s="2468" t="s">
        <v>2262</v>
      </c>
      <c r="D8" s="2469"/>
      <c r="E8" s="2469"/>
      <c r="F8" s="2473"/>
      <c r="G8" s="2473"/>
      <c r="H8" s="799"/>
      <c r="I8" s="799"/>
      <c r="J8" s="799"/>
      <c r="K8" s="799"/>
      <c r="L8" s="799"/>
      <c r="M8" s="799"/>
      <c r="N8" s="799"/>
      <c r="O8" s="799"/>
      <c r="P8" s="799"/>
      <c r="Q8" s="799"/>
      <c r="R8" s="799"/>
    </row>
    <row r="9" spans="1:29" ht="24">
      <c r="A9" s="2440"/>
      <c r="B9" s="323" t="s">
        <v>2265</v>
      </c>
      <c r="C9" s="2466" t="s">
        <v>2266</v>
      </c>
      <c r="D9" s="2463"/>
      <c r="E9" s="2469"/>
      <c r="F9" s="2473"/>
      <c r="G9" s="2473"/>
      <c r="H9" s="799"/>
      <c r="I9" s="799"/>
      <c r="J9" s="799"/>
      <c r="K9" s="799"/>
      <c r="L9" s="799"/>
      <c r="M9" s="799"/>
      <c r="N9" s="799"/>
      <c r="O9" s="799"/>
      <c r="P9" s="799"/>
      <c r="Q9" s="799"/>
      <c r="R9" s="799"/>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9" customFormat="1" ht="15" thickBot="1">
      <c r="A23" s="2444"/>
      <c r="B23" s="2500" t="s">
        <v>2276</v>
      </c>
      <c r="C23" s="2503"/>
      <c r="D23" s="1741"/>
      <c r="E23" s="2446"/>
      <c r="F23" s="2504" t="s">
        <v>2277</v>
      </c>
      <c r="G23" s="2505"/>
      <c r="H23" s="2489"/>
      <c r="I23" s="2490"/>
      <c r="J23" s="2489"/>
      <c r="K23" s="2489"/>
      <c r="L23" s="2490"/>
      <c r="M23" s="2489"/>
      <c r="N23" s="2489"/>
      <c r="O23" s="2490"/>
      <c r="P23" s="2489"/>
      <c r="Q23" s="2489"/>
      <c r="R23" s="2491"/>
    </row>
    <row r="24" spans="1:18" s="799" customFormat="1" ht="15" thickBot="1">
      <c r="A24" s="2447"/>
      <c r="B24" s="2504" t="s">
        <v>2278</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34689.100000000006</v>
      </c>
      <c r="C1" s="2684"/>
      <c r="D1" s="2684"/>
      <c r="E1" s="2684"/>
      <c r="F1" s="2684"/>
      <c r="G1" s="2685"/>
      <c r="H1" s="2686"/>
      <c r="I1" s="2686"/>
      <c r="J1" s="2686"/>
      <c r="K1" s="2686"/>
    </row>
    <row r="2" spans="1:11" ht="16.5">
      <c r="A2" s="2510" t="s">
        <v>653</v>
      </c>
      <c r="B2" s="2510">
        <f>SUM(C14:C23)</f>
        <v>23254.45</v>
      </c>
      <c r="C2" s="2684"/>
      <c r="D2" s="2684"/>
      <c r="E2" s="2684"/>
      <c r="F2" s="2684"/>
      <c r="G2" s="2685"/>
      <c r="H2" s="2686"/>
      <c r="I2" s="2686"/>
      <c r="J2" s="2686"/>
      <c r="K2" s="2686"/>
    </row>
    <row r="3" spans="1:11" ht="16.5">
      <c r="A3" s="2510" t="s">
        <v>662</v>
      </c>
      <c r="B3" s="2512">
        <f>项目基本情况!D3</f>
        <v>45044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13149</v>
      </c>
      <c r="C5" s="2510">
        <f ca="1">IF(B5=D14,结果表!H102,ROUND(B5*10000/$B$1,0))</f>
        <v>3791</v>
      </c>
      <c r="D5" s="2510">
        <f ca="1">ROUND(B5*10000/$B$2,0)</f>
        <v>5654</v>
      </c>
      <c r="E5" s="2684"/>
      <c r="F5" s="2685"/>
      <c r="G5" s="2685"/>
      <c r="H5" s="2686"/>
      <c r="I5" s="2686"/>
      <c r="J5" s="2686"/>
      <c r="K5" s="2686"/>
    </row>
    <row r="6" spans="1:11" ht="16.5">
      <c r="A6" s="2510" t="s">
        <v>656</v>
      </c>
      <c r="B6" s="2510">
        <f ca="1">SUM(G14:G23)</f>
        <v>13149</v>
      </c>
      <c r="C6" s="2510">
        <f ca="1">IF(B6=G14,结果表!H108,ROUND(B6*10000/$B$1,0))</f>
        <v>3791</v>
      </c>
      <c r="D6" s="2510">
        <f ca="1">ROUND(B6*10000/$B$2,0)</f>
        <v>5654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34689.100000000006</v>
      </c>
      <c r="C14" s="2516">
        <f>结果表!C118</f>
        <v>23254.45</v>
      </c>
      <c r="D14" s="2516">
        <f ca="1">结果表!H118</f>
        <v>13149</v>
      </c>
      <c r="E14" s="2516">
        <f ca="1">ROUND(D14*10000/B14,0)</f>
        <v>3791</v>
      </c>
      <c r="F14" s="2516">
        <f ca="1">ROUND(D14*10000/C14,0)</f>
        <v>5654</v>
      </c>
      <c r="G14" s="2516">
        <f ca="1">结果表!D122</f>
        <v>13149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3385</v>
      </c>
      <c r="H1" s="1750" t="str">
        <f>IF(G1="现房","——","估价对象范围")</f>
        <v>估价对象范围</v>
      </c>
      <c r="I1" s="1751" t="s">
        <v>3427</v>
      </c>
    </row>
    <row r="2" spans="1:12" ht="21.75" customHeight="1" thickBot="1">
      <c r="A2" s="3584" t="str">
        <f>项目基本情况!S2</f>
        <v>北京市出让国有建设用地使用权及在建建筑物房地产</v>
      </c>
      <c r="B2" s="3585"/>
      <c r="C2" s="3585"/>
      <c r="D2" s="3585"/>
      <c r="E2" s="3585"/>
      <c r="F2" s="3585"/>
      <c r="G2" s="3585"/>
      <c r="H2" s="3585"/>
      <c r="I2" s="3586"/>
    </row>
    <row r="3" spans="1:12" ht="12.75">
      <c r="A3" s="3588" t="s">
        <v>1263</v>
      </c>
      <c r="B3" s="3589"/>
      <c r="C3" s="3589"/>
      <c r="D3" s="3589"/>
      <c r="E3" s="3589"/>
      <c r="F3" s="3589"/>
      <c r="G3" s="3589"/>
      <c r="H3" s="3589"/>
      <c r="I3" s="3589"/>
    </row>
    <row r="4" spans="1:12" ht="14.25">
      <c r="A4" s="1754" t="s">
        <v>1264</v>
      </c>
      <c r="B4" s="1755" t="s">
        <v>1265</v>
      </c>
      <c r="C4" s="1756" t="s">
        <v>3428</v>
      </c>
      <c r="D4" s="1756" t="s">
        <v>3429</v>
      </c>
      <c r="E4" s="3590" t="s">
        <v>1266</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4" t="s">
        <v>1267</v>
      </c>
      <c r="B5" s="3551">
        <v>25</v>
      </c>
      <c r="C5" s="3567"/>
      <c r="D5" s="3587"/>
      <c r="E5" s="131" t="s">
        <v>1268</v>
      </c>
      <c r="F5" s="1757"/>
      <c r="G5" s="1757"/>
      <c r="H5" s="1757"/>
      <c r="I5" s="1373"/>
    </row>
    <row r="6" spans="1:12" ht="12.75">
      <c r="A6" s="3564"/>
      <c r="B6" s="3551"/>
      <c r="C6" s="3568"/>
      <c r="D6" s="3587"/>
      <c r="E6" s="131" t="s">
        <v>1269</v>
      </c>
      <c r="F6" s="1757"/>
      <c r="G6" s="1757"/>
      <c r="H6" s="1757"/>
      <c r="I6" s="1373"/>
    </row>
    <row r="7" spans="1:12" ht="12.75">
      <c r="A7" s="3564"/>
      <c r="B7" s="3551"/>
      <c r="C7" s="3569"/>
      <c r="D7" s="3587"/>
      <c r="E7" s="131" t="s">
        <v>1270</v>
      </c>
      <c r="F7" s="1757"/>
      <c r="G7" s="1757"/>
      <c r="H7" s="1757"/>
      <c r="I7" s="1373"/>
    </row>
    <row r="8" spans="1:12" ht="12.75">
      <c r="A8" s="3564" t="s">
        <v>1271</v>
      </c>
      <c r="B8" s="3551">
        <v>15</v>
      </c>
      <c r="C8" s="3567"/>
      <c r="D8" s="3587"/>
      <c r="E8" s="131" t="s">
        <v>1272</v>
      </c>
      <c r="F8" s="1757"/>
      <c r="G8" s="1757"/>
      <c r="H8" s="1757"/>
      <c r="I8" s="1373"/>
    </row>
    <row r="9" spans="1:12" ht="12.75">
      <c r="A9" s="3564"/>
      <c r="B9" s="3551"/>
      <c r="C9" s="3569"/>
      <c r="D9" s="3587"/>
      <c r="E9" s="131" t="s">
        <v>1273</v>
      </c>
      <c r="F9" s="1757"/>
      <c r="G9" s="1757"/>
      <c r="H9" s="1757"/>
      <c r="I9" s="1373"/>
    </row>
    <row r="10" spans="1:12" ht="12.75">
      <c r="A10" s="3564" t="s">
        <v>1274</v>
      </c>
      <c r="B10" s="3551">
        <v>15</v>
      </c>
      <c r="C10" s="3567"/>
      <c r="D10" s="3587"/>
      <c r="E10" s="131" t="s">
        <v>1275</v>
      </c>
      <c r="F10" s="1757"/>
      <c r="G10" s="1757"/>
      <c r="H10" s="1757"/>
      <c r="I10" s="1373"/>
    </row>
    <row r="11" spans="1:12" ht="12.75">
      <c r="A11" s="3564"/>
      <c r="B11" s="3551"/>
      <c r="C11" s="3569"/>
      <c r="D11" s="3587"/>
      <c r="E11" s="131" t="s">
        <v>1276</v>
      </c>
      <c r="F11" s="1757"/>
      <c r="G11" s="1757"/>
      <c r="H11" s="1757"/>
      <c r="I11" s="1373"/>
    </row>
    <row r="12" spans="1:12" ht="12.75">
      <c r="A12" s="3564" t="s">
        <v>1277</v>
      </c>
      <c r="B12" s="3551">
        <v>15</v>
      </c>
      <c r="C12" s="3567"/>
      <c r="D12" s="3587"/>
      <c r="E12" s="131" t="s">
        <v>1278</v>
      </c>
      <c r="F12" s="1757"/>
      <c r="G12" s="1757"/>
      <c r="H12" s="1757"/>
      <c r="I12" s="1373"/>
    </row>
    <row r="13" spans="1:12" ht="12.75">
      <c r="A13" s="3564"/>
      <c r="B13" s="3551"/>
      <c r="C13" s="3569"/>
      <c r="D13" s="3587"/>
      <c r="E13" s="131" t="s">
        <v>1279</v>
      </c>
      <c r="F13" s="1757"/>
      <c r="G13" s="1757"/>
      <c r="H13" s="1757"/>
      <c r="I13" s="1373"/>
    </row>
    <row r="14" spans="1:12" ht="12.75">
      <c r="A14" s="3564" t="s">
        <v>1280</v>
      </c>
      <c r="B14" s="3551">
        <v>30</v>
      </c>
      <c r="C14" s="3567">
        <v>6</v>
      </c>
      <c r="D14" s="3587">
        <v>4</v>
      </c>
      <c r="E14" s="131" t="s">
        <v>1281</v>
      </c>
      <c r="F14" s="1757"/>
      <c r="G14" s="1757"/>
      <c r="H14" s="1757"/>
      <c r="I14" s="1373"/>
    </row>
    <row r="15" spans="1:12" ht="12.75">
      <c r="A15" s="3564"/>
      <c r="B15" s="3551"/>
      <c r="C15" s="3568"/>
      <c r="D15" s="3587"/>
      <c r="E15" s="131" t="s">
        <v>1282</v>
      </c>
      <c r="F15" s="1757"/>
      <c r="G15" s="1757"/>
      <c r="H15" s="1757"/>
      <c r="I15" s="1373"/>
    </row>
    <row r="16" spans="1:12" ht="12.75">
      <c r="A16" s="3564"/>
      <c r="B16" s="3551"/>
      <c r="C16" s="3569"/>
      <c r="D16" s="3587"/>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74" t="s">
        <v>2129</v>
      </c>
      <c r="F18" s="3575"/>
      <c r="G18" s="3575"/>
      <c r="H18" s="3575"/>
      <c r="I18" s="3575"/>
      <c r="K18" s="302" t="s">
        <v>1288</v>
      </c>
      <c r="L18" s="302">
        <f>IF(C1="",'数据-汇总表'!E3,SUMIF(项目类型,C1,'数据-汇总表'!E17:E26)+SUMIF(项目类型,C1,'数据-汇总表'!I17:I26))</f>
        <v>34689.100000000006</v>
      </c>
      <c r="M18" s="302">
        <f>IF(C1="",'数据-汇总表'!E3,SUMIF(项目类型,C1,'数据-汇总表'!E17:E26))</f>
        <v>34689.100000000006</v>
      </c>
    </row>
    <row r="19" spans="1:36" ht="15">
      <c r="A19" s="1761" t="s">
        <v>1289</v>
      </c>
      <c r="B19" s="1762" t="s">
        <v>1290</v>
      </c>
      <c r="C19" s="134">
        <f ca="1">SUMIF(INDIRECT("'"&amp;C4&amp;"'"&amp;"!A:A"),结果表!B19,INDIRECT("'"&amp;C4&amp;"'"&amp;"!B:B"))</f>
        <v>14896</v>
      </c>
      <c r="D19" s="135">
        <f ca="1">SUMIF(INDIRECT("'"&amp;D4&amp;"'"&amp;"!A:A"),结果表!B19,INDIRECT("'"&amp;D4&amp;"'"&amp;"!B:B"))</f>
        <v>10529</v>
      </c>
      <c r="E19" s="1761" t="s">
        <v>1291</v>
      </c>
      <c r="F19" s="1762" t="s">
        <v>1290</v>
      </c>
      <c r="G19" s="136">
        <f ca="1">ROUND(C19*$C$18+D19*$D$18,0)</f>
        <v>13149</v>
      </c>
      <c r="H19" s="1763" t="s">
        <v>1292</v>
      </c>
      <c r="I19" s="129"/>
      <c r="K19" s="302" t="s">
        <v>1293</v>
      </c>
      <c r="L19" s="302">
        <f>IF(C1="",'数据-汇总表'!D3,SUMIF(项目类型,C1,'数据-汇总表'!D17:D26)+SUMIF(项目类型,C1,'数据-汇总表'!H17:H27))</f>
        <v>23254.45</v>
      </c>
      <c r="M19" s="302">
        <f>IF(C1="",'数据-汇总表'!D3,SUMIF(项目类型,C1,'数据-汇总表'!D17:D26))</f>
        <v>23254.45</v>
      </c>
    </row>
    <row r="20" spans="1:36" ht="15">
      <c r="A20" s="1764"/>
      <c r="B20" s="1026" t="s">
        <v>1294</v>
      </c>
      <c r="C20" s="137">
        <f ca="1">SUMIF(INDIRECT("'"&amp;C4&amp;"'"&amp;"!A:A"),结果表!B20,INDIRECT("'"&amp;C4&amp;"'"&amp;"!B:B"))</f>
        <v>4294</v>
      </c>
      <c r="D20" s="138">
        <f ca="1">SUMIF(INDIRECT("'"&amp;D4&amp;"'"&amp;"!A:A"),结果表!B20,INDIRECT("'"&amp;D4&amp;"'"&amp;"!B:B"))</f>
        <v>3035</v>
      </c>
      <c r="E20" s="1764"/>
      <c r="F20" s="1026" t="s">
        <v>1294</v>
      </c>
      <c r="G20" s="139">
        <f ca="1">ROUND(C20*$C$18+D20*$D$18,0)</f>
        <v>3790</v>
      </c>
      <c r="H20" s="808" t="s">
        <v>1295</v>
      </c>
      <c r="I20" s="129"/>
    </row>
    <row r="21" spans="1:36" ht="15" customHeight="1" thickBot="1">
      <c r="A21" s="828"/>
      <c r="B21" s="1765" t="s">
        <v>1296</v>
      </c>
      <c r="C21" s="719">
        <f ca="1">ROUND(C19*10000/L19,0)</f>
        <v>6406</v>
      </c>
      <c r="D21" s="720">
        <f ca="1">ROUND(D19*10000/L19,0)</f>
        <v>4528</v>
      </c>
      <c r="E21" s="828"/>
      <c r="F21" s="1765" t="s">
        <v>1296</v>
      </c>
      <c r="G21" s="140">
        <f ca="1">ROUND(G19*10000/L19,0)</f>
        <v>5654</v>
      </c>
      <c r="H21" s="1766" t="s">
        <v>1295</v>
      </c>
      <c r="I21" s="129"/>
    </row>
    <row r="22" spans="1:36" ht="15" thickBot="1">
      <c r="A22" s="1688" t="s">
        <v>1297</v>
      </c>
      <c r="B22" s="1767"/>
      <c r="C22" s="1768"/>
      <c r="D22" s="721">
        <f ca="1">IF(C19&lt;D19,D19/C19-1,C19/D19-1)</f>
        <v>0.41475923639471945</v>
      </c>
      <c r="E22" s="129"/>
      <c r="F22" s="129"/>
      <c r="G22" s="129"/>
      <c r="H22" s="129"/>
      <c r="I22" s="129"/>
    </row>
    <row r="23" spans="1:36" ht="13.5" thickBot="1">
      <c r="A23" s="1747"/>
      <c r="B23" s="1747"/>
      <c r="C23" s="1747"/>
      <c r="D23" s="1747"/>
      <c r="E23" s="129"/>
      <c r="F23" s="129"/>
      <c r="G23" s="129"/>
      <c r="H23" s="129"/>
      <c r="I23" s="129"/>
    </row>
    <row r="24" spans="1:36" ht="14.25">
      <c r="A24" s="3558" t="s">
        <v>1298</v>
      </c>
      <c r="B24" s="1762" t="s">
        <v>1290</v>
      </c>
      <c r="C24" s="136">
        <f>IF(B30=0,0,D30)</f>
        <v>0</v>
      </c>
      <c r="D24" s="1769"/>
      <c r="E24" s="129"/>
      <c r="F24" s="129"/>
      <c r="G24" s="129"/>
      <c r="H24" s="129"/>
      <c r="I24" s="129"/>
    </row>
    <row r="25" spans="1:36" ht="14.25">
      <c r="A25" s="355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13149</v>
      </c>
      <c r="D32" s="1775" t="s">
        <v>3521</v>
      </c>
      <c r="E32" s="129"/>
      <c r="F32" s="129"/>
      <c r="G32" s="129"/>
      <c r="H32" s="129"/>
      <c r="I32" s="129"/>
    </row>
    <row r="33" spans="1:15" ht="15">
      <c r="A33" s="786" t="s">
        <v>1305</v>
      </c>
      <c r="B33" s="1776"/>
      <c r="C33" s="1777" t="s">
        <v>3522</v>
      </c>
      <c r="D33" s="1778" t="s">
        <v>3428</v>
      </c>
      <c r="E33" s="1779" t="s">
        <v>1306</v>
      </c>
      <c r="F33" s="1780" t="str">
        <f>IF(D32="楼面单价","取值（单价）","取值（总价）")</f>
        <v>取值（总价）</v>
      </c>
      <c r="G33" s="129"/>
      <c r="H33" s="129"/>
      <c r="I33" s="129"/>
    </row>
    <row r="34" spans="1:15" ht="15">
      <c r="A34" s="1781"/>
      <c r="B34" s="1782" t="s">
        <v>1307</v>
      </c>
      <c r="C34" s="148">
        <f ca="1">IF(C33="自定义",F34,C32-C35)</f>
        <v>3603</v>
      </c>
      <c r="D34" s="861">
        <f ca="1">IF(C33="自定义",ROUND(C34/C32,3),IF(C33="收益比率",SUMIF(INDIRECT("'"&amp;D33&amp;"'"&amp;"!b:b"),"土地收益比率",INDIRECT("'"&amp;D33&amp;"'"&amp;"!c:c")),SUMIF(INDIRECT("'"&amp;D33&amp;"'"&amp;"!b:b"),"土地成本比率",INDIRECT("'"&amp;D33&amp;"'"&amp;"!c:c"))))</f>
        <v>0.27400000000000002</v>
      </c>
      <c r="E34" s="1783" t="s">
        <v>1308</v>
      </c>
      <c r="F34" s="1330"/>
      <c r="G34" s="129"/>
      <c r="H34" s="129"/>
      <c r="I34" s="129"/>
    </row>
    <row r="35" spans="1:15" ht="15.75" thickBot="1">
      <c r="A35" s="1784"/>
      <c r="B35" s="1785" t="s">
        <v>1309</v>
      </c>
      <c r="C35" s="1170">
        <f ca="1">IF(C33="自定义",F35,ROUND(C32*D35,0))</f>
        <v>9546</v>
      </c>
      <c r="D35" s="1171">
        <f ca="1">IF(C33="自定义",ROUND(C35/C32,3),IF(C33="收益比率",SUMIF(INDIRECT("'"&amp;D33&amp;"'"&amp;"!b:b"),"建筑物收益比率",INDIRECT("'"&amp;D33&amp;"'"&amp;"!c:c")),SUMIF(INDIRECT("'"&amp;D33&amp;"'"&amp;"!b:b"),"建筑物成本比率",INDIRECT("'"&amp;D33&amp;"'"&amp;"!c:c"))))</f>
        <v>0.72599999999999998</v>
      </c>
      <c r="E35" s="1786" t="s">
        <v>1310</v>
      </c>
      <c r="F35" s="154"/>
      <c r="G35" s="129"/>
      <c r="H35" s="129"/>
      <c r="I35" s="129"/>
    </row>
    <row r="36" spans="1:15" ht="15.75" thickBot="1">
      <c r="A36" s="3578" t="s">
        <v>1311</v>
      </c>
      <c r="B36" s="1787" t="s">
        <v>1312</v>
      </c>
      <c r="C36" s="145"/>
      <c r="D36" s="1788"/>
      <c r="E36" s="1789"/>
      <c r="F36" s="1790"/>
      <c r="G36" s="129"/>
      <c r="H36" s="129"/>
      <c r="I36" s="129"/>
    </row>
    <row r="37" spans="1:15" ht="15.75" thickBot="1">
      <c r="A37" s="3579"/>
      <c r="B37" s="1674" t="s">
        <v>1313</v>
      </c>
      <c r="C37" s="147"/>
      <c r="D37" s="1139"/>
      <c r="E37" s="1139"/>
      <c r="F37" s="1790"/>
      <c r="G37" s="129"/>
      <c r="H37" s="129"/>
      <c r="I37" s="129"/>
    </row>
    <row r="38" spans="1:15" ht="15.75" thickBot="1">
      <c r="A38" s="358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5" t="s">
        <v>1325</v>
      </c>
      <c r="B45" s="3556"/>
      <c r="C45" s="3557"/>
      <c r="D45" s="155">
        <f ca="1">ROUND(H101*F45,0)</f>
        <v>13149</v>
      </c>
      <c r="E45" s="156" t="s">
        <v>1326</v>
      </c>
      <c r="F45" s="157">
        <v>1</v>
      </c>
      <c r="G45" s="158" t="s">
        <v>1327</v>
      </c>
      <c r="H45" s="129"/>
      <c r="I45" s="129"/>
      <c r="J45" s="3633" t="s">
        <v>1328</v>
      </c>
      <c r="K45" s="3633"/>
      <c r="L45" s="3633"/>
      <c r="M45" s="3633"/>
      <c r="N45" s="3633"/>
      <c r="O45" s="3633"/>
    </row>
    <row r="46" spans="1:15" ht="14.25" customHeight="1">
      <c r="A46" s="3552" t="s">
        <v>1329</v>
      </c>
      <c r="B46" s="3553"/>
      <c r="C46" s="3553"/>
      <c r="D46" s="3553"/>
      <c r="E46" s="3553"/>
      <c r="F46" s="3553"/>
      <c r="G46" s="3554"/>
      <c r="H46" s="1806"/>
      <c r="I46" s="159"/>
      <c r="J46" s="2521">
        <v>1</v>
      </c>
      <c r="K46" s="3614" t="s">
        <v>1330</v>
      </c>
      <c r="L46" s="3614"/>
      <c r="M46" s="3634"/>
      <c r="N46" s="3634"/>
      <c r="O46" s="3634"/>
    </row>
    <row r="47" spans="1:15" ht="12" customHeight="1">
      <c r="A47" s="160" t="s">
        <v>1331</v>
      </c>
      <c r="B47" s="161"/>
      <c r="C47" s="162"/>
      <c r="D47" s="1087" t="s">
        <v>1332</v>
      </c>
      <c r="E47" s="302" t="s">
        <v>1333</v>
      </c>
      <c r="F47" s="163" t="s">
        <v>1334</v>
      </c>
      <c r="G47" s="2544" t="s">
        <v>1335</v>
      </c>
      <c r="H47" s="2545"/>
      <c r="I47" s="159"/>
      <c r="J47" s="2521">
        <v>2</v>
      </c>
      <c r="K47" s="3614" t="s">
        <v>1336</v>
      </c>
      <c r="L47" s="3614"/>
      <c r="M47" s="3635">
        <f>'数据-取费表'!B2</f>
        <v>45044</v>
      </c>
      <c r="N47" s="3635"/>
      <c r="O47" s="3635"/>
    </row>
    <row r="48" spans="1:15" ht="25.5">
      <c r="A48" s="3583" t="s">
        <v>1337</v>
      </c>
      <c r="B48" s="3566"/>
      <c r="C48" s="356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614" t="s">
        <v>1339</v>
      </c>
      <c r="L48" s="3614"/>
      <c r="M48" s="3636">
        <f ca="1">H101</f>
        <v>13149</v>
      </c>
      <c r="N48" s="3636"/>
      <c r="O48" s="3636"/>
    </row>
    <row r="49" spans="1:35" ht="25.5" customHeight="1">
      <c r="A49" s="2333" t="s">
        <v>1340</v>
      </c>
      <c r="B49" s="3550" t="s">
        <v>1341</v>
      </c>
      <c r="C49" s="3550"/>
      <c r="D49" s="1590">
        <v>0</v>
      </c>
      <c r="E49" s="324" t="s">
        <v>1342</v>
      </c>
      <c r="F49" s="2422" t="s">
        <v>28</v>
      </c>
      <c r="G49" s="3620"/>
      <c r="H49" s="2310" t="s">
        <v>2132</v>
      </c>
      <c r="I49" s="2311"/>
      <c r="J49" s="2521">
        <v>4</v>
      </c>
      <c r="K49" s="3614" t="str">
        <f>IF(项目基本情况!E8="房地产抵押价值","房地产抵押价值","抵押担保权已注销时的房地产抵押价值")</f>
        <v>房地产抵押价值</v>
      </c>
      <c r="L49" s="3614"/>
      <c r="M49" s="3636">
        <f ca="1">IF(项目基本情况!E8="房地产抵押价值",H107,H109)</f>
        <v>13149</v>
      </c>
      <c r="N49" s="3636"/>
      <c r="O49" s="3636"/>
    </row>
    <row r="50" spans="1:35" ht="25.5" customHeight="1">
      <c r="A50" s="2549"/>
      <c r="B50" s="3550" t="s">
        <v>1343</v>
      </c>
      <c r="C50" s="3550"/>
      <c r="D50" s="2550"/>
      <c r="E50" s="332"/>
      <c r="F50" s="2422"/>
      <c r="G50" s="3621"/>
      <c r="H50" s="2312" t="s">
        <v>2133</v>
      </c>
      <c r="I50" s="2311"/>
      <c r="J50" s="3633" t="s">
        <v>1344</v>
      </c>
      <c r="K50" s="3633"/>
      <c r="L50" s="3633"/>
      <c r="M50" s="3633"/>
      <c r="N50" s="3633"/>
      <c r="O50" s="3633"/>
    </row>
    <row r="51" spans="1:35" ht="20.45" customHeight="1">
      <c r="A51" s="2551"/>
      <c r="B51" s="3550" t="s">
        <v>1345</v>
      </c>
      <c r="C51" s="3550"/>
      <c r="D51" s="1087"/>
      <c r="E51" s="327"/>
      <c r="F51" s="2422"/>
      <c r="G51" s="3622"/>
      <c r="H51" s="2312" t="s">
        <v>2134</v>
      </c>
      <c r="I51" s="2311"/>
      <c r="J51" s="2522" t="s">
        <v>1346</v>
      </c>
      <c r="K51" s="3614" t="s">
        <v>1347</v>
      </c>
      <c r="L51" s="3614"/>
      <c r="M51" s="2522" t="s">
        <v>1348</v>
      </c>
      <c r="N51" s="2522" t="s">
        <v>1349</v>
      </c>
      <c r="O51" s="2522" t="s">
        <v>1350</v>
      </c>
    </row>
    <row r="52" spans="1:35" ht="24" customHeight="1">
      <c r="A52" s="2335" t="s">
        <v>1351</v>
      </c>
      <c r="B52" s="3550" t="s">
        <v>1352</v>
      </c>
      <c r="C52" s="3550"/>
      <c r="D52" s="1087">
        <f ca="1">ROUND(D45*'数据-取费表'!B41/(1+'数据-取费表'!C42),0)</f>
        <v>689</v>
      </c>
      <c r="E52" s="2334" t="s">
        <v>1353</v>
      </c>
      <c r="F52" s="2552">
        <f>'数据-取费表'!B41</f>
        <v>5.5000000000000007E-2</v>
      </c>
      <c r="G52" s="2553"/>
      <c r="H52" s="2542"/>
      <c r="I52" s="1807"/>
      <c r="J52" s="2521">
        <v>1</v>
      </c>
      <c r="K52" s="3615" t="s">
        <v>1354</v>
      </c>
      <c r="L52" s="3615"/>
      <c r="M52" s="2523" t="b">
        <f>D48</f>
        <v>0</v>
      </c>
      <c r="N52" s="2521" t="str">
        <f>E48</f>
        <v>销售额×税（费）率</v>
      </c>
      <c r="O52" s="2524">
        <f>F48</f>
        <v>5.5000000000000007E-2</v>
      </c>
    </row>
    <row r="53" spans="1:35" ht="12" customHeight="1">
      <c r="A53" s="2335" t="s">
        <v>1355</v>
      </c>
      <c r="B53" s="3576" t="s">
        <v>2289</v>
      </c>
      <c r="C53" s="3577"/>
      <c r="D53" s="1087">
        <f ca="1">ROUND(D45*'数据-取费表'!B41/(1+'数据-取费表'!C42),0)</f>
        <v>689</v>
      </c>
      <c r="E53" s="2334" t="s">
        <v>1353</v>
      </c>
      <c r="F53" s="2552">
        <f>'数据-取费表'!B41</f>
        <v>5.5000000000000007E-2</v>
      </c>
      <c r="G53" s="2553"/>
      <c r="H53" s="2542"/>
      <c r="I53" s="1807"/>
      <c r="J53" s="2521">
        <v>2</v>
      </c>
      <c r="K53" s="3615" t="s">
        <v>1356</v>
      </c>
      <c r="L53" s="3615"/>
      <c r="M53" s="2523">
        <f t="shared" ref="M53:O54" ca="1" si="0">D55</f>
        <v>7</v>
      </c>
      <c r="N53" s="2521" t="str">
        <f t="shared" si="0"/>
        <v>销售额×税（费）率</v>
      </c>
      <c r="O53" s="2524" t="str">
        <f t="shared" si="0"/>
        <v>免征</v>
      </c>
    </row>
    <row r="54" spans="1:35" ht="12" customHeight="1">
      <c r="A54" s="2335" t="s">
        <v>1357</v>
      </c>
      <c r="B54" s="3576" t="s">
        <v>2290</v>
      </c>
      <c r="C54" s="3577"/>
      <c r="D54" s="1087">
        <f ca="1">C68</f>
        <v>689</v>
      </c>
      <c r="E54" s="327" t="s">
        <v>1358</v>
      </c>
      <c r="F54" s="2552">
        <f>'数据-取费表'!B41</f>
        <v>5.5000000000000007E-2</v>
      </c>
      <c r="G54" s="2553"/>
      <c r="H54" s="2554"/>
      <c r="I54" s="1807"/>
      <c r="J54" s="2521">
        <v>3</v>
      </c>
      <c r="K54" s="3615" t="s">
        <v>1359</v>
      </c>
      <c r="L54" s="3615"/>
      <c r="M54" s="2523">
        <f t="shared" ca="1" si="0"/>
        <v>7454</v>
      </c>
      <c r="N54" s="2521" t="str">
        <f t="shared" si="0"/>
        <v>增值额×税（费）率</v>
      </c>
      <c r="O54" s="2525" t="str">
        <f t="shared" si="0"/>
        <v>免征</v>
      </c>
    </row>
    <row r="55" spans="1:35" ht="24" customHeight="1">
      <c r="A55" s="3565" t="s">
        <v>1360</v>
      </c>
      <c r="B55" s="3566"/>
      <c r="C55" s="3566"/>
      <c r="D55" s="2324">
        <f ca="1">IF(H55="个人住宅",0,ROUND(D45*I55,0))</f>
        <v>7</v>
      </c>
      <c r="E55" s="2334" t="s">
        <v>1361</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f ca="1">D59</f>
        <v>125</v>
      </c>
      <c r="N55" s="2040" t="str">
        <f>E59</f>
        <v>差额计税</v>
      </c>
      <c r="O55" s="2527">
        <f>F59</f>
        <v>0.01</v>
      </c>
    </row>
    <row r="56" spans="1:35" ht="24.75">
      <c r="A56" s="3565" t="s">
        <v>1362</v>
      </c>
      <c r="B56" s="3566"/>
      <c r="C56" s="3566"/>
      <c r="D56" s="2324">
        <f ca="1">IF(H56="个人住宅",D57,D58)</f>
        <v>7454</v>
      </c>
      <c r="E56" s="2334" t="s">
        <v>1363</v>
      </c>
      <c r="F56" s="2552" t="str">
        <f>IF(H56="正常",F58,"免征")</f>
        <v>免征</v>
      </c>
      <c r="G56" s="2555" t="s">
        <v>1364</v>
      </c>
      <c r="H56" s="2556"/>
      <c r="I56" s="1808"/>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5" t="s">
        <v>1340</v>
      </c>
      <c r="B57" s="3576" t="s">
        <v>1365</v>
      </c>
      <c r="C57" s="3577"/>
      <c r="D57" s="1590">
        <v>0</v>
      </c>
      <c r="E57" s="324" t="s">
        <v>1342</v>
      </c>
      <c r="F57" s="302"/>
      <c r="G57" s="2553"/>
      <c r="H57" s="2557"/>
      <c r="I57" s="1808"/>
      <c r="J57" s="3615">
        <f>IF(AND(J55="",J56=""),4,IF(项目基本情况!K6="上海银行",结果表!J56+1,结果表!J55+1))</f>
        <v>5</v>
      </c>
      <c r="K57" s="3615" t="s">
        <v>1366</v>
      </c>
      <c r="L57" s="2528" t="s">
        <v>1367</v>
      </c>
      <c r="M57" s="2529"/>
      <c r="N57" s="2530">
        <f ca="1">SUMIF(M52:M56,"&lt;9e307")</f>
        <v>7586</v>
      </c>
      <c r="O57" s="2531"/>
      <c r="P57" s="2688">
        <f ca="1">N57/M49</f>
        <v>0.57692600197733668</v>
      </c>
    </row>
    <row r="58" spans="1:35" ht="24.75">
      <c r="A58" s="2335" t="s">
        <v>1351</v>
      </c>
      <c r="B58" s="3576" t="s">
        <v>1368</v>
      </c>
      <c r="C58" s="3550"/>
      <c r="D58" s="2324">
        <f ca="1">IF(H58="转让取得",C81,C97)</f>
        <v>7454</v>
      </c>
      <c r="E58" s="2334" t="s">
        <v>1363</v>
      </c>
      <c r="F58" s="302" t="s">
        <v>28</v>
      </c>
      <c r="G58" s="2553"/>
      <c r="H58" s="2556"/>
      <c r="I58" s="1808"/>
      <c r="J58" s="3615"/>
      <c r="K58" s="3615"/>
      <c r="L58" s="2528" t="s">
        <v>1369</v>
      </c>
      <c r="M58" s="2532"/>
      <c r="N58" s="2533" t="str">
        <f ca="1">NUMBERSTRING(INT(N57*10000),2)&amp;"元整"</f>
        <v>柒仟伍佰捌拾陆万元整</v>
      </c>
      <c r="O58" s="2534"/>
    </row>
    <row r="59" spans="1:35" ht="24.75" thickBot="1">
      <c r="A59" s="3618" t="s">
        <v>1370</v>
      </c>
      <c r="B59" s="3619"/>
      <c r="C59" s="3619"/>
      <c r="D59" s="2558">
        <f ca="1">IF(H59="非个人房产","——",IF(H59="个人住宅（满五唯一有凭证）",0,IF(H59="个人其他（无凭证）",ROUND(D45*F59,0),ROUND(C67*F59,0))))</f>
        <v>125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2135</v>
      </c>
      <c r="J59" s="3616">
        <f>J57+1</f>
        <v>6</v>
      </c>
      <c r="K59" s="3615" t="s">
        <v>1371</v>
      </c>
      <c r="L59" s="2521" t="s">
        <v>1367</v>
      </c>
      <c r="M59" s="2535"/>
      <c r="N59" s="2536">
        <f ca="1">M49-N57</f>
        <v>5563</v>
      </c>
      <c r="O59" s="2537"/>
    </row>
    <row r="60" spans="1:35" ht="12" customHeight="1">
      <c r="A60" s="1809"/>
      <c r="B60" s="1747"/>
      <c r="C60" s="1747"/>
      <c r="D60" s="1747"/>
      <c r="E60" s="1578"/>
      <c r="F60" s="1808"/>
      <c r="G60" s="1808"/>
      <c r="H60" s="1810"/>
      <c r="I60" s="129"/>
      <c r="J60" s="3617"/>
      <c r="K60" s="3615"/>
      <c r="L60" s="2528" t="s">
        <v>1369</v>
      </c>
      <c r="M60" s="2532"/>
      <c r="N60" s="2533" t="str">
        <f ca="1">NUMBERSTRING(INT(N59*10000),2)&amp;"元整"</f>
        <v>伍仟伍佰陆拾叁万元整</v>
      </c>
      <c r="O60" s="2534"/>
    </row>
    <row r="61" spans="1:35" ht="13.5" thickBot="1">
      <c r="A61" s="3563" t="s">
        <v>1372</v>
      </c>
      <c r="B61" s="3563"/>
      <c r="C61" s="3563"/>
      <c r="D61" s="3563"/>
      <c r="E61" s="3563"/>
      <c r="F61" s="1808"/>
      <c r="G61" s="1808"/>
      <c r="H61" s="1810"/>
      <c r="I61" s="129"/>
      <c r="J61" s="2521">
        <f>J59+1</f>
        <v>7</v>
      </c>
      <c r="K61" s="3615" t="s">
        <v>1373</v>
      </c>
      <c r="L61" s="3615"/>
      <c r="M61" s="2538"/>
      <c r="N61" s="2539">
        <f ca="1">ROUND(N59*10000/'数据-汇总表'!E3,0)</f>
        <v>1604</v>
      </c>
      <c r="O61" s="2540"/>
    </row>
    <row r="62" spans="1:35" ht="12.75">
      <c r="A62" s="3581" t="s">
        <v>1374</v>
      </c>
      <c r="B62" s="3582"/>
      <c r="C62" s="2021"/>
      <c r="D62" s="2021" t="s">
        <v>1375</v>
      </c>
      <c r="E62" s="166" t="s">
        <v>1376</v>
      </c>
      <c r="F62" s="1808"/>
      <c r="G62" s="1808"/>
      <c r="H62" s="1810"/>
      <c r="I62" s="129"/>
    </row>
    <row r="63" spans="1:35" ht="12.75">
      <c r="A63" s="173" t="s">
        <v>330</v>
      </c>
      <c r="B63" s="167" t="s">
        <v>1377</v>
      </c>
      <c r="C63" s="2562">
        <f ca="1">ROUND((C64+C65)/(1+'数据-取费表'!C42),0)</f>
        <v>12523</v>
      </c>
      <c r="D63" s="167"/>
      <c r="E63" s="168"/>
      <c r="F63" s="1808"/>
      <c r="G63" s="1808"/>
      <c r="H63" s="1810"/>
      <c r="I63" s="129"/>
      <c r="J63" s="3640" t="s">
        <v>1378</v>
      </c>
      <c r="K63" s="1332" t="s">
        <v>1379</v>
      </c>
      <c r="L63" s="1332">
        <f ca="1">IF(M49&gt;10000,M49*0.5%,IF(AND(M49&gt;1000,M49&lt;=10000),M49*1%,IF(AND(M49&gt;100,M49&lt;=1000),M49*3%,IF(AND(M49&gt;10,M49&lt;=100),M49*5%,M49*8%))))</f>
        <v>65.745000000000005</v>
      </c>
      <c r="M63" s="302">
        <f ca="1">ROUND(L63,1)</f>
        <v>65.7</v>
      </c>
      <c r="N63" s="2541"/>
      <c r="Z63" s="1752"/>
      <c r="AI63" s="1753"/>
    </row>
    <row r="64" spans="1:35" ht="14.25" customHeight="1">
      <c r="A64" s="169" t="s">
        <v>325</v>
      </c>
      <c r="B64" s="170" t="s">
        <v>1380</v>
      </c>
      <c r="C64" s="2563">
        <f ca="1">D45</f>
        <v>13149</v>
      </c>
      <c r="D64" s="170" t="s">
        <v>26</v>
      </c>
      <c r="E64" s="172"/>
      <c r="F64" s="1808"/>
      <c r="G64" s="1808"/>
      <c r="H64" s="1810"/>
      <c r="I64" s="129"/>
      <c r="J64" s="3640"/>
      <c r="K64" s="1332" t="s">
        <v>1381</v>
      </c>
      <c r="L64" s="1332">
        <f ca="1">IF(M49&gt;2000,M49*0.5%,IF(AND(M49&gt;1000,M49&lt;=2000),M49*0.6%,IF(AND(M49&gt;500,M49&lt;=1000),M49*0.7%,IF(AND(M49&gt;200,M49&lt;=500),M49*0.8%,IF(AND(M49&gt;100,M49&lt;=200),M49*0.9%,IF(AND(M49&gt;50,M49&lt;=100),M49*1%,IF(AND(M49&gt;20,M49&lt;=50),M49*1.5%,IF(AND(M49&gt;10,M49&lt;=20),M49*2%,IF(AND(M49&gt;1,M49&lt;=10),M49*2.5%)))))))))</f>
        <v>65.745000000000005</v>
      </c>
      <c r="M64" s="302">
        <f t="shared" ref="M64:M65" ca="1" si="1">ROUND(L64,1)</f>
        <v>65.7</v>
      </c>
      <c r="N64" s="2542" t="s">
        <v>1382</v>
      </c>
      <c r="Z64" s="1752"/>
      <c r="AI64" s="1753"/>
    </row>
    <row r="65" spans="1:35" ht="14.25" customHeight="1">
      <c r="A65" s="169" t="s">
        <v>326</v>
      </c>
      <c r="B65" s="170" t="s">
        <v>1383</v>
      </c>
      <c r="C65" s="2564"/>
      <c r="D65" s="170"/>
      <c r="E65" s="172"/>
      <c r="F65" s="1808"/>
      <c r="G65" s="1808"/>
      <c r="H65" s="1810"/>
      <c r="I65" s="129"/>
      <c r="J65" s="3640"/>
      <c r="K65" s="1332" t="s">
        <v>1384</v>
      </c>
      <c r="L65" s="1332">
        <f ca="1">IF(M49&gt;1000,M49*0.1%,IF(AND(M49&gt;500,M49&lt;=1000),M49*0.5%,IF(AND(M49&gt;50,M49&lt;=500),M49*1%,IF(AND(M49&gt;1,M49&lt;=50),M49*1.5%))))</f>
        <v>13.149000000000001</v>
      </c>
      <c r="M65" s="302">
        <f t="shared" ca="1" si="1"/>
        <v>13.1</v>
      </c>
      <c r="N65" s="2542" t="s">
        <v>1382</v>
      </c>
      <c r="Z65" s="1752"/>
      <c r="AI65" s="1753"/>
    </row>
    <row r="66" spans="1:35" ht="14.25" customHeight="1">
      <c r="A66" s="173" t="s">
        <v>327</v>
      </c>
      <c r="B66" s="174" t="s">
        <v>1385</v>
      </c>
      <c r="C66" s="2565"/>
      <c r="D66" s="174" t="s">
        <v>26</v>
      </c>
      <c r="E66" s="1338" t="s">
        <v>671</v>
      </c>
      <c r="F66" s="1808"/>
      <c r="G66" s="1808"/>
      <c r="H66" s="1810"/>
      <c r="I66" s="129"/>
      <c r="J66" s="3640"/>
      <c r="K66" s="1332" t="s">
        <v>1386</v>
      </c>
      <c r="L66" s="1332">
        <f ca="1">M49*0.5%</f>
        <v>65.745000000000005</v>
      </c>
      <c r="M66" s="302">
        <f ca="1">IF(L66&gt;0.5,0.5,ROUND(L66,0))</f>
        <v>0.5</v>
      </c>
      <c r="N66" s="2542" t="s">
        <v>1387</v>
      </c>
      <c r="Z66" s="1752"/>
      <c r="AI66" s="1753"/>
    </row>
    <row r="67" spans="1:35" ht="14.25" customHeight="1">
      <c r="A67" s="173" t="s">
        <v>328</v>
      </c>
      <c r="B67" s="174" t="s">
        <v>1388</v>
      </c>
      <c r="C67" s="2566">
        <f ca="1">C63-C66</f>
        <v>12523</v>
      </c>
      <c r="D67" s="170" t="s">
        <v>26</v>
      </c>
      <c r="E67" s="172"/>
      <c r="F67" s="1808"/>
      <c r="G67" s="1808"/>
      <c r="H67" s="1810"/>
      <c r="I67" s="129"/>
      <c r="J67" s="3640"/>
      <c r="K67" s="1332" t="s">
        <v>1389</v>
      </c>
      <c r="L67" s="1332">
        <f ca="1">IF(M49&gt;=10000,(8.25+(M49-10000)*0.01%),IF(AND(M49&gt;=8000,M49&lt;10000),(7.85+(M49-8000)*0.02%),IF(AND(M49&gt;=5000,M49&lt;8000),(6.65+(M49-5000)*0.04%),IF(AND(M49&gt;=2000,M49&lt;5000),(4.25+(PM49-2000)*0.08%),IF(AND(M49&gt;=1000,M49&lt;2000),(2.75+(M49-1000)*0.15%),IF(AND(M49&gt;=100,M49&lt;1000),(0.5+(M49-100)*0.25%),IF(AND(M49&gt;0,M49&lt;100),M49*0.5%)))))))</f>
        <v>8.5648999999999997</v>
      </c>
      <c r="M67" s="302">
        <f ca="1">ROUND(L67*0.9,1)</f>
        <v>7.7</v>
      </c>
      <c r="N67" s="2541"/>
      <c r="Z67" s="1752"/>
      <c r="AI67" s="1753"/>
    </row>
    <row r="68" spans="1:35" ht="14.25" customHeight="1" thickBot="1">
      <c r="A68" s="176" t="s">
        <v>329</v>
      </c>
      <c r="B68" s="177" t="s">
        <v>1390</v>
      </c>
      <c r="C68" s="2567">
        <f ca="1">IF(C67&lt;=0,0,ROUND(C67*D68,0))</f>
        <v>689</v>
      </c>
      <c r="D68" s="2568">
        <f>'数据-取费表'!B41</f>
        <v>5.5000000000000007E-2</v>
      </c>
      <c r="E68" s="178"/>
      <c r="F68" s="1808"/>
      <c r="G68" s="1808"/>
      <c r="H68" s="1810"/>
      <c r="I68" s="129"/>
      <c r="J68" s="3640"/>
      <c r="K68" s="1332" t="s">
        <v>1391</v>
      </c>
      <c r="L68" s="1332">
        <f ca="1">IF(M49&gt;10000,M49*0.5%,IF(AND(M49&gt;5000,M49&lt;=10000),M49*1%,IF(AND(M49&gt;1000,M49&lt;=5000),M49*2%,IF(AND(M49&gt;200,M49&lt;=1000),M49*3%,M49*5%))))</f>
        <v>65.745000000000005</v>
      </c>
      <c r="M68" s="302">
        <f ca="1">ROUND(L68,1)</f>
        <v>65.7</v>
      </c>
      <c r="N68" s="2541"/>
      <c r="Z68" s="1752"/>
      <c r="AI68" s="1753"/>
    </row>
    <row r="69" spans="1:35" s="1772" customFormat="1" ht="16.5" customHeight="1">
      <c r="A69" s="1811"/>
      <c r="B69" s="1812"/>
      <c r="C69" s="1813"/>
      <c r="D69" s="1814"/>
      <c r="E69" s="1815"/>
      <c r="F69" s="1578"/>
      <c r="G69" s="1578"/>
      <c r="H69" s="1577"/>
      <c r="I69" s="1747"/>
      <c r="J69" s="3640"/>
      <c r="K69" s="1332" t="s">
        <v>1392</v>
      </c>
      <c r="L69" s="1332"/>
      <c r="M69" s="302">
        <f ca="1">ROUND(SUM(M63:M68),0)</f>
        <v>218</v>
      </c>
      <c r="N69" s="2543">
        <f ca="1">M69/M49</f>
        <v>1.6579207544299947E-2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1393</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1374</v>
      </c>
      <c r="B71" s="3582"/>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12523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63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576" t="s">
        <v>1401</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63</v>
      </c>
      <c r="D78" s="2575">
        <f>'数据-取费表'!B43</f>
        <v>5.000000000000001E-3</v>
      </c>
      <c r="E78" s="3560" t="s">
        <v>1405</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12460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197.77777777777777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7454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1409</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1374</v>
      </c>
      <c r="B84" s="358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12523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63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42" t="s">
        <v>2127</v>
      </c>
      <c r="H90" s="364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60" t="s">
        <v>1418</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60" t="s">
        <v>1421</v>
      </c>
      <c r="F92" s="3561"/>
      <c r="G92" s="3561"/>
      <c r="H92" s="3570"/>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63</v>
      </c>
      <c r="D93" s="2575">
        <f>'数据-取费表'!B43</f>
        <v>5.000000000000001E-3</v>
      </c>
      <c r="E93" s="3560" t="s">
        <v>1405</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571" t="s">
        <v>1425</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12460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197.77777777777777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7454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4" t="s">
        <v>1427</v>
      </c>
      <c r="B100" s="3545"/>
      <c r="C100" s="3545"/>
      <c r="D100" s="3562"/>
      <c r="E100" s="3545" t="s">
        <v>1428</v>
      </c>
      <c r="F100" s="3545"/>
      <c r="G100" s="3545"/>
      <c r="H100" s="3562"/>
      <c r="I100" s="129"/>
    </row>
    <row r="101" spans="1:35" ht="18.75" customHeight="1">
      <c r="A101" s="3623" t="s">
        <v>1429</v>
      </c>
      <c r="B101" s="3624"/>
      <c r="C101" s="2583" t="str">
        <f>C4</f>
        <v>成本法</v>
      </c>
      <c r="D101" s="2584" t="str">
        <f>D4</f>
        <v>假设开发法</v>
      </c>
      <c r="E101" s="3637" t="s">
        <v>1430</v>
      </c>
      <c r="F101" s="3594"/>
      <c r="G101" s="1827" t="s">
        <v>1431</v>
      </c>
      <c r="H101" s="2593">
        <f ca="1">H118</f>
        <v>13149</v>
      </c>
      <c r="I101" s="129"/>
    </row>
    <row r="102" spans="1:35" ht="18.75" customHeight="1">
      <c r="A102" s="3596" t="s">
        <v>1432</v>
      </c>
      <c r="B102" s="2582" t="s">
        <v>1431</v>
      </c>
      <c r="C102" s="2583">
        <f ca="1">IF(D32="楼面单价",ROUND(C19,0),C19)</f>
        <v>14896</v>
      </c>
      <c r="D102" s="2584">
        <f ca="1">IF(D32="楼面单价",ROUND(D19,0),D19)</f>
        <v>10529</v>
      </c>
      <c r="E102" s="3637"/>
      <c r="F102" s="3594"/>
      <c r="G102" s="1827" t="s">
        <v>1433</v>
      </c>
      <c r="H102" s="2553">
        <f ca="1">I118</f>
        <v>3791</v>
      </c>
      <c r="I102" s="129"/>
    </row>
    <row r="103" spans="1:35" ht="42.75" customHeight="1">
      <c r="A103" s="3596"/>
      <c r="B103" s="2582" t="s">
        <v>1433</v>
      </c>
      <c r="C103" s="2585">
        <f ca="1">C20</f>
        <v>4294</v>
      </c>
      <c r="D103" s="2586">
        <f ca="1">D20</f>
        <v>3035</v>
      </c>
      <c r="E103" s="3631" t="s">
        <v>1434</v>
      </c>
      <c r="F103" s="3632"/>
      <c r="G103" s="1828" t="s">
        <v>1435</v>
      </c>
      <c r="H103" s="2593">
        <f>IF(D36="正常操作",H104+H105+H106,H105+H106)</f>
        <v>0</v>
      </c>
      <c r="I103" s="129"/>
    </row>
    <row r="104" spans="1:35" ht="18.75" customHeight="1">
      <c r="A104" s="3596" t="s">
        <v>1436</v>
      </c>
      <c r="B104" s="2587" t="s">
        <v>1431</v>
      </c>
      <c r="C104" s="2588">
        <f ca="1">H118</f>
        <v>13149</v>
      </c>
      <c r="D104" s="2589"/>
      <c r="E104" s="1674" t="s">
        <v>1437</v>
      </c>
      <c r="F104" s="1666"/>
      <c r="G104" s="1828" t="s">
        <v>1435</v>
      </c>
      <c r="H104" s="2594">
        <f>IF(D36="同一抵押权人同一抵押物续贷",C36&amp;"（续贷，未扣减，详见特别提示）",C36)</f>
        <v>0</v>
      </c>
      <c r="I104" s="129"/>
    </row>
    <row r="105" spans="1:35" ht="18.75" customHeight="1" thickBot="1">
      <c r="A105" s="3597"/>
      <c r="B105" s="2590" t="s">
        <v>1433</v>
      </c>
      <c r="C105" s="2591">
        <f ca="1">I118</f>
        <v>3791</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93" t="str">
        <f>IF(项目基本情况!E8="已注销","——","3.房地产抵押价值")</f>
        <v>3.房地产抵押价值</v>
      </c>
      <c r="F107" s="3594"/>
      <c r="G107" s="1827" t="s">
        <v>1431</v>
      </c>
      <c r="H107" s="2593">
        <f ca="1">IF(E107="——","——",H101-H103)</f>
        <v>13149</v>
      </c>
      <c r="I107" s="129"/>
    </row>
    <row r="108" spans="1:35" ht="18.75" customHeight="1">
      <c r="A108" s="129"/>
      <c r="B108" s="129"/>
      <c r="C108" s="129"/>
      <c r="D108" s="129"/>
      <c r="E108" s="3593"/>
      <c r="F108" s="3594"/>
      <c r="G108" s="1827" t="s">
        <v>1433</v>
      </c>
      <c r="H108" s="2553">
        <f ca="1">IF(H107=H101,H102,ROUND(H107*10000/'数据-汇总表'!E3,0))</f>
        <v>3791</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1431</v>
      </c>
      <c r="H109" s="2596" t="str">
        <f>IF(E109="——","——",H101-H105-H106)</f>
        <v>——</v>
      </c>
      <c r="I109" s="129"/>
    </row>
    <row r="110" spans="1:35" ht="18.75" customHeight="1">
      <c r="A110" s="129"/>
      <c r="B110" s="129"/>
      <c r="C110" s="129"/>
      <c r="D110" s="129"/>
      <c r="E110" s="3593"/>
      <c r="F110" s="3594"/>
      <c r="G110" s="1827" t="s">
        <v>1433</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1431</v>
      </c>
      <c r="H111" s="2593" t="str">
        <f>IF(E111="——","——",N59)</f>
        <v>——</v>
      </c>
      <c r="I111" s="129"/>
    </row>
    <row r="112" spans="1:35" ht="18.75" customHeight="1" thickBot="1">
      <c r="A112" s="129"/>
      <c r="B112" s="129"/>
      <c r="C112" s="129"/>
      <c r="D112" s="129"/>
      <c r="E112" s="3626"/>
      <c r="F112" s="3627"/>
      <c r="G112" s="1830" t="s">
        <v>1433</v>
      </c>
      <c r="H112" s="2597" t="str">
        <f>IF(E111="——","——",N61)</f>
        <v>——</v>
      </c>
      <c r="I112" s="129"/>
    </row>
    <row r="113" spans="1:27" ht="18.75" customHeight="1">
      <c r="A113" s="129"/>
      <c r="B113" s="129"/>
      <c r="C113" s="129"/>
      <c r="D113" s="129"/>
      <c r="E113" s="3598" t="s">
        <v>1439</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1441</v>
      </c>
      <c r="B115" s="3609"/>
      <c r="C115" s="3609"/>
      <c r="D115" s="3609"/>
      <c r="E115" s="3609"/>
      <c r="F115" s="3609"/>
      <c r="G115" s="3609"/>
      <c r="H115" s="3609"/>
      <c r="I115" s="3610"/>
    </row>
    <row r="116" spans="1:27" ht="27" customHeight="1">
      <c r="A116" s="3564" t="s">
        <v>1442</v>
      </c>
      <c r="B116" s="3599" t="s">
        <v>1443</v>
      </c>
      <c r="C116" s="3599" t="s">
        <v>1444</v>
      </c>
      <c r="D116" s="3612" t="s">
        <v>1445</v>
      </c>
      <c r="E116" s="3613"/>
      <c r="F116" s="3607" t="s">
        <v>1446</v>
      </c>
      <c r="G116" s="3607"/>
      <c r="H116" s="3564" t="s">
        <v>1447</v>
      </c>
      <c r="I116" s="3564"/>
    </row>
    <row r="117" spans="1:27" ht="18.75" customHeight="1">
      <c r="A117" s="3564"/>
      <c r="B117" s="3600"/>
      <c r="C117" s="3600"/>
      <c r="D117" s="2329" t="s">
        <v>1448</v>
      </c>
      <c r="E117" s="2329" t="s">
        <v>1449</v>
      </c>
      <c r="F117" s="2329" t="s">
        <v>1448</v>
      </c>
      <c r="G117" s="2329" t="s">
        <v>1450</v>
      </c>
      <c r="H117" s="2329" t="s">
        <v>1448</v>
      </c>
      <c r="I117" s="2329" t="s">
        <v>1450</v>
      </c>
    </row>
    <row r="118" spans="1:27" ht="24.75" customHeight="1">
      <c r="A118" s="2598" t="str">
        <f>项目基本情况!S2</f>
        <v>北京市出让国有建设用地使用权及在建建筑物房地产</v>
      </c>
      <c r="B118" s="2329">
        <f>M18</f>
        <v>34689.100000000006</v>
      </c>
      <c r="C118" s="2329">
        <f>M19</f>
        <v>23254.45</v>
      </c>
      <c r="D118" s="2329">
        <f ca="1">ROUND(IF(D32="总价",C34,E118*B118/10000),0)</f>
        <v>3603</v>
      </c>
      <c r="E118" s="2329">
        <f ca="1">ROUND(IF(C33="自定义",IF(D32="楼面单价",C34,D118*10000/B118),I118-G118),0)</f>
        <v>1039</v>
      </c>
      <c r="F118" s="2329">
        <f ca="1">ROUND(IF(D32="总价",C35,G118*B118/10000),0)</f>
        <v>9546</v>
      </c>
      <c r="G118" s="2329">
        <f ca="1">ROUND(IF(D32="楼面单价",C35,F118*10000/B118),0)</f>
        <v>2752</v>
      </c>
      <c r="H118" s="2329">
        <f ca="1">ROUND(IF(D32="总价",C32,I118*B118/10000),0)</f>
        <v>13149</v>
      </c>
      <c r="I118" s="2329">
        <f ca="1">ROUND(IF(D32="楼面单价",C32,H118*10000/B118),0)</f>
        <v>3791</v>
      </c>
    </row>
    <row r="119" spans="1:27" ht="18.75" customHeight="1">
      <c r="A119" s="3564" t="s">
        <v>1451</v>
      </c>
      <c r="B119" s="3564"/>
      <c r="C119" s="3564"/>
      <c r="D119" s="3604" t="str">
        <f ca="1">NUMBERSTRING(INT(D118*10000),2)&amp;"元整"</f>
        <v>叁仟陆佰零叁万元整</v>
      </c>
      <c r="E119" s="3606"/>
      <c r="F119" s="3604" t="str">
        <f ca="1">NUMBERSTRING(INT(F118*10000),2)&amp;"元整"</f>
        <v>玖仟伍佰肆拾陆万元整</v>
      </c>
      <c r="G119" s="3606"/>
      <c r="H119" s="3604" t="str">
        <f ca="1">NUMBERSTRING(INT(H118*10000),2)&amp;"元整"</f>
        <v>壹亿叁仟壹佰肆拾玖万元整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1451</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13149</v>
      </c>
      <c r="E122" s="3629"/>
      <c r="F122" s="3629"/>
      <c r="G122" s="3629"/>
      <c r="H122" s="3629"/>
      <c r="I122" s="3630"/>
      <c r="AA122" s="725"/>
    </row>
    <row r="123" spans="1:27" ht="18.75" customHeight="1">
      <c r="A123" s="3564" t="s">
        <v>1451</v>
      </c>
      <c r="B123" s="3564"/>
      <c r="C123" s="3564"/>
      <c r="D123" s="3604" t="str">
        <f ca="1">NUMBERSTRING(INT(D122*10000),2)&amp;"元整"</f>
        <v>壹亿叁仟壹佰肆拾玖万元整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1451</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1451</v>
      </c>
      <c r="B127" s="3564"/>
      <c r="C127" s="3564"/>
      <c r="D127" s="3604" t="e">
        <f>NUMBERSTRING(INT(D126*10000),2)&amp;"元整"</f>
        <v>#VALUE!</v>
      </c>
      <c r="E127" s="3605"/>
      <c r="F127" s="3605"/>
      <c r="G127" s="3605"/>
      <c r="H127" s="3605"/>
      <c r="I127" s="3606"/>
      <c r="AA127" s="725"/>
    </row>
    <row r="128" spans="1:27" ht="21.75" customHeight="1">
      <c r="A128" s="3611" t="s">
        <v>1452</v>
      </c>
      <c r="B128" s="3611"/>
      <c r="C128" s="3611"/>
      <c r="D128" s="3611"/>
      <c r="E128" s="3611"/>
      <c r="F128" s="3611"/>
      <c r="G128" s="3611"/>
      <c r="H128" s="3611"/>
      <c r="I128" s="361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14896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4294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3282</v>
      </c>
      <c r="D5" s="211" t="s">
        <v>1468</v>
      </c>
      <c r="E5" s="212" t="s">
        <v>1469</v>
      </c>
      <c r="F5" s="212" t="s">
        <v>1470</v>
      </c>
      <c r="G5" s="213"/>
    </row>
    <row r="6" spans="1:9" s="214" customFormat="1" ht="13.5" customHeight="1">
      <c r="A6" s="778" t="s">
        <v>1471</v>
      </c>
      <c r="B6" s="215" t="s">
        <v>1472</v>
      </c>
      <c r="C6" s="216">
        <f>'土地比较法-工业'!B2</f>
        <v>2511</v>
      </c>
      <c r="D6" s="217"/>
      <c r="E6" s="218"/>
      <c r="F6" s="218"/>
      <c r="G6" s="219"/>
    </row>
    <row r="7" spans="1:9" s="214" customFormat="1" ht="13.5" customHeight="1">
      <c r="A7" s="778" t="s">
        <v>1473</v>
      </c>
      <c r="B7" s="215" t="s">
        <v>1474</v>
      </c>
      <c r="C7" s="220">
        <f>ROUND(C6*F7,0)</f>
        <v>77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694</v>
      </c>
      <c r="D8" s="222"/>
      <c r="E8" s="220"/>
      <c r="F8" s="221"/>
      <c r="G8" s="1856" t="s">
        <v>3418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3419</v>
      </c>
      <c r="H9" s="1137"/>
      <c r="I9" s="1858" t="s">
        <v>1478</v>
      </c>
    </row>
    <row r="10" spans="1:9" s="214" customFormat="1" ht="13.5" customHeight="1">
      <c r="A10" s="779" t="s">
        <v>356</v>
      </c>
      <c r="B10" s="224" t="s">
        <v>1479</v>
      </c>
      <c r="C10" s="225">
        <f ca="1">ROUND(D10*E10/10000,0)</f>
        <v>694</v>
      </c>
      <c r="D10" s="845">
        <f ca="1">IF(B1="",'数据-汇总表'!E6,IF(INDIRECT("'数据-取费表'!c"&amp;$G$1)="住宅",INDIRECT("'数据-取费表'!s"&amp;$G$1),INDIRECT("'数据-取费表'!k"&amp;$G$1)+INDIRECT("'数据-取费表'!s"&amp;$G$1)))</f>
        <v>34689.100000000006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34689.100000000006</v>
      </c>
      <c r="E19" s="211">
        <f>'数据-取费表'!B31</f>
        <v>200</v>
      </c>
      <c r="F19" s="231"/>
      <c r="G19" s="1856" t="s">
        <v>3420</v>
      </c>
    </row>
    <row r="20" spans="1:7" s="214" customFormat="1" ht="13.5" customHeight="1">
      <c r="A20" s="255" t="s">
        <v>1492</v>
      </c>
      <c r="B20" s="210" t="s">
        <v>1493</v>
      </c>
      <c r="C20" s="232">
        <f ca="1">ROUND((C5+C19)*F20,0)</f>
        <v>66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151</v>
      </c>
      <c r="D22" s="235">
        <f ca="1">C26</f>
        <v>5.0000000000000001E-4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150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276</v>
      </c>
      <c r="D27" s="235">
        <f ca="1">C29</f>
        <v>1.6999999999999999E-3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276</v>
      </c>
      <c r="D28" s="235"/>
      <c r="E28" s="236"/>
      <c r="F28" s="246"/>
      <c r="G28" s="247"/>
    </row>
    <row r="29" spans="1:7" s="214" customFormat="1" ht="13.5" customHeight="1">
      <c r="A29" s="780" t="s">
        <v>347</v>
      </c>
      <c r="B29" s="248" t="s">
        <v>1516</v>
      </c>
      <c r="C29" s="238">
        <f ca="1">ROUND(C21*F27*'数据-取费表'!B21/'数据-取费表'!B20,4)</f>
        <v>1.6999999999999999E-3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4079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8357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7632</v>
      </c>
      <c r="D34" s="217"/>
      <c r="E34" s="220"/>
      <c r="F34" s="257">
        <f ca="1">IF('数据-取费表'!B24=0,1,IF(B1="",'数据-取费表'!N16,INDIRECT("'数据-取费表'!n"&amp;$G$1)))</f>
        <v>0.55000000000000004</v>
      </c>
      <c r="G34" s="219" t="s">
        <v>1525</v>
      </c>
    </row>
    <row r="35" spans="1:7" ht="13.5" customHeight="1">
      <c r="A35" s="780" t="s">
        <v>351</v>
      </c>
      <c r="B35" s="215" t="s">
        <v>1526</v>
      </c>
      <c r="C35" s="220">
        <f ca="1">ROUND(C34*F35,0)</f>
        <v>229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382</v>
      </c>
      <c r="D37" s="217">
        <f ca="1">D19</f>
        <v>34689.100000000006</v>
      </c>
      <c r="E37" s="249">
        <f>'数据-取费表'!B35</f>
        <v>200</v>
      </c>
      <c r="F37" s="259"/>
      <c r="G37" s="261" t="s">
        <v>1531</v>
      </c>
    </row>
    <row r="38" spans="1:7" ht="13.5" customHeight="1">
      <c r="A38" s="780" t="s">
        <v>354</v>
      </c>
      <c r="B38" s="215" t="s">
        <v>1532</v>
      </c>
      <c r="C38" s="220">
        <f ca="1">ROUND(C34*F38,0)</f>
        <v>114</v>
      </c>
      <c r="D38" s="220"/>
      <c r="E38" s="220"/>
      <c r="F38" s="259">
        <f>'数据-取费表'!B36</f>
        <v>1.4999999999999999E-2</v>
      </c>
      <c r="G38" s="219" t="s">
        <v>1527</v>
      </c>
    </row>
    <row r="39" spans="1:7" s="214" customFormat="1" ht="13.5" customHeight="1">
      <c r="A39" s="255" t="s">
        <v>1533</v>
      </c>
      <c r="B39" s="210" t="s">
        <v>1534</v>
      </c>
      <c r="C39" s="232">
        <f ca="1">ROUND(C33*F20,0)</f>
        <v>167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193</v>
      </c>
      <c r="D41" s="235">
        <f ca="1">C44</f>
        <v>5.0000000000000001E-4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189</v>
      </c>
      <c r="D42" s="238"/>
      <c r="E42" s="238"/>
      <c r="F42" s="239"/>
      <c r="G42" s="3644" t="s">
        <v>1543</v>
      </c>
    </row>
    <row r="43" spans="1:7" ht="13.5" customHeight="1">
      <c r="A43" s="780" t="s">
        <v>347</v>
      </c>
      <c r="B43" s="215" t="s">
        <v>1544</v>
      </c>
      <c r="C43" s="238">
        <f ca="1">ROUND(IF('数据-取费表'!B22&lt;=1,C39*F22*'数据-取费表'!B21/2,C39*(POWER((1+F22),'数据-取费表'!B21/2)-1)),0)</f>
        <v>4</v>
      </c>
      <c r="D43" s="238"/>
      <c r="E43" s="238"/>
      <c r="F43" s="239"/>
      <c r="G43" s="3645"/>
    </row>
    <row r="44" spans="1:7" ht="13.5" customHeight="1">
      <c r="A44" s="780" t="s">
        <v>348</v>
      </c>
      <c r="B44" s="215" t="s">
        <v>1545</v>
      </c>
      <c r="C44" s="238">
        <f ca="1">ROUND(IF('数据-取费表'!B22&lt;=1,C40*F22*'数据-取费表'!B21/2,C40*(POWER((1+F22),'数据-取费表'!B21/2)-1)),4)</f>
        <v>5.0000000000000001E-4</v>
      </c>
      <c r="D44" s="238"/>
      <c r="E44" s="238"/>
      <c r="F44" s="239"/>
      <c r="G44" s="3646"/>
    </row>
    <row r="45" spans="1:7" s="214" customFormat="1" ht="13.5" customHeight="1">
      <c r="A45" s="255" t="s">
        <v>1546</v>
      </c>
      <c r="B45" s="244" t="s">
        <v>1512</v>
      </c>
      <c r="C45" s="245">
        <f ca="1">C46</f>
        <v>1279</v>
      </c>
      <c r="D45" s="235">
        <f ca="1">C47</f>
        <v>3.0000000000000001E-3</v>
      </c>
      <c r="E45" s="236" t="s">
        <v>1538</v>
      </c>
      <c r="F45" s="246">
        <f ca="1">F27</f>
        <v>0.15</v>
      </c>
      <c r="G45" s="247" t="s">
        <v>1547</v>
      </c>
    </row>
    <row r="46" spans="1:7" s="214" customFormat="1" ht="13.5" customHeight="1">
      <c r="A46" s="780" t="s">
        <v>346</v>
      </c>
      <c r="B46" s="248" t="s">
        <v>1548</v>
      </c>
      <c r="C46" s="249">
        <f ca="1">ROUND((C33+C39)*F27,0)</f>
        <v>1279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10817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10817</v>
      </c>
      <c r="D51" s="232"/>
      <c r="E51" s="232"/>
      <c r="F51" s="264"/>
      <c r="G51" s="234" t="s">
        <v>1559</v>
      </c>
    </row>
    <row r="52" spans="1:7" s="208" customFormat="1" ht="16.5" thickBot="1">
      <c r="A52" s="265" t="s">
        <v>1560</v>
      </c>
      <c r="B52" s="266"/>
      <c r="C52" s="267">
        <f ca="1">C31+C51</f>
        <v>14896</v>
      </c>
      <c r="D52" s="266"/>
      <c r="E52" s="266"/>
      <c r="F52" s="266"/>
      <c r="G52" s="268"/>
    </row>
    <row r="55" spans="1:7" ht="15">
      <c r="B55" s="270" t="s">
        <v>1561</v>
      </c>
      <c r="C55" s="271"/>
    </row>
    <row r="56" spans="1:7">
      <c r="B56" s="273" t="s">
        <v>802</v>
      </c>
      <c r="C56" s="275">
        <f ca="1">1-C57</f>
        <v>0.27400000000000002</v>
      </c>
    </row>
    <row r="57" spans="1:7">
      <c r="B57" s="273" t="s">
        <v>803</v>
      </c>
      <c r="C57" s="274">
        <f ca="1">ROUND(C51/C52,3)</f>
        <v>0.72599999999999998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北京市出让国有建设用地使用权及在建建筑物房地产抵押价值预评估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t="str">
        <f>项目基本情况!B5</f>
        <v>工行翠微路</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2">
        <f ca="1">ROUND(IF(D2="——",C52/10000,C52/10000-E2),4)</f>
        <v>21879.015100000001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6307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6937820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6937820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6937820</v>
      </c>
      <c r="D10" s="845">
        <f ca="1">IF(B1="",'数据-汇总表'!E6,IF(INDIRECT("'数据-取费表'!c"&amp;$G$1)="住宅",INDIRECT("'数据-取费表'!s"&amp;$G$1),INDIRECT("'数据-取费表'!k"&amp;$G$1)+INDIRECT("'数据-取费表'!s"&amp;$G$1)))</f>
        <v>34689.100000000006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6937820</v>
      </c>
      <c r="D19" s="849">
        <f ca="1">D9+D10</f>
        <v>34689.100000000006</v>
      </c>
      <c r="E19" s="211">
        <f>'数据-取费表'!B31</f>
        <v>200</v>
      </c>
      <c r="F19" s="231"/>
      <c r="G19" s="1856"/>
    </row>
    <row r="20" spans="1:7" s="214" customFormat="1" ht="13.5" customHeight="1">
      <c r="A20" s="255" t="s">
        <v>1573</v>
      </c>
      <c r="B20" s="210" t="s">
        <v>1574</v>
      </c>
      <c r="C20" s="232">
        <f ca="1">ROUND((C5+C19)*F20,0)</f>
        <v>277513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1187093</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587788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587788</v>
      </c>
      <c r="D24" s="238"/>
      <c r="E24" s="238"/>
      <c r="F24" s="239"/>
      <c r="G24" s="240" t="s">
        <v>1585</v>
      </c>
    </row>
    <row r="25" spans="1:7" s="214" customFormat="1" ht="24">
      <c r="A25" s="780" t="s">
        <v>1475</v>
      </c>
      <c r="B25" s="215" t="s">
        <v>1586</v>
      </c>
      <c r="C25" s="1128">
        <f ca="1">ROUND(IF('数据-取费表'!B22&lt;=1,C20*F22*'数据-取费表'!B22/2,C20*(POWER((1+F22),'数据-取费表'!B22/2)-1)),0)</f>
        <v>11517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2122973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2122973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18903679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151938258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138756400</v>
      </c>
      <c r="D34" s="217"/>
      <c r="E34" s="220"/>
      <c r="F34" s="257"/>
      <c r="G34" s="219"/>
    </row>
    <row r="35" spans="1:7" ht="13.5" customHeight="1">
      <c r="A35" s="780" t="s">
        <v>351</v>
      </c>
      <c r="B35" s="215" t="s">
        <v>1526</v>
      </c>
      <c r="C35" s="220">
        <f ca="1">ROUND(C34*F35,0)</f>
        <v>4162692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6937820</v>
      </c>
      <c r="D37" s="217">
        <f ca="1">D19</f>
        <v>34689.100000000006</v>
      </c>
      <c r="E37" s="249">
        <f>'数据-取费表'!B35</f>
        <v>200</v>
      </c>
      <c r="F37" s="259"/>
      <c r="G37" s="261"/>
    </row>
    <row r="38" spans="1:7" ht="13.5" customHeight="1">
      <c r="A38" s="780" t="s">
        <v>354</v>
      </c>
      <c r="B38" s="215" t="s">
        <v>1532</v>
      </c>
      <c r="C38" s="220">
        <f ca="1">ROUND(C34*F38,0)</f>
        <v>2081346</v>
      </c>
      <c r="D38" s="220"/>
      <c r="E38" s="220"/>
      <c r="F38" s="259">
        <f>'数据-取费表'!B36</f>
        <v>1.4999999999999999E-2</v>
      </c>
      <c r="G38" s="219" t="s">
        <v>1527</v>
      </c>
    </row>
    <row r="39" spans="1:7" s="214" customFormat="1" ht="13.5" customHeight="1">
      <c r="A39" s="255" t="s">
        <v>1533</v>
      </c>
      <c r="B39" s="210" t="s">
        <v>1534</v>
      </c>
      <c r="C39" s="232">
        <f ca="1">ROUND(C33*F20,0)</f>
        <v>3038765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6431547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6305438</v>
      </c>
      <c r="D42" s="238"/>
      <c r="E42" s="238"/>
      <c r="F42" s="239"/>
      <c r="G42" s="3644" t="s">
        <v>1590</v>
      </c>
    </row>
    <row r="43" spans="1:7" ht="13.5" customHeight="1">
      <c r="A43" s="780" t="s">
        <v>347</v>
      </c>
      <c r="B43" s="215" t="s">
        <v>1544</v>
      </c>
      <c r="C43" s="238">
        <f ca="1">ROUND(IF('数据-取费表'!B22&lt;=1,C39*F22*'数据-取费表'!B20/2,C39*(POWER((1+F22),'数据-取费表'!B20/2)-1)),0)</f>
        <v>126109</v>
      </c>
      <c r="D43" s="238"/>
      <c r="E43" s="238"/>
      <c r="F43" s="239"/>
      <c r="G43" s="3645"/>
    </row>
    <row r="44" spans="1:7" ht="13.5" customHeight="1">
      <c r="A44" s="780" t="s">
        <v>348</v>
      </c>
      <c r="B44" s="215" t="s">
        <v>1545</v>
      </c>
      <c r="C44" s="238">
        <f ca="1">ROUND(IF('数据-取费表'!B22&lt;=1,C40*F22*'数据-取费表'!B20/2,C40*(POWER((1+F22),'数据-取费表'!B20/2)-1)),4)</f>
        <v>8.0000000000000004E-4</v>
      </c>
      <c r="D44" s="238"/>
      <c r="E44" s="238"/>
      <c r="F44" s="239"/>
      <c r="G44" s="3646"/>
    </row>
    <row r="45" spans="1:7" s="214" customFormat="1" ht="13.5" customHeight="1">
      <c r="A45" s="255" t="s">
        <v>1546</v>
      </c>
      <c r="B45" s="244" t="s">
        <v>1512</v>
      </c>
      <c r="C45" s="245">
        <f ca="1">C46</f>
        <v>23246553</v>
      </c>
      <c r="D45" s="235">
        <f ca="1">C47</f>
        <v>3.0000000000000001E-3</v>
      </c>
      <c r="E45" s="236" t="s">
        <v>1538</v>
      </c>
      <c r="F45" s="246">
        <f ca="1">F27</f>
        <v>0.15</v>
      </c>
      <c r="G45" s="247" t="s">
        <v>1547</v>
      </c>
    </row>
    <row r="46" spans="1:7" s="214" customFormat="1" ht="13.5" customHeight="1">
      <c r="A46" s="780" t="s">
        <v>346</v>
      </c>
      <c r="B46" s="248" t="s">
        <v>1548</v>
      </c>
      <c r="C46" s="249">
        <f ca="1">ROUND((C33+C39)*F27,0)</f>
        <v>23246553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199886472</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199886472</v>
      </c>
      <c r="D51" s="232"/>
      <c r="E51" s="232"/>
      <c r="F51" s="264"/>
      <c r="G51" s="234" t="s">
        <v>1559</v>
      </c>
    </row>
    <row r="52" spans="1:7" s="208" customFormat="1" ht="16.5" thickBot="1">
      <c r="A52" s="265" t="s">
        <v>1560</v>
      </c>
      <c r="B52" s="266"/>
      <c r="C52" s="267">
        <f ca="1">C31+C51</f>
        <v>218790151</v>
      </c>
      <c r="D52" s="266"/>
      <c r="E52" s="266"/>
      <c r="F52" s="266"/>
      <c r="G52" s="268"/>
    </row>
    <row r="55" spans="1:7" ht="15">
      <c r="B55" s="270" t="s">
        <v>1561</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H37" sqref="H3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8</v>
      </c>
    </row>
    <row r="2" spans="1:33" ht="18" customHeight="1">
      <c r="A2" s="201" t="s">
        <v>1461</v>
      </c>
      <c r="B2" s="204">
        <f ca="1">C32</f>
        <v>10529</v>
      </c>
      <c r="C2" s="276" t="s">
        <v>1594</v>
      </c>
      <c r="D2" s="276"/>
      <c r="E2" s="2804"/>
      <c r="F2" s="2804"/>
      <c r="G2" s="2804"/>
      <c r="H2" s="2804"/>
      <c r="I2" s="2804"/>
      <c r="J2" s="2804"/>
      <c r="K2" s="2804"/>
    </row>
    <row r="3" spans="1:33" ht="18" customHeight="1" thickBot="1">
      <c r="A3" s="203" t="s">
        <v>1463</v>
      </c>
      <c r="B3" s="204">
        <f ca="1">ROUND(B2*10000/IF(C1="",'数据-汇总表'!E3,INDIRECT("'数据-取费表'!K"&amp;$K$1)),0)</f>
        <v>3035</v>
      </c>
      <c r="C3" s="276" t="s">
        <v>1595</v>
      </c>
      <c r="D3" s="276"/>
      <c r="E3" s="2804"/>
      <c r="F3" s="2804"/>
      <c r="G3" s="2804"/>
      <c r="H3" s="2804"/>
      <c r="I3" s="2804"/>
      <c r="J3" s="2804"/>
      <c r="K3" s="2804"/>
    </row>
    <row r="4" spans="1:33" s="785" customFormat="1" ht="16.5" customHeight="1">
      <c r="A4" s="782" t="s">
        <v>1596</v>
      </c>
      <c r="B4" s="783"/>
      <c r="C4" s="824">
        <f ca="1">SUM(C8:K8)</f>
        <v>21468</v>
      </c>
      <c r="D4" s="783"/>
      <c r="E4" s="783"/>
      <c r="F4" s="783"/>
      <c r="G4" s="783"/>
      <c r="H4" s="783"/>
      <c r="I4" s="783"/>
      <c r="J4" s="783"/>
      <c r="K4" s="784"/>
    </row>
    <row r="5" spans="1:33" s="789" customFormat="1" ht="15">
      <c r="A5" s="786" t="s">
        <v>1597</v>
      </c>
      <c r="B5" s="787" t="s">
        <v>1598</v>
      </c>
      <c r="C5" s="1860" t="s">
        <v>3</v>
      </c>
      <c r="D5" s="1860" t="s">
        <v>3402</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9473</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22663.3</v>
      </c>
      <c r="D7" s="277">
        <f>SUMIF('数据-汇总表'!$C19:$C33,假设开发法!D5,'数据-汇总表'!$E19:$E33)</f>
        <v>7113.3</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收益法!B2</f>
        <v>21468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6243</v>
      </c>
      <c r="D11" s="802"/>
      <c r="E11" s="329"/>
      <c r="F11" s="812">
        <f ca="1">1-IF('数据-取费表'!B24=0,1,IF(C1="",'数据-取费表'!N16,INDIRECT("'数据-取费表'!n"&amp;$K$1)))</f>
        <v>0.44999999999999996</v>
      </c>
      <c r="G11" s="5"/>
      <c r="H11" s="797"/>
      <c r="I11" s="797"/>
      <c r="J11" s="797"/>
      <c r="K11" s="798"/>
    </row>
    <row r="12" spans="1:33" s="803" customFormat="1" ht="13.5" customHeight="1">
      <c r="A12" s="800" t="s">
        <v>636</v>
      </c>
      <c r="B12" s="801" t="s">
        <v>1612</v>
      </c>
      <c r="C12" s="21">
        <f ca="1">ROUND(C11*F12,0)</f>
        <v>187</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312</v>
      </c>
      <c r="D14" s="846">
        <f ca="1">IF(C1="",'数据-汇总表'!E3,INDIRECT("'数据-取费表'!K"&amp;$K$1)+INDIRECT("'数据-取费表'!S"&amp;$K$1))</f>
        <v>34689.100000000006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94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6836</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34689.100000000006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694</v>
      </c>
      <c r="D20" s="846">
        <f ca="1">IF(C1="",'数据-汇总表'!E6,IF(INDIRECT("'数据-取费表'!c"&amp;$K$1)="住宅",INDIRECT("'数据-取费表'!s"&amp;$K$1),INDIRECT("'数据-取费表'!k"&amp;$K$1)+INDIRECT("'数据-取费表'!s"&amp;$K$1)))</f>
        <v>34689.100000000006</v>
      </c>
      <c r="E20" s="21">
        <f>'数据-取费表'!B28</f>
        <v>200</v>
      </c>
      <c r="F20" s="804"/>
      <c r="G20" s="12"/>
      <c r="H20" s="809"/>
      <c r="I20" s="809"/>
      <c r="J20" s="809"/>
      <c r="K20" s="810"/>
    </row>
    <row r="21" spans="1:33" s="803" customFormat="1" ht="13.5" customHeight="1">
      <c r="A21" s="790" t="s">
        <v>357</v>
      </c>
      <c r="B21" s="813" t="s">
        <v>1627</v>
      </c>
      <c r="C21" s="814">
        <f ca="1">C16+C17+C18</f>
        <v>6836</v>
      </c>
      <c r="D21" s="815"/>
      <c r="E21" s="281"/>
      <c r="F21" s="281"/>
      <c r="G21" s="131" t="s">
        <v>1628</v>
      </c>
      <c r="H21" s="807"/>
      <c r="I21" s="807"/>
      <c r="J21" s="807"/>
      <c r="K21" s="808"/>
    </row>
    <row r="22" spans="1:33" s="803" customFormat="1" ht="13.5" customHeight="1">
      <c r="A22" s="790" t="s">
        <v>1600</v>
      </c>
      <c r="B22" s="813" t="s">
        <v>1629</v>
      </c>
      <c r="C22" s="814">
        <f ca="1">ROUND(C21*F22,0)</f>
        <v>137</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193</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132</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3.8399999999999997E-2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132</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1075</v>
      </c>
      <c r="D28" s="280">
        <f ca="1">C29</f>
        <v>6.9500000000000006E-2</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6.9500000000000006E-2</v>
      </c>
      <c r="D29" s="284"/>
      <c r="E29" s="285"/>
      <c r="F29" s="290"/>
      <c r="G29" s="131" t="s">
        <v>1643</v>
      </c>
      <c r="H29" s="807"/>
      <c r="I29" s="807"/>
      <c r="J29" s="807"/>
      <c r="K29" s="808"/>
    </row>
    <row r="30" spans="1:33" s="291" customFormat="1" ht="13.5" customHeight="1">
      <c r="A30" s="800" t="s">
        <v>359</v>
      </c>
      <c r="B30" s="822" t="s">
        <v>1644</v>
      </c>
      <c r="C30" s="292">
        <f ca="1">ROUND((C21+C22+C23)*F28,0)</f>
        <v>1075</v>
      </c>
      <c r="D30" s="284"/>
      <c r="E30" s="285"/>
      <c r="F30" s="290"/>
      <c r="G30" s="131"/>
      <c r="H30" s="807"/>
      <c r="I30" s="807"/>
      <c r="J30" s="807"/>
      <c r="K30" s="808"/>
    </row>
    <row r="31" spans="1:33" s="803" customFormat="1" ht="13.5" customHeight="1" thickBot="1">
      <c r="A31" s="1866" t="s">
        <v>1645</v>
      </c>
      <c r="B31" s="833" t="s">
        <v>1646</v>
      </c>
      <c r="C31" s="834">
        <f ca="1">ROUND(C4*F31/(1+'数据-取费表'!C42),0)</f>
        <v>1125</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10529</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3414</v>
      </c>
      <c r="E1" s="1363" t="s">
        <v>678</v>
      </c>
      <c r="F1" s="1062">
        <f ca="1">J53</f>
        <v>17.62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21468</v>
      </c>
      <c r="C2" s="1387" t="s">
        <v>805</v>
      </c>
      <c r="D2" s="1387"/>
      <c r="E2" s="1388"/>
      <c r="F2" s="1389"/>
      <c r="G2" s="2704"/>
      <c r="H2" s="2693"/>
      <c r="I2" s="2693"/>
      <c r="J2" s="2693"/>
      <c r="K2" s="2694"/>
      <c r="L2" s="2693"/>
      <c r="M2" s="2693"/>
    </row>
    <row r="3" spans="1:37" ht="18" customHeight="1" thickBot="1">
      <c r="A3" s="1390" t="s">
        <v>806</v>
      </c>
      <c r="B3" s="1391">
        <f ca="1">IF(ISERROR(B2*10000/F43),0,ROUND(B2*10000/F43,0))</f>
        <v>9473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1863</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1861</v>
      </c>
      <c r="D6" s="155" t="s">
        <v>2107</v>
      </c>
      <c r="E6" s="302" t="s">
        <v>696</v>
      </c>
      <c r="F6" s="303">
        <f ca="1">INDIRECT("'数据-取费表'!u"&amp;$G$1)</f>
        <v>2.5</v>
      </c>
      <c r="G6" s="1384"/>
      <c r="H6" s="1069" t="s">
        <v>398</v>
      </c>
      <c r="I6" s="3649" t="s">
        <v>694</v>
      </c>
      <c r="J6" s="301">
        <f ca="1">ROUND(M6*M8*M7*(1-M9)/10000,0)</f>
        <v>0</v>
      </c>
      <c r="K6" s="155"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22663.3</v>
      </c>
      <c r="G7" s="1384"/>
      <c r="H7" s="304"/>
      <c r="I7" s="3650"/>
      <c r="J7" s="306"/>
      <c r="K7" s="307"/>
      <c r="L7" s="302" t="s">
        <v>697</v>
      </c>
      <c r="M7" s="303">
        <f ca="1">F7</f>
        <v>22663.3</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2115</v>
      </c>
      <c r="E10" s="313" t="s">
        <v>701</v>
      </c>
      <c r="F10" s="1116" t="s">
        <v>3413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15213</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10561</v>
      </c>
      <c r="D14" s="1345" t="s">
        <v>708</v>
      </c>
      <c r="E14" s="1342"/>
      <c r="F14" s="319"/>
      <c r="G14" s="1384"/>
      <c r="H14" s="982" t="s">
        <v>398</v>
      </c>
      <c r="I14" s="302" t="s">
        <v>709</v>
      </c>
      <c r="J14" s="21">
        <f ca="1">C29</f>
        <v>15213</v>
      </c>
      <c r="K14" s="12"/>
      <c r="L14" s="807"/>
      <c r="M14" s="808"/>
    </row>
    <row r="15" spans="1:37" s="1397" customFormat="1" ht="18" customHeight="1" thickBot="1">
      <c r="A15" s="982" t="s">
        <v>399</v>
      </c>
      <c r="B15" s="302" t="s">
        <v>710</v>
      </c>
      <c r="C15" s="21">
        <f ca="1">ROUND(C14*F15,0)</f>
        <v>317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1088"/>
      <c r="M16" s="1072"/>
    </row>
    <row r="17" spans="1:37" s="1397" customFormat="1" ht="18" customHeight="1">
      <c r="A17" s="982" t="s">
        <v>681</v>
      </c>
      <c r="B17" s="302" t="s">
        <v>716</v>
      </c>
      <c r="C17" s="21">
        <f ca="1">ROUND(F17*(F43+INDIRECT("'数据-取费表'!S"&amp;$G$1))/10000,0)</f>
        <v>528</v>
      </c>
      <c r="D17" s="302" t="s">
        <v>717</v>
      </c>
      <c r="E17" s="302" t="s">
        <v>718</v>
      </c>
      <c r="F17" s="23">
        <f>'数据-取费表'!B35</f>
        <v>200</v>
      </c>
      <c r="G17" s="1396"/>
      <c r="H17" s="982" t="s">
        <v>398</v>
      </c>
      <c r="I17" s="302" t="s">
        <v>719</v>
      </c>
      <c r="J17" s="2316">
        <f ca="1">ROUND(IF(AND(项目基本情况!B11="自然人",项目基本情况!B10="北京市"),J6*M17/(1+'数据-取费表'!C42),J18+J19+J20),2)</f>
        <v>2.65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11564</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231</v>
      </c>
      <c r="D20" s="323" t="s">
        <v>729</v>
      </c>
      <c r="E20" s="302" t="s">
        <v>712</v>
      </c>
      <c r="F20" s="322">
        <f>'数据-取费表'!B37</f>
        <v>0.02</v>
      </c>
      <c r="G20" s="1396"/>
      <c r="H20" s="982" t="s">
        <v>680</v>
      </c>
      <c r="I20" s="155" t="s">
        <v>730</v>
      </c>
      <c r="J20" s="22">
        <f ca="1">ROUND(M20*M21/10000,2)</f>
        <v>2.65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17699.22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76.069999999999993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v>
      </c>
      <c r="K25" s="1095" t="s">
        <v>753</v>
      </c>
      <c r="L25" s="1096"/>
      <c r="M25" s="1097"/>
    </row>
    <row r="26" spans="1:37">
      <c r="A26" s="982" t="s">
        <v>397</v>
      </c>
      <c r="B26" s="302" t="s">
        <v>754</v>
      </c>
      <c r="C26" s="21">
        <f ca="1">ROUND((C19+C20)*F26,0)</f>
        <v>1769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15213</v>
      </c>
      <c r="D29" s="1092"/>
      <c r="E29" s="1090"/>
      <c r="F29" s="1093"/>
      <c r="G29" s="1396"/>
      <c r="H29" s="334" t="s">
        <v>396</v>
      </c>
      <c r="I29" s="335" t="s">
        <v>768</v>
      </c>
      <c r="J29" s="336">
        <f ca="1">ROUND(J26/(1+F40)^F41,0)</f>
        <v>0</v>
      </c>
      <c r="K29" s="337" t="s">
        <v>769</v>
      </c>
      <c r="L29" s="338"/>
      <c r="M29" s="339">
        <f ca="1">INDIRECT("'数据-取费表'!k"&amp;$G$1)</f>
        <v>22663.3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312.82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97.48</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212.69</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2.65</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17699.22</v>
      </c>
      <c r="G35" s="1384"/>
      <c r="H35" s="2695"/>
      <c r="I35" s="1398"/>
      <c r="J35" s="1399"/>
      <c r="K35" s="2699"/>
      <c r="L35" s="2698"/>
      <c r="M35" s="2698"/>
    </row>
    <row r="36" spans="1:18" ht="18" customHeight="1">
      <c r="A36" s="1102" t="s">
        <v>402</v>
      </c>
      <c r="B36" s="302" t="s">
        <v>738</v>
      </c>
      <c r="C36" s="21">
        <f ca="1">ROUND(C29*F36,2)</f>
        <v>76.069999999999993</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15.21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18.63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1440</v>
      </c>
      <c r="D39" s="1095" t="s">
        <v>773</v>
      </c>
      <c r="E39" s="1096"/>
      <c r="F39" s="1097"/>
      <c r="G39" s="1384"/>
      <c r="H39" s="2698">
        <f ca="1">C39/C5</f>
        <v>0.77294685990338163</v>
      </c>
      <c r="I39" s="1398"/>
      <c r="J39" s="1399"/>
      <c r="K39" s="2702"/>
      <c r="L39" s="2698"/>
      <c r="M39" s="2698"/>
    </row>
    <row r="40" spans="1:18" ht="18" customHeight="1">
      <c r="A40" s="299" t="s">
        <v>395</v>
      </c>
      <c r="B40" s="300" t="s">
        <v>774</v>
      </c>
      <c r="C40" s="301">
        <f ca="1">ROUND(C39*(1-((1+F42)/(1+F40))^F41)/(F40-F42),0)</f>
        <v>18438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17.62</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8136</v>
      </c>
      <c r="D43" s="337" t="s">
        <v>777</v>
      </c>
      <c r="E43" s="338" t="s">
        <v>778</v>
      </c>
      <c r="F43" s="339">
        <f ca="1">INDIRECT("'数据-取费表'!k"&amp;$G$1)</f>
        <v>22663.3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-19482</v>
      </c>
      <c r="D46" s="1406" t="str">
        <f>C2</f>
        <v>万元</v>
      </c>
      <c r="E46" s="1400"/>
      <c r="F46" s="1400"/>
      <c r="I46" s="1407" t="s">
        <v>810</v>
      </c>
      <c r="J46" s="1408"/>
      <c r="K46" s="1409"/>
      <c r="L46" s="1410">
        <f ca="1">IF(M47="住宅",0,IF(L48&gt;J51,L60,J60))</f>
        <v>3030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20</v>
      </c>
      <c r="M47" s="1380" t="str">
        <f>IF(ISNUMBER(FIND("住宅",C1)),"住宅","非住宅")</f>
        <v>非住宅</v>
      </c>
      <c r="O47" s="1418" t="s">
        <v>403</v>
      </c>
      <c r="P47" s="1419" t="s">
        <v>817</v>
      </c>
      <c r="Q47" s="1420">
        <f ca="1">C40+J29</f>
        <v>18438</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18.52</v>
      </c>
      <c r="O48" s="1418" t="s">
        <v>404</v>
      </c>
      <c r="P48" s="1419" t="s">
        <v>821</v>
      </c>
      <c r="Q48" s="1420">
        <f ca="1">J60</f>
        <v>3030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15213</v>
      </c>
      <c r="R49" s="1420" t="s">
        <v>818</v>
      </c>
    </row>
    <row r="50" spans="1:18" s="1384" customFormat="1" ht="13.5" thickBot="1">
      <c r="A50" s="976"/>
      <c r="B50" s="979"/>
      <c r="C50" s="1118"/>
      <c r="D50" s="953"/>
      <c r="E50" s="1056" t="s">
        <v>697</v>
      </c>
      <c r="F50" s="1057">
        <f ca="1">F7</f>
        <v>22663.3</v>
      </c>
      <c r="H50" s="723"/>
      <c r="I50" s="1421" t="s">
        <v>826</v>
      </c>
      <c r="J50" s="1429">
        <f>SUMPRODUCT((I63:I65=J47)*(J62:L62=J48)*(J63:L65))</f>
        <v>80</v>
      </c>
      <c r="K50" s="1423" t="s">
        <v>827</v>
      </c>
      <c r="L50" s="1427"/>
      <c r="M50" s="1430"/>
      <c r="O50" s="1428" t="s">
        <v>406</v>
      </c>
      <c r="P50" s="1419" t="s">
        <v>828</v>
      </c>
      <c r="Q50" s="1431">
        <f ca="1">J58</f>
        <v>0.77300000000000002</v>
      </c>
      <c r="R50" s="1420"/>
    </row>
    <row r="51" spans="1:18" s="1384" customFormat="1" ht="13.5" thickBot="1">
      <c r="A51" s="977"/>
      <c r="B51" s="979"/>
      <c r="C51" s="980"/>
      <c r="D51" s="953"/>
      <c r="E51" s="981" t="s">
        <v>698</v>
      </c>
      <c r="F51" s="303">
        <f ca="1">F8</f>
        <v>365</v>
      </c>
      <c r="I51" s="1432" t="s">
        <v>829</v>
      </c>
      <c r="J51" s="1433">
        <f>IF(J49="",J50,J49+J50-YEAR('数据-取费表'!B2))</f>
        <v>80</v>
      </c>
      <c r="K51" s="1434" t="s">
        <v>830</v>
      </c>
      <c r="L51" s="1435">
        <f ca="1">ROUND(-PV(INDIRECT("'数据-取费表'!h"&amp;$G$1),J51,(C39-C13*C76),0),0)</f>
        <v>5860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17.62</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17.62</v>
      </c>
      <c r="K53" s="3647" t="s">
        <v>837</v>
      </c>
      <c r="L53" s="3648"/>
      <c r="O53" s="1418" t="s">
        <v>409</v>
      </c>
      <c r="P53" s="1419" t="s">
        <v>838</v>
      </c>
      <c r="Q53" s="1420">
        <f ca="1">Q47+Q48</f>
        <v>21468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0.77300000000000002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15213</v>
      </c>
      <c r="D56" s="1447"/>
      <c r="E56" s="1448"/>
      <c r="F56" s="1440"/>
      <c r="I56" s="1449" t="s">
        <v>842</v>
      </c>
      <c r="J56" s="1450" t="s">
        <v>3417</v>
      </c>
      <c r="K56" s="1421" t="s">
        <v>843</v>
      </c>
      <c r="L56" s="1424" t="str">
        <f ca="1">IF(L48&lt;J51,"——",L48-J53)</f>
        <v>——</v>
      </c>
      <c r="O56" s="1418" t="s">
        <v>403</v>
      </c>
      <c r="P56" s="1419" t="s">
        <v>817</v>
      </c>
      <c r="Q56" s="1420">
        <f ca="1">C40+J29</f>
        <v>18438</v>
      </c>
      <c r="R56" s="1420" t="s">
        <v>818</v>
      </c>
    </row>
    <row r="57" spans="1:18" s="1384" customFormat="1" ht="24.75" thickBot="1">
      <c r="A57" s="1451"/>
      <c r="B57" s="950" t="s">
        <v>767</v>
      </c>
      <c r="C57" s="238">
        <f ca="1">C29</f>
        <v>15213</v>
      </c>
      <c r="D57" s="1452"/>
      <c r="E57" s="1453"/>
      <c r="F57" s="1454"/>
      <c r="I57" s="1455" t="s">
        <v>844</v>
      </c>
      <c r="J57" s="1456">
        <f ca="1">IF(OR(M47="住宅",J51&lt;L48,J56="是"),"——",J51-L48)</f>
        <v>61.480000000000004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94</v>
      </c>
      <c r="D58" s="960" t="s">
        <v>715</v>
      </c>
      <c r="E58" s="961"/>
      <c r="F58" s="962"/>
      <c r="I58" s="1455" t="s">
        <v>848</v>
      </c>
      <c r="J58" s="1457">
        <f ca="1">IF(J55&lt;0.4,0.4,J55)</f>
        <v>0.77300000000000002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11760</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3030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18438</v>
      </c>
      <c r="R62" s="1420" t="s">
        <v>410</v>
      </c>
    </row>
    <row r="63" spans="1:18" s="1384" customFormat="1" ht="13.5" thickBot="1">
      <c r="A63" s="326"/>
      <c r="B63" s="956"/>
      <c r="C63" s="26"/>
      <c r="D63" s="966"/>
      <c r="E63" s="950" t="s">
        <v>788</v>
      </c>
      <c r="F63" s="303">
        <f t="shared" ca="1" si="0"/>
        <v>17699.22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76.069999999999993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15.21</v>
      </c>
      <c r="D65" s="964" t="s">
        <v>743</v>
      </c>
      <c r="E65" s="950" t="s">
        <v>744</v>
      </c>
      <c r="F65" s="330">
        <f t="shared" ca="1" si="0"/>
        <v>1E-3</v>
      </c>
      <c r="I65" s="1462" t="s">
        <v>867</v>
      </c>
      <c r="J65" s="1463">
        <v>40</v>
      </c>
      <c r="K65" s="1463">
        <v>30</v>
      </c>
      <c r="L65" s="1463">
        <v>50</v>
      </c>
      <c r="M65" s="1465">
        <v>0.02</v>
      </c>
      <c r="O65" s="1418" t="s">
        <v>403</v>
      </c>
      <c r="P65" s="1419" t="s">
        <v>868</v>
      </c>
      <c r="Q65" s="1420">
        <f ca="1">C40+J29</f>
        <v>18438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-94</v>
      </c>
      <c r="D67" s="963" t="s">
        <v>753</v>
      </c>
      <c r="E67" s="968"/>
      <c r="F67" s="969"/>
      <c r="O67" s="1428" t="s">
        <v>405</v>
      </c>
      <c r="P67" s="1419" t="s">
        <v>850</v>
      </c>
      <c r="Q67" s="1466">
        <f ca="1">L51</f>
        <v>5860</v>
      </c>
      <c r="R67" s="1420" t="s">
        <v>870</v>
      </c>
    </row>
    <row r="68" spans="1:18" s="1384" customFormat="1" ht="16.5" thickBot="1">
      <c r="A68" s="947" t="s">
        <v>395</v>
      </c>
      <c r="B68" s="948" t="s">
        <v>774</v>
      </c>
      <c r="C68" s="301">
        <f ca="1">ROUND(C67*(1-((1+F70)/(1+F68))^F69)/(F68-F70),0)</f>
        <v>-1044</v>
      </c>
      <c r="D68" s="965" t="s">
        <v>758</v>
      </c>
      <c r="E68" s="950" t="s">
        <v>759</v>
      </c>
      <c r="F68" s="312">
        <f ca="1">F40</f>
        <v>5.5E-2</v>
      </c>
      <c r="O68" s="1428" t="s">
        <v>406</v>
      </c>
      <c r="P68" s="1467" t="s">
        <v>871</v>
      </c>
      <c r="Q68" s="1420">
        <f ca="1">ROUND(Q69-Q70*Q71,0)</f>
        <v>299</v>
      </c>
      <c r="R68" s="1420" t="s">
        <v>414</v>
      </c>
    </row>
    <row r="69" spans="1:18" s="1384" customFormat="1" ht="13.5" thickBot="1">
      <c r="A69" s="951"/>
      <c r="B69" s="952"/>
      <c r="C69" s="306"/>
      <c r="D69" s="970" t="s">
        <v>762</v>
      </c>
      <c r="E69" s="950" t="s">
        <v>763</v>
      </c>
      <c r="F69" s="333">
        <f ca="1">F41</f>
        <v>17.62</v>
      </c>
      <c r="O69" s="1428" t="s">
        <v>411</v>
      </c>
      <c r="P69" s="1467" t="s">
        <v>872</v>
      </c>
      <c r="Q69" s="1420">
        <f ca="1">C39</f>
        <v>1440</v>
      </c>
      <c r="R69" s="1420" t="s">
        <v>818</v>
      </c>
    </row>
    <row r="70" spans="1:18" s="1384" customFormat="1" ht="13.5" thickBot="1">
      <c r="A70" s="954"/>
      <c r="B70" s="955"/>
      <c r="C70" s="310"/>
      <c r="D70" s="966"/>
      <c r="E70" s="950" t="s">
        <v>766</v>
      </c>
      <c r="F70" s="1054"/>
      <c r="O70" s="1428" t="s">
        <v>412</v>
      </c>
      <c r="P70" s="1467" t="s">
        <v>873</v>
      </c>
      <c r="Q70" s="1420">
        <f ca="1">C13</f>
        <v>15213</v>
      </c>
      <c r="R70" s="1420" t="s">
        <v>818</v>
      </c>
    </row>
    <row r="71" spans="1:18" s="1384" customFormat="1" ht="13.5" thickBot="1">
      <c r="A71" s="971" t="s">
        <v>396</v>
      </c>
      <c r="B71" s="972" t="s">
        <v>776</v>
      </c>
      <c r="C71" s="336">
        <f ca="1">ROUND(C68*10000/F71,0)</f>
        <v>-461</v>
      </c>
      <c r="D71" s="973" t="s">
        <v>777</v>
      </c>
      <c r="E71" s="974" t="s">
        <v>778</v>
      </c>
      <c r="F71" s="339">
        <f ca="1">F43</f>
        <v>22663.3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1141</v>
      </c>
      <c r="D75" s="1384"/>
      <c r="E75" s="1384"/>
      <c r="F75" s="1384"/>
      <c r="K75" s="1402"/>
      <c r="L75" s="1384"/>
      <c r="O75" s="1418" t="s">
        <v>409</v>
      </c>
      <c r="P75" s="1419" t="s">
        <v>838</v>
      </c>
      <c r="Q75" s="1420">
        <f ca="1">Q65+Q66</f>
        <v>18438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0.20799999999999996</v>
      </c>
    </row>
    <row r="80" spans="1:18">
      <c r="B80" s="340" t="s">
        <v>800</v>
      </c>
      <c r="C80" s="274">
        <f ca="1">ROUND(C75/C39,3)</f>
        <v>0.79200000000000004</v>
      </c>
    </row>
    <row r="81" spans="2:3">
      <c r="B81" s="270" t="s">
        <v>801</v>
      </c>
      <c r="C81" s="238"/>
    </row>
    <row r="82" spans="2:3">
      <c r="B82" s="273" t="s">
        <v>802</v>
      </c>
      <c r="C82" s="275">
        <f ca="1">1-C83</f>
        <v>0.17500000000000004</v>
      </c>
    </row>
    <row r="83" spans="2:3">
      <c r="B83" s="273" t="s">
        <v>803</v>
      </c>
      <c r="C83" s="274">
        <f ca="1">ROUND(C13/C40,3)</f>
        <v>0.82499999999999996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2104</v>
      </c>
      <c r="E6" s="302" t="s">
        <v>696</v>
      </c>
      <c r="F6" s="303">
        <f ca="1">INDIRECT("'数据-取费表'!u"&amp;$G$1)</f>
        <v>0</v>
      </c>
      <c r="G6" s="1384"/>
      <c r="H6" s="1069" t="s">
        <v>398</v>
      </c>
      <c r="I6" s="3649" t="s">
        <v>694</v>
      </c>
      <c r="J6" s="301">
        <f ca="1">ROUND(M6*M8*M7*(1-M9),0)</f>
        <v>0</v>
      </c>
      <c r="K6" s="1376" t="s">
        <v>2105</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58" t="s">
        <v>2318</v>
      </c>
      <c r="K2" s="365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0" t="s">
        <v>2328</v>
      </c>
      <c r="K3" s="366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0" t="s">
        <v>2330</v>
      </c>
      <c r="K4" s="366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6" t="s">
        <v>2334</v>
      </c>
      <c r="B6" s="3667"/>
      <c r="C6" s="3668"/>
      <c r="D6" s="2868"/>
      <c r="E6" s="2869"/>
      <c r="F6" s="2870"/>
      <c r="G6" s="2871"/>
      <c r="H6" s="2846"/>
      <c r="I6" s="2847"/>
      <c r="J6" s="3652">
        <v>1</v>
      </c>
      <c r="K6" s="365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2"/>
      <c r="K7" s="365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9" t="s">
        <v>2348</v>
      </c>
      <c r="C8" s="3670"/>
      <c r="D8" s="2887" t="s">
        <v>2349</v>
      </c>
      <c r="E8" s="2888" t="s">
        <v>2350</v>
      </c>
      <c r="F8" s="2889" t="s">
        <v>2351</v>
      </c>
      <c r="G8" s="2890"/>
      <c r="H8" s="2846"/>
      <c r="I8" s="2847"/>
      <c r="J8" s="3652"/>
      <c r="K8" s="365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9" t="s">
        <v>2354</v>
      </c>
      <c r="C9" s="3670"/>
      <c r="D9" s="2887">
        <f>ROUND(D6*E9,0)</f>
        <v>0</v>
      </c>
      <c r="E9" s="2891"/>
      <c r="F9" s="2892" t="s">
        <v>2355</v>
      </c>
      <c r="G9" s="2871"/>
      <c r="H9" s="2846"/>
      <c r="I9" s="2847"/>
      <c r="J9" s="3652"/>
      <c r="K9" s="3654"/>
      <c r="L9" s="2881" t="s">
        <v>2356</v>
      </c>
      <c r="M9" s="2882"/>
      <c r="N9" s="2858"/>
      <c r="O9" s="2883"/>
      <c r="P9" s="2883"/>
      <c r="Q9" s="2884">
        <v>365</v>
      </c>
      <c r="R9" s="2885">
        <f t="shared" si="0"/>
        <v>0</v>
      </c>
      <c r="S9" s="2839"/>
      <c r="T9" s="2839"/>
      <c r="U9" s="2839"/>
      <c r="V9" s="2847"/>
    </row>
    <row r="10" spans="1:22" s="2851" customFormat="1" ht="13.15" customHeight="1">
      <c r="A10" s="2886">
        <v>2</v>
      </c>
      <c r="B10" s="3669" t="s">
        <v>2357</v>
      </c>
      <c r="C10" s="3670"/>
      <c r="D10" s="2887">
        <f>ROUND(D6*E10,0)</f>
        <v>0</v>
      </c>
      <c r="E10" s="2891"/>
      <c r="F10" s="2892" t="s">
        <v>2358</v>
      </c>
      <c r="G10" s="2871"/>
      <c r="H10" s="2846"/>
      <c r="I10" s="2847"/>
      <c r="J10" s="3652"/>
      <c r="K10" s="3654"/>
      <c r="L10" s="2881" t="s">
        <v>2359</v>
      </c>
      <c r="M10" s="2882"/>
      <c r="N10" s="2858"/>
      <c r="O10" s="2883"/>
      <c r="P10" s="2883"/>
      <c r="Q10" s="2884">
        <v>365</v>
      </c>
      <c r="R10" s="2885">
        <f t="shared" si="0"/>
        <v>0</v>
      </c>
      <c r="S10" s="2839"/>
      <c r="T10" s="2839"/>
      <c r="U10" s="2839"/>
      <c r="V10" s="2847"/>
    </row>
    <row r="11" spans="1:22" s="2851" customFormat="1" ht="13.15" customHeight="1">
      <c r="A11" s="2886">
        <v>3</v>
      </c>
      <c r="B11" s="3669" t="s">
        <v>2360</v>
      </c>
      <c r="C11" s="3670"/>
      <c r="D11" s="2887">
        <f>D12+D14+D15+D16</f>
        <v>0</v>
      </c>
      <c r="E11" s="2893" t="e">
        <f>D11/D6</f>
        <v>#DIV/0!</v>
      </c>
      <c r="F11" s="2889"/>
      <c r="G11" s="2890"/>
      <c r="H11" s="2846"/>
      <c r="I11" s="2847"/>
      <c r="J11" s="3652"/>
      <c r="K11" s="365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2" t="s">
        <v>2363</v>
      </c>
      <c r="C12" s="3663"/>
      <c r="D12" s="2895">
        <f>ROUND(D13*1.2%*(1-30%),0)</f>
        <v>0</v>
      </c>
      <c r="E12" s="2896">
        <v>1.2E-2</v>
      </c>
      <c r="F12" s="2889" t="s">
        <v>2364</v>
      </c>
      <c r="G12" s="2890"/>
      <c r="H12" s="2846"/>
      <c r="I12" s="2847"/>
      <c r="J12" s="3652"/>
      <c r="K12" s="365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2"/>
      <c r="K13" s="365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2" t="s">
        <v>2369</v>
      </c>
      <c r="C14" s="3663"/>
      <c r="D14" s="2895">
        <f>ROUND(E14*B5/10000,0)</f>
        <v>0</v>
      </c>
      <c r="E14" s="2884"/>
      <c r="F14" s="2889" t="s">
        <v>2370</v>
      </c>
      <c r="G14" s="2890"/>
      <c r="H14" s="2846"/>
      <c r="I14" s="2847"/>
      <c r="J14" s="3652"/>
      <c r="K14" s="365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2" t="s">
        <v>2373</v>
      </c>
      <c r="C15" s="3663"/>
      <c r="D15" s="2895">
        <f>ROUND(D6*E15,0)</f>
        <v>0</v>
      </c>
      <c r="E15" s="2896">
        <v>5.5E-2</v>
      </c>
      <c r="F15" s="2889" t="s">
        <v>2374</v>
      </c>
      <c r="G15" s="2871"/>
      <c r="H15" s="2846"/>
      <c r="I15" s="2847"/>
      <c r="J15" s="3652">
        <v>2</v>
      </c>
      <c r="K15" s="365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2" t="s">
        <v>2382</v>
      </c>
      <c r="C16" s="3663"/>
      <c r="D16" s="2906">
        <f>D6*E16</f>
        <v>0</v>
      </c>
      <c r="E16" s="2907"/>
      <c r="F16" s="2892" t="s">
        <v>2383</v>
      </c>
      <c r="G16" s="2871"/>
      <c r="H16" s="2846"/>
      <c r="I16" s="2847"/>
      <c r="J16" s="3652"/>
      <c r="K16" s="365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2385</v>
      </c>
      <c r="C17" s="3665"/>
      <c r="D17" s="2909">
        <f>ROUND(D6*E17,0)</f>
        <v>0</v>
      </c>
      <c r="E17" s="2910"/>
      <c r="F17" s="2911" t="s">
        <v>2386</v>
      </c>
      <c r="G17" s="2871"/>
      <c r="H17" s="2846"/>
      <c r="I17" s="2847"/>
      <c r="J17" s="3652"/>
      <c r="K17" s="365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2"/>
      <c r="K18" s="365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2"/>
      <c r="K19" s="365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2"/>
      <c r="K21" s="365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2"/>
      <c r="K22" s="365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2"/>
      <c r="K23" s="365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2"/>
      <c r="K24" s="365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8" t="s">
        <v>2318</v>
      </c>
      <c r="K32" s="365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0" t="s">
        <v>2328</v>
      </c>
      <c r="K33" s="366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0" t="s">
        <v>2330</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2">
        <v>1</v>
      </c>
      <c r="K36" s="365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2"/>
      <c r="K40" s="365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21468</v>
      </c>
      <c r="C2" s="1872" t="s">
        <v>1650</v>
      </c>
      <c r="D2" s="1873" t="s">
        <v>1651</v>
      </c>
      <c r="E2" s="2605">
        <f>SUM(E6:E13)</f>
        <v>26402.26</v>
      </c>
      <c r="F2" s="2705"/>
      <c r="G2" s="1489"/>
      <c r="H2" s="1489"/>
      <c r="I2" s="1489"/>
      <c r="J2" s="1489"/>
      <c r="K2" s="1489"/>
      <c r="L2" s="1489"/>
      <c r="M2" s="1489"/>
      <c r="N2" s="1489"/>
      <c r="O2" s="1489"/>
      <c r="P2" s="1489"/>
      <c r="Q2" s="1489"/>
      <c r="R2" s="1489"/>
      <c r="S2" s="1489"/>
    </row>
    <row r="3" spans="1:22" ht="15.75">
      <c r="A3" s="1870" t="s">
        <v>686</v>
      </c>
      <c r="B3" s="2599">
        <f ca="1">ROUND(B2*10000/E2,0)</f>
        <v>8131</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71" t="s">
        <v>1653</v>
      </c>
      <c r="C5" s="3672"/>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21468</v>
      </c>
      <c r="C6" s="1872" t="s">
        <v>1650</v>
      </c>
      <c r="D6" s="2707"/>
      <c r="E6" s="2604">
        <f>IF(OR(A6=0,F6="否"),0,'数据-取费表'!K6+'数据-取费表'!S6)</f>
        <v>26402.26</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34689.100000000006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91" t="s">
        <v>1666</v>
      </c>
      <c r="D4" s="3692"/>
      <c r="E4" s="3693" t="s">
        <v>1667</v>
      </c>
      <c r="F4" s="3694"/>
      <c r="G4" s="3691" t="s">
        <v>1668</v>
      </c>
      <c r="H4" s="3692"/>
      <c r="I4" s="3691" t="s">
        <v>1669</v>
      </c>
      <c r="J4" s="3692"/>
      <c r="K4" s="1889" t="s">
        <v>1670</v>
      </c>
      <c r="L4" s="2713"/>
      <c r="M4" s="2714"/>
      <c r="N4" s="2714"/>
      <c r="O4" s="2714"/>
      <c r="P4" s="3695" t="s">
        <v>1671</v>
      </c>
      <c r="Q4" s="3696"/>
      <c r="R4" s="3701" t="s">
        <v>1667</v>
      </c>
      <c r="S4" s="3702"/>
      <c r="T4" s="3701" t="s">
        <v>1668</v>
      </c>
      <c r="U4" s="3702"/>
      <c r="V4" s="3707" t="s">
        <v>1669</v>
      </c>
      <c r="W4" s="3707"/>
      <c r="X4" s="1355"/>
      <c r="Y4" s="3701" t="s">
        <v>1671</v>
      </c>
      <c r="Z4" s="3702"/>
      <c r="AA4" s="3688" t="s">
        <v>1667</v>
      </c>
      <c r="AB4" s="3688" t="s">
        <v>1668</v>
      </c>
      <c r="AC4" s="3688" t="s">
        <v>1669</v>
      </c>
    </row>
    <row r="5" spans="1:29" ht="15">
      <c r="A5" s="358"/>
      <c r="B5" s="359"/>
      <c r="C5" s="3710" t="s">
        <v>1672</v>
      </c>
      <c r="D5" s="3711"/>
      <c r="E5" s="3717" t="s">
        <v>1673</v>
      </c>
      <c r="F5" s="3718"/>
      <c r="G5" s="3710" t="s">
        <v>1674</v>
      </c>
      <c r="H5" s="3711"/>
      <c r="I5" s="3710" t="s">
        <v>1675</v>
      </c>
      <c r="J5" s="3711"/>
      <c r="K5" s="1890"/>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1676</v>
      </c>
      <c r="D6" s="3709"/>
      <c r="E6" s="3715" t="s">
        <v>1676</v>
      </c>
      <c r="F6" s="3716"/>
      <c r="G6" s="3708" t="s">
        <v>1676</v>
      </c>
      <c r="H6" s="3709"/>
      <c r="I6" s="3708" t="s">
        <v>1676</v>
      </c>
      <c r="J6" s="3709"/>
      <c r="K6" s="1890" t="s">
        <v>1677</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1678</v>
      </c>
      <c r="B7" s="363"/>
      <c r="C7" s="364">
        <f>'数据-取费表'!B2</f>
        <v>45044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2" t="s">
        <v>1679</v>
      </c>
      <c r="Q7" s="3714"/>
      <c r="R7" s="701" t="s">
        <v>20</v>
      </c>
      <c r="S7" s="702">
        <f t="shared" ref="S7:S15" si="0">F7</f>
        <v>0</v>
      </c>
      <c r="T7" s="701" t="s">
        <v>20</v>
      </c>
      <c r="U7" s="702">
        <f t="shared" ref="U7:U15" si="1">H7</f>
        <v>0</v>
      </c>
      <c r="V7" s="701" t="s">
        <v>20</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2" t="s">
        <v>1682</v>
      </c>
      <c r="Q8" s="3713"/>
      <c r="R8" s="701" t="s">
        <v>20</v>
      </c>
      <c r="S8" s="702">
        <f t="shared" si="0"/>
        <v>100</v>
      </c>
      <c r="T8" s="701" t="s">
        <v>20</v>
      </c>
      <c r="U8" s="702">
        <f t="shared" si="1"/>
        <v>100</v>
      </c>
      <c r="V8" s="701" t="s">
        <v>20</v>
      </c>
      <c r="W8" s="702">
        <f t="shared" si="2"/>
        <v>100</v>
      </c>
      <c r="X8" s="703"/>
      <c r="Y8" s="3712" t="s">
        <v>1682</v>
      </c>
      <c r="Z8" s="371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7"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1690</v>
      </c>
      <c r="Q15" s="1352" t="str">
        <f t="shared" si="6"/>
        <v>居住社区成熟度</v>
      </c>
      <c r="R15" s="705" t="s">
        <v>18</v>
      </c>
      <c r="S15" s="706">
        <f t="shared" si="0"/>
        <v>100</v>
      </c>
      <c r="T15" s="705" t="s">
        <v>18</v>
      </c>
      <c r="U15" s="706">
        <f t="shared" si="1"/>
        <v>100</v>
      </c>
      <c r="V15" s="705" t="s">
        <v>18</v>
      </c>
      <c r="W15" s="706">
        <f t="shared" si="2"/>
        <v>100</v>
      </c>
      <c r="X15" s="1355"/>
      <c r="Y15" s="367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6"/>
      <c r="Q16" s="1352"/>
      <c r="R16" s="705"/>
      <c r="S16" s="706"/>
      <c r="T16" s="705"/>
      <c r="U16" s="706"/>
      <c r="V16" s="705"/>
      <c r="W16" s="706"/>
      <c r="X16" s="1355"/>
      <c r="Y16" s="3679"/>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6"/>
      <c r="Q20" s="1352"/>
      <c r="R20" s="705"/>
      <c r="S20" s="706"/>
      <c r="T20" s="705"/>
      <c r="U20" s="706"/>
      <c r="V20" s="705"/>
      <c r="W20" s="706"/>
      <c r="X20" s="1355"/>
      <c r="Y20" s="3679"/>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6"/>
      <c r="Q22" s="1352"/>
      <c r="R22" s="705"/>
      <c r="S22" s="706"/>
      <c r="T22" s="705"/>
      <c r="U22" s="706"/>
      <c r="V22" s="705"/>
      <c r="W22" s="706"/>
      <c r="X22" s="1355"/>
      <c r="Y22" s="3679"/>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6"/>
      <c r="Q26" s="1352" t="str">
        <f t="shared" si="11"/>
        <v>朝向</v>
      </c>
      <c r="R26" s="705" t="s">
        <v>18</v>
      </c>
      <c r="S26" s="706">
        <f t="shared" si="12"/>
        <v>100</v>
      </c>
      <c r="T26" s="705" t="s">
        <v>18</v>
      </c>
      <c r="U26" s="706">
        <f t="shared" si="13"/>
        <v>100</v>
      </c>
      <c r="V26" s="705" t="s">
        <v>18</v>
      </c>
      <c r="W26" s="706">
        <f t="shared" si="14"/>
        <v>100</v>
      </c>
      <c r="X26" s="1355"/>
      <c r="Y26" s="367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6"/>
      <c r="Q27" s="1343">
        <f t="shared" si="11"/>
        <v>111</v>
      </c>
      <c r="R27" s="701" t="s">
        <v>18</v>
      </c>
      <c r="S27" s="702">
        <f t="shared" si="12"/>
        <v>100</v>
      </c>
      <c r="T27" s="701" t="s">
        <v>18</v>
      </c>
      <c r="U27" s="702">
        <f t="shared" si="13"/>
        <v>100</v>
      </c>
      <c r="V27" s="701" t="s">
        <v>18</v>
      </c>
      <c r="W27" s="702">
        <f t="shared" si="14"/>
        <v>100</v>
      </c>
      <c r="X27" s="703"/>
      <c r="Y27" s="367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80" t="s">
        <v>1695</v>
      </c>
      <c r="Q32" s="1352" t="str">
        <f t="shared" si="11"/>
        <v>建筑类型</v>
      </c>
      <c r="R32" s="705" t="s">
        <v>18</v>
      </c>
      <c r="S32" s="706">
        <f t="shared" si="12"/>
        <v>100</v>
      </c>
      <c r="T32" s="705" t="s">
        <v>18</v>
      </c>
      <c r="U32" s="706">
        <f t="shared" si="13"/>
        <v>100</v>
      </c>
      <c r="V32" s="705" t="s">
        <v>18</v>
      </c>
      <c r="W32" s="706">
        <f t="shared" si="14"/>
        <v>100</v>
      </c>
      <c r="X32" s="1355"/>
      <c r="Y32" s="368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1"/>
      <c r="Q33" s="707" t="str">
        <f t="shared" si="11"/>
        <v>项目建筑规模</v>
      </c>
      <c r="R33" s="708" t="s">
        <v>18</v>
      </c>
      <c r="S33" s="709" t="e">
        <f t="shared" si="12"/>
        <v>#N/A</v>
      </c>
      <c r="T33" s="708" t="s">
        <v>18</v>
      </c>
      <c r="U33" s="709" t="e">
        <f t="shared" si="13"/>
        <v>#N/A</v>
      </c>
      <c r="V33" s="708" t="s">
        <v>18</v>
      </c>
      <c r="W33" s="709" t="e">
        <f t="shared" si="14"/>
        <v>#N/A</v>
      </c>
      <c r="X33" s="710"/>
      <c r="Y33" s="368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1"/>
      <c r="Q37" s="1343" t="str">
        <f t="shared" si="11"/>
        <v>成新度</v>
      </c>
      <c r="R37" s="701" t="s">
        <v>18</v>
      </c>
      <c r="S37" s="702" t="e">
        <f t="shared" si="12"/>
        <v>#N/A</v>
      </c>
      <c r="T37" s="701" t="s">
        <v>18</v>
      </c>
      <c r="U37" s="702" t="e">
        <f t="shared" si="13"/>
        <v>#N/A</v>
      </c>
      <c r="V37" s="701" t="s">
        <v>18</v>
      </c>
      <c r="W37" s="702" t="e">
        <f t="shared" si="14"/>
        <v>#N/A</v>
      </c>
      <c r="X37" s="703"/>
      <c r="Y37" s="368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1" t="s">
        <v>1695</v>
      </c>
      <c r="Q38" s="1352" t="str">
        <f t="shared" si="11"/>
        <v>物业管理</v>
      </c>
      <c r="R38" s="705" t="s">
        <v>18</v>
      </c>
      <c r="S38" s="706">
        <f t="shared" si="12"/>
        <v>100</v>
      </c>
      <c r="T38" s="705" t="s">
        <v>18</v>
      </c>
      <c r="U38" s="706">
        <f t="shared" si="13"/>
        <v>100</v>
      </c>
      <c r="V38" s="705" t="s">
        <v>18</v>
      </c>
      <c r="W38" s="706">
        <f t="shared" si="14"/>
        <v>100</v>
      </c>
      <c r="X38" s="1355"/>
      <c r="Y38" s="368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1"/>
      <c r="Q44" s="1343">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34689.100000000006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707" t="s">
        <v>1771</v>
      </c>
      <c r="AC4" s="3688" t="s">
        <v>1772</v>
      </c>
    </row>
    <row r="5" spans="1:29" ht="15">
      <c r="A5" s="358"/>
      <c r="B5" s="359"/>
      <c r="C5" s="3710" t="s">
        <v>1672</v>
      </c>
      <c r="D5" s="3711"/>
      <c r="E5" s="3717" t="s">
        <v>1673</v>
      </c>
      <c r="F5" s="3718"/>
      <c r="G5" s="3710" t="s">
        <v>1674</v>
      </c>
      <c r="H5" s="3711"/>
      <c r="I5" s="3710" t="s">
        <v>1675</v>
      </c>
      <c r="J5" s="3711"/>
      <c r="K5" s="559"/>
      <c r="L5" s="2713"/>
      <c r="M5" s="2714"/>
      <c r="N5" s="2714"/>
      <c r="O5" s="2714"/>
      <c r="P5" s="3697"/>
      <c r="Q5" s="3698"/>
      <c r="R5" s="3703"/>
      <c r="S5" s="3704"/>
      <c r="T5" s="3703"/>
      <c r="U5" s="3704"/>
      <c r="V5" s="3707"/>
      <c r="W5" s="3707"/>
      <c r="X5" s="1355"/>
      <c r="Y5" s="3703"/>
      <c r="Z5" s="3704"/>
      <c r="AA5" s="3689"/>
      <c r="AB5" s="3707"/>
      <c r="AC5" s="3689"/>
    </row>
    <row r="6" spans="1:29" ht="15.75" thickBot="1">
      <c r="A6" s="360"/>
      <c r="B6" s="361"/>
      <c r="C6" s="3708" t="s">
        <v>1676</v>
      </c>
      <c r="D6" s="3709"/>
      <c r="E6" s="3715" t="s">
        <v>1676</v>
      </c>
      <c r="F6" s="3716"/>
      <c r="G6" s="3708" t="s">
        <v>1676</v>
      </c>
      <c r="H6" s="3709"/>
      <c r="I6" s="3708" t="s">
        <v>1676</v>
      </c>
      <c r="J6" s="3709"/>
      <c r="K6" s="559" t="s">
        <v>1677</v>
      </c>
      <c r="L6" s="2713"/>
      <c r="M6" s="2714"/>
      <c r="N6" s="2714"/>
      <c r="O6" s="2714"/>
      <c r="P6" s="3699"/>
      <c r="Q6" s="3700"/>
      <c r="R6" s="3703"/>
      <c r="S6" s="3704"/>
      <c r="T6" s="3705"/>
      <c r="U6" s="3706"/>
      <c r="V6" s="3707"/>
      <c r="W6" s="3707"/>
      <c r="X6" s="1355"/>
      <c r="Y6" s="3705"/>
      <c r="Z6" s="3706"/>
      <c r="AA6" s="3690"/>
      <c r="AB6" s="3707"/>
      <c r="AC6" s="3690"/>
    </row>
    <row r="7" spans="1:29" s="108" customFormat="1" ht="15.75" thickBot="1">
      <c r="A7" s="362" t="s">
        <v>1678</v>
      </c>
      <c r="B7" s="363"/>
      <c r="C7" s="364">
        <f>'数据-取费表'!B2</f>
        <v>45044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1682</v>
      </c>
      <c r="Q8" s="3713"/>
      <c r="R8" s="701" t="s">
        <v>14</v>
      </c>
      <c r="S8" s="702">
        <f t="shared" si="0"/>
        <v>100</v>
      </c>
      <c r="T8" s="701" t="s">
        <v>14</v>
      </c>
      <c r="U8" s="702">
        <f t="shared" si="1"/>
        <v>100</v>
      </c>
      <c r="V8" s="701" t="s">
        <v>14</v>
      </c>
      <c r="W8" s="702">
        <f t="shared" si="2"/>
        <v>100</v>
      </c>
      <c r="X8" s="703"/>
      <c r="Y8" s="3712" t="s">
        <v>1682</v>
      </c>
      <c r="Z8" s="371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1690</v>
      </c>
      <c r="Q15" s="1352" t="str">
        <f t="shared" si="6"/>
        <v>商业繁华度</v>
      </c>
      <c r="R15" s="705" t="s">
        <v>14</v>
      </c>
      <c r="S15" s="706">
        <f t="shared" si="0"/>
        <v>100</v>
      </c>
      <c r="T15" s="705" t="s">
        <v>14</v>
      </c>
      <c r="U15" s="706">
        <f t="shared" si="1"/>
        <v>100</v>
      </c>
      <c r="V15" s="705" t="s">
        <v>14</v>
      </c>
      <c r="W15" s="706">
        <f t="shared" si="2"/>
        <v>100</v>
      </c>
      <c r="X15" s="1355"/>
      <c r="Y15" s="367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6"/>
      <c r="Q22" s="1352"/>
      <c r="R22" s="705"/>
      <c r="S22" s="706"/>
      <c r="T22" s="705"/>
      <c r="U22" s="706"/>
      <c r="V22" s="705"/>
      <c r="W22" s="706"/>
      <c r="X22" s="1355"/>
      <c r="Y22" s="3679"/>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0" t="s">
        <v>1695</v>
      </c>
      <c r="Q32" s="1352" t="str">
        <f t="shared" si="11"/>
        <v>商业类型</v>
      </c>
      <c r="R32" s="705" t="s">
        <v>14</v>
      </c>
      <c r="S32" s="706">
        <f t="shared" si="12"/>
        <v>100</v>
      </c>
      <c r="T32" s="705" t="s">
        <v>14</v>
      </c>
      <c r="U32" s="706">
        <f t="shared" si="13"/>
        <v>100</v>
      </c>
      <c r="V32" s="705" t="s">
        <v>14</v>
      </c>
      <c r="W32" s="706">
        <f t="shared" si="14"/>
        <v>100</v>
      </c>
      <c r="X32" s="1355"/>
      <c r="Y32" s="368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1" t="s">
        <v>1695</v>
      </c>
      <c r="Q38" s="1352" t="str">
        <f t="shared" si="11"/>
        <v>业态</v>
      </c>
      <c r="R38" s="705" t="s">
        <v>14</v>
      </c>
      <c r="S38" s="706">
        <f t="shared" si="12"/>
        <v>100</v>
      </c>
      <c r="T38" s="705" t="s">
        <v>14</v>
      </c>
      <c r="U38" s="706">
        <f t="shared" si="13"/>
        <v>100</v>
      </c>
      <c r="V38" s="705" t="s">
        <v>14</v>
      </c>
      <c r="W38" s="706">
        <f t="shared" si="14"/>
        <v>100</v>
      </c>
      <c r="X38" s="1355"/>
      <c r="Y38" s="368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34689.100000000006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725" t="s">
        <v>1774</v>
      </c>
      <c r="Q4" s="3726"/>
      <c r="R4" s="3729" t="s">
        <v>1770</v>
      </c>
      <c r="S4" s="3730"/>
      <c r="T4" s="3729" t="s">
        <v>1771</v>
      </c>
      <c r="U4" s="3730"/>
      <c r="V4" s="3731" t="s">
        <v>1772</v>
      </c>
      <c r="W4" s="3731"/>
      <c r="X4" s="1958"/>
      <c r="Y4" s="3729" t="s">
        <v>1774</v>
      </c>
      <c r="Z4" s="3730"/>
      <c r="AA4" s="3733" t="s">
        <v>1770</v>
      </c>
      <c r="AB4" s="3733" t="s">
        <v>1771</v>
      </c>
      <c r="AC4" s="3722" t="s">
        <v>1772</v>
      </c>
    </row>
    <row r="5" spans="1:29" ht="15">
      <c r="A5" s="358"/>
      <c r="B5" s="359"/>
      <c r="C5" s="3710" t="s">
        <v>1672</v>
      </c>
      <c r="D5" s="3711"/>
      <c r="E5" s="3717" t="s">
        <v>1673</v>
      </c>
      <c r="F5" s="3718"/>
      <c r="G5" s="3710" t="s">
        <v>1674</v>
      </c>
      <c r="H5" s="3711"/>
      <c r="I5" s="3710" t="s">
        <v>1675</v>
      </c>
      <c r="J5" s="3711"/>
      <c r="K5" s="559"/>
      <c r="L5" s="2713"/>
      <c r="M5" s="2714"/>
      <c r="N5" s="2714"/>
      <c r="O5" s="2714"/>
      <c r="P5" s="3727"/>
      <c r="Q5" s="3698"/>
      <c r="R5" s="3703"/>
      <c r="S5" s="3704"/>
      <c r="T5" s="3703"/>
      <c r="U5" s="3704"/>
      <c r="V5" s="3707"/>
      <c r="W5" s="3707"/>
      <c r="X5" s="1355"/>
      <c r="Y5" s="3703"/>
      <c r="Z5" s="3704"/>
      <c r="AA5" s="3689"/>
      <c r="AB5" s="3689"/>
      <c r="AC5" s="3723"/>
    </row>
    <row r="6" spans="1:29" ht="15.75" thickBot="1">
      <c r="A6" s="360"/>
      <c r="B6" s="361"/>
      <c r="C6" s="3708" t="s">
        <v>1676</v>
      </c>
      <c r="D6" s="3709"/>
      <c r="E6" s="3715" t="s">
        <v>1676</v>
      </c>
      <c r="F6" s="3716"/>
      <c r="G6" s="3708" t="s">
        <v>1676</v>
      </c>
      <c r="H6" s="3709"/>
      <c r="I6" s="3708" t="s">
        <v>1676</v>
      </c>
      <c r="J6" s="3709"/>
      <c r="K6" s="559" t="s">
        <v>1677</v>
      </c>
      <c r="L6" s="2713"/>
      <c r="M6" s="2714"/>
      <c r="N6" s="2714"/>
      <c r="O6" s="2714"/>
      <c r="P6" s="3728"/>
      <c r="Q6" s="3700"/>
      <c r="R6" s="3703"/>
      <c r="S6" s="3704"/>
      <c r="T6" s="3705"/>
      <c r="U6" s="3706"/>
      <c r="V6" s="3707"/>
      <c r="W6" s="3707"/>
      <c r="X6" s="1355"/>
      <c r="Y6" s="3705"/>
      <c r="Z6" s="3706"/>
      <c r="AA6" s="3690"/>
      <c r="AB6" s="3690"/>
      <c r="AC6" s="3724"/>
    </row>
    <row r="7" spans="1:29" s="108" customFormat="1" ht="15.75" thickBot="1">
      <c r="A7" s="362" t="s">
        <v>1678</v>
      </c>
      <c r="B7" s="363"/>
      <c r="C7" s="364">
        <f>'数据-取费表'!B2</f>
        <v>45044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1682</v>
      </c>
      <c r="Q8" s="3713"/>
      <c r="R8" s="701" t="s">
        <v>14</v>
      </c>
      <c r="S8" s="702">
        <f t="shared" si="0"/>
        <v>100</v>
      </c>
      <c r="T8" s="701" t="s">
        <v>14</v>
      </c>
      <c r="U8" s="702">
        <f t="shared" si="1"/>
        <v>100</v>
      </c>
      <c r="V8" s="701" t="s">
        <v>14</v>
      </c>
      <c r="W8" s="702">
        <f t="shared" si="2"/>
        <v>100</v>
      </c>
      <c r="X8" s="703"/>
      <c r="Y8" s="3712" t="s">
        <v>1682</v>
      </c>
      <c r="Z8" s="371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1690</v>
      </c>
      <c r="Q15" s="1352" t="str">
        <f t="shared" si="6"/>
        <v>办公集聚程度</v>
      </c>
      <c r="R15" s="705" t="s">
        <v>14</v>
      </c>
      <c r="S15" s="706">
        <f t="shared" si="0"/>
        <v>100</v>
      </c>
      <c r="T15" s="705" t="s">
        <v>14</v>
      </c>
      <c r="U15" s="706">
        <f t="shared" si="1"/>
        <v>100</v>
      </c>
      <c r="V15" s="705" t="s">
        <v>14</v>
      </c>
      <c r="W15" s="706">
        <f t="shared" si="2"/>
        <v>100</v>
      </c>
      <c r="X15" s="1355"/>
      <c r="Y15" s="367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6"/>
      <c r="Q22" s="1352"/>
      <c r="R22" s="705"/>
      <c r="S22" s="706"/>
      <c r="T22" s="705"/>
      <c r="U22" s="706"/>
      <c r="V22" s="705"/>
      <c r="W22" s="706"/>
      <c r="X22" s="1355"/>
      <c r="Y22" s="3679"/>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6"/>
      <c r="Q26" s="1352"/>
      <c r="R26" s="705"/>
      <c r="S26" s="706"/>
      <c r="T26" s="705"/>
      <c r="U26" s="706"/>
      <c r="V26" s="705"/>
      <c r="W26" s="706"/>
      <c r="X26" s="1355"/>
      <c r="Y26" s="367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80" t="s">
        <v>1695</v>
      </c>
      <c r="Q33" s="1352" t="str">
        <f t="shared" si="11"/>
        <v>建筑类型</v>
      </c>
      <c r="R33" s="705" t="s">
        <v>14</v>
      </c>
      <c r="S33" s="706">
        <f t="shared" si="12"/>
        <v>100</v>
      </c>
      <c r="T33" s="705" t="s">
        <v>14</v>
      </c>
      <c r="U33" s="706">
        <f t="shared" si="13"/>
        <v>100</v>
      </c>
      <c r="V33" s="705" t="s">
        <v>14</v>
      </c>
      <c r="W33" s="706">
        <f t="shared" si="14"/>
        <v>100</v>
      </c>
      <c r="X33" s="1355"/>
      <c r="Y33" s="368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1695</v>
      </c>
      <c r="Q39" s="1352" t="str">
        <f t="shared" si="11"/>
        <v>物业管理</v>
      </c>
      <c r="R39" s="705" t="s">
        <v>14</v>
      </c>
      <c r="S39" s="706">
        <f t="shared" si="12"/>
        <v>100</v>
      </c>
      <c r="T39" s="705" t="s">
        <v>14</v>
      </c>
      <c r="U39" s="706">
        <f t="shared" si="13"/>
        <v>100</v>
      </c>
      <c r="V39" s="705" t="s">
        <v>14</v>
      </c>
      <c r="W39" s="706">
        <f t="shared" si="14"/>
        <v>100</v>
      </c>
      <c r="X39" s="1355"/>
      <c r="Y39" s="368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34689.100000000006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913"/>
      <c r="M4" s="914"/>
      <c r="N4" s="914"/>
      <c r="O4" s="9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1672</v>
      </c>
      <c r="D5" s="3711"/>
      <c r="E5" s="3717" t="s">
        <v>1673</v>
      </c>
      <c r="F5" s="3718"/>
      <c r="G5" s="3710" t="s">
        <v>1674</v>
      </c>
      <c r="H5" s="3711"/>
      <c r="I5" s="3710" t="s">
        <v>1675</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1676</v>
      </c>
      <c r="D6" s="3709"/>
      <c r="E6" s="3715" t="s">
        <v>1676</v>
      </c>
      <c r="F6" s="3716"/>
      <c r="G6" s="3708" t="s">
        <v>1676</v>
      </c>
      <c r="H6" s="3709"/>
      <c r="I6" s="3708" t="s">
        <v>1676</v>
      </c>
      <c r="J6" s="3709"/>
      <c r="K6" s="559" t="s">
        <v>1677</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1678</v>
      </c>
      <c r="B7" s="363"/>
      <c r="C7" s="364">
        <f>'数据-取费表'!B2</f>
        <v>45044</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1690</v>
      </c>
      <c r="Q15" s="1352" t="str">
        <f t="shared" si="6"/>
        <v>产业集聚程度</v>
      </c>
      <c r="R15" s="705" t="s">
        <v>14</v>
      </c>
      <c r="S15" s="706">
        <f t="shared" si="0"/>
        <v>100</v>
      </c>
      <c r="T15" s="705" t="s">
        <v>14</v>
      </c>
      <c r="U15" s="706">
        <f t="shared" si="1"/>
        <v>100</v>
      </c>
      <c r="V15" s="705" t="s">
        <v>14</v>
      </c>
      <c r="W15" s="706">
        <f t="shared" si="2"/>
        <v>100</v>
      </c>
      <c r="X15" s="1355"/>
      <c r="Y15" s="367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1695</v>
      </c>
      <c r="Q29" s="1352" t="str">
        <f t="shared" si="11"/>
        <v>建筑类型</v>
      </c>
      <c r="R29" s="705" t="s">
        <v>14</v>
      </c>
      <c r="S29" s="706">
        <f t="shared" si="12"/>
        <v>100</v>
      </c>
      <c r="T29" s="705" t="s">
        <v>14</v>
      </c>
      <c r="U29" s="706">
        <f t="shared" si="13"/>
        <v>100</v>
      </c>
      <c r="V29" s="705" t="s">
        <v>14</v>
      </c>
      <c r="W29" s="706">
        <f t="shared" si="14"/>
        <v>100</v>
      </c>
      <c r="X29" s="1355"/>
      <c r="Y29" s="368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1695</v>
      </c>
      <c r="Q35" s="1352" t="str">
        <f t="shared" si="11"/>
        <v>市政基础设施</v>
      </c>
      <c r="R35" s="705" t="s">
        <v>14</v>
      </c>
      <c r="S35" s="706">
        <f t="shared" si="12"/>
        <v>100</v>
      </c>
      <c r="T35" s="705" t="s">
        <v>14</v>
      </c>
      <c r="U35" s="706">
        <f t="shared" si="13"/>
        <v>100</v>
      </c>
      <c r="V35" s="705" t="s">
        <v>14</v>
      </c>
      <c r="W35" s="706">
        <f t="shared" si="14"/>
        <v>100</v>
      </c>
      <c r="X35" s="1355"/>
      <c r="Y35" s="368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工行翠微路：</v>
      </c>
    </row>
    <row r="4" spans="1:1" ht="36">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巴瑞医疗器械有限公司所有。根据《国有土地使用证》[]，估价对象（分摊）出让国有建设用地使用权面积为23254.45平方米，建筑面积为34689.1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北京巴瑞医疗器械有限公司开发建设的，该项目尚在开发建设中。根据《国有土地使用证》[]，估价对象（分摊）出让国有建设用地使用权面积为23254.45平方米，规划建筑面积为34689.1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巴瑞医疗器械有限公司拟使用北京市出让国有建设用地使用权及在建建筑物房地产作为抵押担保物，向工行翠微路办理贷款手续。工行翠微路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1672</v>
      </c>
      <c r="D5" s="3711"/>
      <c r="E5" s="3717" t="s">
        <v>1673</v>
      </c>
      <c r="F5" s="3718"/>
      <c r="G5" s="3710" t="s">
        <v>1674</v>
      </c>
      <c r="H5" s="3711"/>
      <c r="I5" s="3710" t="s">
        <v>1675</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1676</v>
      </c>
      <c r="D6" s="3709"/>
      <c r="E6" s="3715" t="s">
        <v>1676</v>
      </c>
      <c r="F6" s="3716"/>
      <c r="G6" s="3708" t="s">
        <v>1676</v>
      </c>
      <c r="H6" s="3709"/>
      <c r="I6" s="3708" t="s">
        <v>1676</v>
      </c>
      <c r="J6" s="3709"/>
      <c r="K6" s="559" t="s">
        <v>1677</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1678</v>
      </c>
      <c r="B7" s="363"/>
      <c r="C7" s="364">
        <f>'数据-取费表'!B2</f>
        <v>45044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1679</v>
      </c>
      <c r="Q7" s="3714"/>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1682</v>
      </c>
      <c r="Q8" s="3713"/>
      <c r="R8" s="701" t="s">
        <v>14</v>
      </c>
      <c r="S8" s="702">
        <f t="shared" si="0"/>
        <v>100</v>
      </c>
      <c r="T8" s="701" t="s">
        <v>14</v>
      </c>
      <c r="U8" s="702">
        <f t="shared" si="1"/>
        <v>100</v>
      </c>
      <c r="V8" s="701" t="s">
        <v>14</v>
      </c>
      <c r="W8" s="702">
        <f t="shared" si="2"/>
        <v>100</v>
      </c>
      <c r="X8" s="703"/>
      <c r="Y8" s="3712" t="s">
        <v>1682</v>
      </c>
      <c r="Z8" s="371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1685</v>
      </c>
      <c r="Q9" s="1343" t="str">
        <f t="shared" ref="Q9:Q14" si="6">B9</f>
        <v>用途</v>
      </c>
      <c r="R9" s="701" t="s">
        <v>14</v>
      </c>
      <c r="S9" s="702">
        <f t="shared" si="0"/>
        <v>100</v>
      </c>
      <c r="T9" s="701" t="s">
        <v>14</v>
      </c>
      <c r="U9" s="702">
        <f t="shared" si="1"/>
        <v>100</v>
      </c>
      <c r="V9" s="701" t="s">
        <v>14</v>
      </c>
      <c r="W9" s="702">
        <f t="shared" si="2"/>
        <v>100</v>
      </c>
      <c r="X9" s="703"/>
      <c r="Y9" s="3551"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1690</v>
      </c>
      <c r="Q14" s="1352" t="str">
        <f t="shared" si="6"/>
        <v>交通便捷度</v>
      </c>
      <c r="R14" s="705" t="s">
        <v>14</v>
      </c>
      <c r="S14" s="706">
        <f t="shared" si="0"/>
        <v>100</v>
      </c>
      <c r="T14" s="705" t="s">
        <v>14</v>
      </c>
      <c r="U14" s="706">
        <f t="shared" si="1"/>
        <v>100</v>
      </c>
      <c r="V14" s="705" t="s">
        <v>14</v>
      </c>
      <c r="W14" s="706">
        <f t="shared" si="2"/>
        <v>100</v>
      </c>
      <c r="X14" s="1355"/>
      <c r="Y14" s="367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9"/>
      <c r="Q15" s="1352"/>
      <c r="R15" s="705"/>
      <c r="S15" s="706"/>
      <c r="T15" s="705"/>
      <c r="U15" s="706"/>
      <c r="V15" s="705"/>
      <c r="W15" s="706"/>
      <c r="X15" s="1355"/>
      <c r="Y15" s="3679"/>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9"/>
      <c r="Q17" s="1352"/>
      <c r="R17" s="705"/>
      <c r="S17" s="706"/>
      <c r="T17" s="705"/>
      <c r="U17" s="706"/>
      <c r="V17" s="705"/>
      <c r="W17" s="706"/>
      <c r="X17" s="1355"/>
      <c r="Y17" s="3679"/>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9"/>
      <c r="Q19" s="1352"/>
      <c r="R19" s="705"/>
      <c r="S19" s="706"/>
      <c r="T19" s="705"/>
      <c r="U19" s="706"/>
      <c r="V19" s="705"/>
      <c r="W19" s="706"/>
      <c r="X19" s="1355"/>
      <c r="Y19" s="3679"/>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9"/>
      <c r="Q21" s="1352"/>
      <c r="R21" s="705"/>
      <c r="S21" s="706"/>
      <c r="T21" s="705"/>
      <c r="U21" s="706"/>
      <c r="V21" s="705"/>
      <c r="W21" s="706"/>
      <c r="X21" s="1355"/>
      <c r="Y21" s="367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1695</v>
      </c>
      <c r="Q32" s="1352" t="str">
        <f t="shared" si="11"/>
        <v>车位类型</v>
      </c>
      <c r="R32" s="705" t="s">
        <v>14</v>
      </c>
      <c r="S32" s="706">
        <f t="shared" si="12"/>
        <v>100</v>
      </c>
      <c r="T32" s="705" t="s">
        <v>14</v>
      </c>
      <c r="U32" s="706">
        <f t="shared" si="13"/>
        <v>100</v>
      </c>
      <c r="V32" s="705" t="s">
        <v>14</v>
      </c>
      <c r="W32" s="706">
        <f t="shared" si="14"/>
        <v>100</v>
      </c>
      <c r="X32" s="1355"/>
      <c r="Y32" s="368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73" t="str">
        <f>A39</f>
        <v>估价对象XX用房的比较价值（楼面单价，元/平方米）</v>
      </c>
      <c r="Q39" s="367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58" sqref="J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1672</v>
      </c>
      <c r="D5" s="3711"/>
      <c r="E5" s="3717" t="s">
        <v>1673</v>
      </c>
      <c r="F5" s="3718"/>
      <c r="G5" s="3710" t="s">
        <v>1674</v>
      </c>
      <c r="H5" s="3711"/>
      <c r="I5" s="3710" t="s">
        <v>1675</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1676</v>
      </c>
      <c r="D6" s="3709"/>
      <c r="E6" s="3715" t="s">
        <v>1676</v>
      </c>
      <c r="F6" s="3716"/>
      <c r="G6" s="3708" t="s">
        <v>1676</v>
      </c>
      <c r="H6" s="3709"/>
      <c r="I6" s="3708" t="s">
        <v>1676</v>
      </c>
      <c r="J6" s="3709"/>
      <c r="K6" s="559" t="s">
        <v>1677</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1678</v>
      </c>
      <c r="B7" s="363"/>
      <c r="C7" s="364">
        <f>'数据-取费表'!B2</f>
        <v>45044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2" t="s">
        <v>1679</v>
      </c>
      <c r="Q7" s="3714"/>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1682</v>
      </c>
      <c r="Q8" s="3713"/>
      <c r="R8" s="701" t="s">
        <v>14</v>
      </c>
      <c r="S8" s="702">
        <f t="shared" si="0"/>
        <v>100</v>
      </c>
      <c r="T8" s="701" t="s">
        <v>14</v>
      </c>
      <c r="U8" s="702">
        <f t="shared" si="1"/>
        <v>100</v>
      </c>
      <c r="V8" s="701" t="s">
        <v>14</v>
      </c>
      <c r="W8" s="702">
        <f t="shared" si="2"/>
        <v>100</v>
      </c>
      <c r="X8" s="703"/>
      <c r="Y8" s="3712" t="s">
        <v>1682</v>
      </c>
      <c r="Z8" s="371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1685</v>
      </c>
      <c r="Q9" s="1343" t="str">
        <f t="shared" ref="Q9:Q14" si="6">B9</f>
        <v>用途</v>
      </c>
      <c r="R9" s="701" t="s">
        <v>14</v>
      </c>
      <c r="S9" s="702">
        <f t="shared" si="0"/>
        <v>100</v>
      </c>
      <c r="T9" s="701" t="s">
        <v>14</v>
      </c>
      <c r="U9" s="702">
        <f t="shared" si="1"/>
        <v>100</v>
      </c>
      <c r="V9" s="701" t="s">
        <v>14</v>
      </c>
      <c r="W9" s="702">
        <f t="shared" si="2"/>
        <v>100</v>
      </c>
      <c r="X9" s="703"/>
      <c r="Y9" s="3551"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1690</v>
      </c>
      <c r="Q14" s="1352" t="str">
        <f t="shared" si="6"/>
        <v>交通便捷度</v>
      </c>
      <c r="R14" s="705" t="s">
        <v>14</v>
      </c>
      <c r="S14" s="706">
        <f t="shared" si="0"/>
        <v>100</v>
      </c>
      <c r="T14" s="705" t="s">
        <v>14</v>
      </c>
      <c r="U14" s="706">
        <f t="shared" si="1"/>
        <v>100</v>
      </c>
      <c r="V14" s="705" t="s">
        <v>14</v>
      </c>
      <c r="W14" s="706">
        <f t="shared" si="2"/>
        <v>100</v>
      </c>
      <c r="X14" s="1355"/>
      <c r="Y14" s="367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9"/>
      <c r="Q15" s="1352"/>
      <c r="R15" s="705"/>
      <c r="S15" s="706"/>
      <c r="T15" s="705"/>
      <c r="U15" s="706"/>
      <c r="V15" s="705"/>
      <c r="W15" s="706"/>
      <c r="X15" s="1355"/>
      <c r="Y15" s="3679"/>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9"/>
      <c r="Q17" s="1352"/>
      <c r="R17" s="705"/>
      <c r="S17" s="706"/>
      <c r="T17" s="705"/>
      <c r="U17" s="706"/>
      <c r="V17" s="705"/>
      <c r="W17" s="706"/>
      <c r="X17" s="1355"/>
      <c r="Y17" s="3679"/>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9"/>
      <c r="Q19" s="1352"/>
      <c r="R19" s="705"/>
      <c r="S19" s="706"/>
      <c r="T19" s="705"/>
      <c r="U19" s="706"/>
      <c r="V19" s="705"/>
      <c r="W19" s="706"/>
      <c r="X19" s="1355"/>
      <c r="Y19" s="3679"/>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9"/>
      <c r="Q21" s="1352"/>
      <c r="R21" s="705"/>
      <c r="S21" s="706"/>
      <c r="T21" s="705"/>
      <c r="U21" s="706"/>
      <c r="V21" s="705"/>
      <c r="W21" s="706"/>
      <c r="X21" s="1355"/>
      <c r="Y21" s="367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1695</v>
      </c>
      <c r="Q32" s="1352">
        <f t="shared" si="11"/>
        <v>111</v>
      </c>
      <c r="R32" s="705" t="s">
        <v>14</v>
      </c>
      <c r="S32" s="706">
        <f t="shared" si="12"/>
        <v>100</v>
      </c>
      <c r="T32" s="705" t="s">
        <v>14</v>
      </c>
      <c r="U32" s="706">
        <f t="shared" si="13"/>
        <v>100</v>
      </c>
      <c r="V32" s="705" t="s">
        <v>14</v>
      </c>
      <c r="W32" s="706">
        <f t="shared" si="14"/>
        <v>100</v>
      </c>
      <c r="X32" s="1355"/>
      <c r="Y32" s="368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73" t="str">
        <f>A37</f>
        <v>估价对象XX用房的比较价值（楼面单价，元/平方米）</v>
      </c>
      <c r="Q37" s="367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30" ht="15">
      <c r="A5" s="358"/>
      <c r="B5" s="359"/>
      <c r="C5" s="3710" t="s">
        <v>1672</v>
      </c>
      <c r="D5" s="3711"/>
      <c r="E5" s="3717" t="s">
        <v>1673</v>
      </c>
      <c r="F5" s="3718"/>
      <c r="G5" s="3710" t="s">
        <v>1674</v>
      </c>
      <c r="H5" s="3711"/>
      <c r="I5" s="3710" t="s">
        <v>1675</v>
      </c>
      <c r="J5" s="3711"/>
      <c r="K5" s="559"/>
      <c r="L5" s="2713"/>
      <c r="M5" s="2714"/>
      <c r="N5" s="2714"/>
      <c r="O5" s="2714"/>
      <c r="P5" s="3697"/>
      <c r="Q5" s="3698"/>
      <c r="R5" s="3703"/>
      <c r="S5" s="3704"/>
      <c r="T5" s="3703"/>
      <c r="U5" s="3704"/>
      <c r="V5" s="3707"/>
      <c r="W5" s="3707"/>
      <c r="X5" s="1355"/>
      <c r="Y5" s="3703"/>
      <c r="Z5" s="3704"/>
      <c r="AA5" s="3689"/>
      <c r="AB5" s="3689"/>
      <c r="AC5" s="3689"/>
    </row>
    <row r="6" spans="1:30" ht="15.75" thickBot="1">
      <c r="A6" s="360"/>
      <c r="B6" s="361"/>
      <c r="C6" s="3708" t="s">
        <v>1676</v>
      </c>
      <c r="D6" s="3709"/>
      <c r="E6" s="3715" t="s">
        <v>1676</v>
      </c>
      <c r="F6" s="3716"/>
      <c r="G6" s="3708" t="s">
        <v>1676</v>
      </c>
      <c r="H6" s="3709"/>
      <c r="I6" s="3708" t="s">
        <v>1676</v>
      </c>
      <c r="J6" s="3709"/>
      <c r="K6" s="559" t="s">
        <v>1677</v>
      </c>
      <c r="L6" s="2713"/>
      <c r="M6" s="2714"/>
      <c r="N6" s="2714"/>
      <c r="O6" s="2714"/>
      <c r="P6" s="3699"/>
      <c r="Q6" s="3700"/>
      <c r="R6" s="3703"/>
      <c r="S6" s="3704"/>
      <c r="T6" s="3705"/>
      <c r="U6" s="3706"/>
      <c r="V6" s="3707"/>
      <c r="W6" s="3707"/>
      <c r="X6" s="1355"/>
      <c r="Y6" s="3705"/>
      <c r="Z6" s="3706"/>
      <c r="AA6" s="3690"/>
      <c r="AB6" s="3690"/>
      <c r="AC6" s="3690"/>
    </row>
    <row r="7" spans="1:30" s="108" customFormat="1" ht="15.75" thickBot="1">
      <c r="A7" s="362" t="s">
        <v>1678</v>
      </c>
      <c r="B7" s="363"/>
      <c r="C7" s="364">
        <f>'数据-取费表'!B2</f>
        <v>45044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1682</v>
      </c>
      <c r="Q8" s="3713"/>
      <c r="R8" s="701" t="s">
        <v>14</v>
      </c>
      <c r="S8" s="702">
        <f t="shared" si="0"/>
        <v>0</v>
      </c>
      <c r="T8" s="701" t="s">
        <v>14</v>
      </c>
      <c r="U8" s="702">
        <f t="shared" si="1"/>
        <v>0</v>
      </c>
      <c r="V8" s="701" t="s">
        <v>14</v>
      </c>
      <c r="W8" s="702">
        <f t="shared" si="2"/>
        <v>0</v>
      </c>
      <c r="X8" s="703"/>
      <c r="Y8" s="3712" t="s">
        <v>1682</v>
      </c>
      <c r="Z8" s="371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76"/>
      <c r="Q10" s="1343" t="str">
        <f t="shared" si="6"/>
        <v>土地使用年限（年）</v>
      </c>
      <c r="R10" s="701" t="s">
        <v>14</v>
      </c>
      <c r="S10" s="702">
        <f t="shared" si="0"/>
        <v>105</v>
      </c>
      <c r="T10" s="701" t="s">
        <v>14</v>
      </c>
      <c r="U10" s="702">
        <f t="shared" si="1"/>
        <v>105</v>
      </c>
      <c r="V10" s="701" t="s">
        <v>14</v>
      </c>
      <c r="W10" s="702">
        <f t="shared" si="2"/>
        <v>105</v>
      </c>
      <c r="X10" s="703"/>
      <c r="Y10" s="3551"/>
      <c r="Z10" s="52" t="str">
        <f t="shared" si="7"/>
        <v>土地使用年限（年）</v>
      </c>
      <c r="AA10" s="704">
        <f t="shared" si="3"/>
        <v>0.95238095238095233</v>
      </c>
      <c r="AB10" s="704">
        <f t="shared" si="4"/>
        <v>0.95238095238095233</v>
      </c>
      <c r="AC10" s="704">
        <f t="shared" si="5"/>
        <v>0.95238095238095233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8" t="s">
        <v>1690</v>
      </c>
      <c r="Q15" s="1352" t="str">
        <f t="shared" si="6"/>
        <v>居住社区成熟度</v>
      </c>
      <c r="R15" s="705" t="s">
        <v>14</v>
      </c>
      <c r="S15" s="706">
        <f t="shared" si="0"/>
        <v>100</v>
      </c>
      <c r="T15" s="705" t="s">
        <v>14</v>
      </c>
      <c r="U15" s="706">
        <f t="shared" si="1"/>
        <v>100</v>
      </c>
      <c r="V15" s="705" t="s">
        <v>14</v>
      </c>
      <c r="W15" s="706">
        <f t="shared" si="2"/>
        <v>100</v>
      </c>
      <c r="X15" s="1355"/>
      <c r="Y15" s="367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9"/>
      <c r="Q20" s="1352"/>
      <c r="R20" s="705"/>
      <c r="S20" s="706"/>
      <c r="T20" s="705"/>
      <c r="U20" s="706"/>
      <c r="V20" s="705"/>
      <c r="W20" s="706"/>
      <c r="X20" s="1355"/>
      <c r="Y20" s="3679"/>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9"/>
      <c r="Q24" s="1352"/>
      <c r="R24" s="705"/>
      <c r="S24" s="706"/>
      <c r="T24" s="705"/>
      <c r="U24" s="706"/>
      <c r="V24" s="705"/>
      <c r="W24" s="706"/>
      <c r="X24" s="1355"/>
      <c r="Y24" s="3679"/>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9"/>
      <c r="Q26" s="1352"/>
      <c r="R26" s="705"/>
      <c r="S26" s="706"/>
      <c r="T26" s="705"/>
      <c r="U26" s="706"/>
      <c r="V26" s="705"/>
      <c r="W26" s="706"/>
      <c r="X26" s="1355"/>
      <c r="Y26" s="3679"/>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9"/>
      <c r="Q28" s="1343"/>
      <c r="R28" s="701"/>
      <c r="S28" s="702"/>
      <c r="T28" s="701"/>
      <c r="U28" s="702"/>
      <c r="V28" s="701"/>
      <c r="W28" s="702"/>
      <c r="X28" s="703"/>
      <c r="Y28" s="3679"/>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9"/>
      <c r="Q30" s="1343"/>
      <c r="R30" s="701"/>
      <c r="S30" s="702"/>
      <c r="T30" s="701"/>
      <c r="U30" s="702"/>
      <c r="V30" s="701"/>
      <c r="W30" s="702"/>
      <c r="X30" s="703"/>
      <c r="Y30" s="367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9"/>
      <c r="Q33" s="1352"/>
      <c r="R33" s="705"/>
      <c r="S33" s="706"/>
      <c r="T33" s="705"/>
      <c r="U33" s="706"/>
      <c r="V33" s="705"/>
      <c r="W33" s="706"/>
      <c r="X33" s="1355"/>
      <c r="Y33" s="367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1695</v>
      </c>
      <c r="Q36" s="1352">
        <f t="shared" si="8"/>
        <v>111</v>
      </c>
      <c r="R36" s="705" t="s">
        <v>14</v>
      </c>
      <c r="S36" s="706">
        <f t="shared" si="10"/>
        <v>100</v>
      </c>
      <c r="T36" s="705" t="s">
        <v>14</v>
      </c>
      <c r="U36" s="706">
        <f t="shared" si="11"/>
        <v>100</v>
      </c>
      <c r="V36" s="705" t="s">
        <v>14</v>
      </c>
      <c r="W36" s="706">
        <f t="shared" si="12"/>
        <v>100</v>
      </c>
      <c r="X36" s="1355"/>
      <c r="Y36" s="368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3" t="s">
        <v>1695</v>
      </c>
      <c r="Q42" s="1352" t="str">
        <f t="shared" si="14"/>
        <v>工程地质条件</v>
      </c>
      <c r="R42" s="705" t="s">
        <v>14</v>
      </c>
      <c r="S42" s="706">
        <f t="shared" si="10"/>
        <v>100</v>
      </c>
      <c r="T42" s="705" t="s">
        <v>14</v>
      </c>
      <c r="U42" s="706">
        <f t="shared" si="11"/>
        <v>100</v>
      </c>
      <c r="V42" s="705" t="s">
        <v>14</v>
      </c>
      <c r="W42" s="706">
        <f t="shared" si="12"/>
        <v>100</v>
      </c>
      <c r="X42" s="1355"/>
      <c r="Y42" s="368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73" t="str">
        <f>A48</f>
        <v>估价对象XX用房的比较价值（楼面单价，元/平方米）</v>
      </c>
      <c r="Q48" s="3674"/>
      <c r="R48" s="3737" t="e">
        <f>ROUND(IF(D47="简单平均",AVERAGE(R47:W47),R47*F47+T47*H47+V47*J47),0)</f>
        <v>#DIV/0!</v>
      </c>
      <c r="S48" s="3737"/>
      <c r="T48" s="3737"/>
      <c r="U48" s="3737"/>
      <c r="V48" s="3737"/>
      <c r="W48" s="373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1" t="s">
        <v>1886</v>
      </c>
      <c r="H55" s="3738"/>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22663.3</v>
      </c>
      <c r="F56" s="886" t="e">
        <f t="shared" ref="F56:F64" si="15">ROUND(B56*E56/10000,0)</f>
        <v>#DIV/0!</v>
      </c>
      <c r="G56" s="3687"/>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7113.3</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29776.6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F51" sqref="F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2511</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724</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60" customHeight="1">
      <c r="A5" s="358"/>
      <c r="B5" s="359"/>
      <c r="C5" s="3710" t="s">
        <v>1672</v>
      </c>
      <c r="D5" s="3711"/>
      <c r="E5" s="3717" t="str">
        <f>土地案例!A2</f>
        <v>大兴生物医药产业基地DX00-0501-0051-2地块M1工业用地国有建设用地使用权出让公告</v>
      </c>
      <c r="F5" s="3718"/>
      <c r="G5" s="3710" t="str">
        <f>土地案例!A3</f>
        <v>大兴生物医药产业基地DX00-0501-0057地块M1一类工业用地国有建设用地使用权出让挂牌文件</v>
      </c>
      <c r="H5" s="3711"/>
      <c r="I5" s="3710" t="str">
        <f>土地案例!A6</f>
        <v>大兴生物医药产业基地DX00-0501-0061地块M1一类工业用地国有建设用地使用权出让挂牌文件</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39" t="s">
        <v>1918</v>
      </c>
      <c r="D6" s="3740"/>
      <c r="E6" s="3741" t="s">
        <v>1918</v>
      </c>
      <c r="F6" s="3742"/>
      <c r="G6" s="3739" t="s">
        <v>1918</v>
      </c>
      <c r="H6" s="3740"/>
      <c r="I6" s="3739" t="s">
        <v>1918</v>
      </c>
      <c r="J6" s="3740"/>
      <c r="K6" s="559" t="s">
        <v>1677</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1678</v>
      </c>
      <c r="B7" s="363"/>
      <c r="C7" s="364">
        <f>'数据-取费表'!B2</f>
        <v>45044</v>
      </c>
      <c r="D7" s="365">
        <v>100</v>
      </c>
      <c r="E7" s="366">
        <f>土地案例!L2</f>
        <v>44742.000497685185</v>
      </c>
      <c r="F7" s="367">
        <f>SUMIF(65:65,YEAR(E7)&amp;"-"&amp;INT((MONTH(E7)+2)/3),66:66)</f>
        <v>98</v>
      </c>
      <c r="G7" s="1974">
        <f>土地案例!L3</f>
        <v>44480.000497685185</v>
      </c>
      <c r="H7" s="365">
        <f>SUMIF(65:65,YEAR(G7)&amp;"-"&amp;INT((MONTH(G7)+2)/3),66:66)</f>
        <v>97</v>
      </c>
      <c r="I7" s="1974">
        <f>土地案例!L6</f>
        <v>44480.000497685185</v>
      </c>
      <c r="J7" s="365">
        <f>SUMIF(65:65,YEAR(I7)&amp;"-"&amp;INT((MONTH(I7)+2)/3),66:66)</f>
        <v>97</v>
      </c>
      <c r="K7" s="560"/>
      <c r="L7" s="2715"/>
      <c r="M7" s="2716"/>
      <c r="N7" s="2716"/>
      <c r="O7" s="2716"/>
      <c r="P7" s="3712" t="s">
        <v>1679</v>
      </c>
      <c r="Q7" s="3714"/>
      <c r="R7" s="701" t="s">
        <v>14</v>
      </c>
      <c r="S7" s="702">
        <f t="shared" ref="S7:S15" si="0">F7</f>
        <v>98</v>
      </c>
      <c r="T7" s="701" t="s">
        <v>14</v>
      </c>
      <c r="U7" s="702">
        <f t="shared" ref="U7:U15" si="1">H7</f>
        <v>97</v>
      </c>
      <c r="V7" s="701" t="s">
        <v>14</v>
      </c>
      <c r="W7" s="702">
        <f t="shared" ref="W7:W15" si="2">J7</f>
        <v>97</v>
      </c>
      <c r="X7" s="703"/>
      <c r="Y7" s="3712" t="s">
        <v>1679</v>
      </c>
      <c r="Z7" s="3713"/>
      <c r="AA7" s="704">
        <f>D7/F7</f>
        <v>1.0204081632653061</v>
      </c>
      <c r="AB7" s="704">
        <f>D7/H7</f>
        <v>1.0309278350515463</v>
      </c>
      <c r="AC7" s="704">
        <f>D7/J7</f>
        <v>1.0309278350515463</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5"/>
      <c r="M8" s="2716"/>
      <c r="N8" s="2716"/>
      <c r="O8" s="2716"/>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18.52</v>
      </c>
      <c r="D10" s="127">
        <v>100</v>
      </c>
      <c r="E10" s="383">
        <v>20</v>
      </c>
      <c r="F10" s="127">
        <f>ROUND(100/'数据-取费表'!G16,0)</f>
        <v>105</v>
      </c>
      <c r="G10" s="383">
        <v>20</v>
      </c>
      <c r="H10" s="127">
        <f>ROUND(100/'数据-取费表'!G16,0)</f>
        <v>105</v>
      </c>
      <c r="I10" s="383">
        <v>20</v>
      </c>
      <c r="J10" s="127">
        <f>ROUND(100/'数据-取费表'!G16,0)</f>
        <v>105</v>
      </c>
      <c r="K10" s="620"/>
      <c r="L10" s="2717"/>
      <c r="M10" s="2718"/>
      <c r="N10" s="2718"/>
      <c r="O10" s="2771"/>
      <c r="P10" s="3676"/>
      <c r="Q10" s="1343" t="str">
        <f t="shared" si="6"/>
        <v>土地使用年限（年）</v>
      </c>
      <c r="R10" s="701" t="s">
        <v>14</v>
      </c>
      <c r="S10" s="702">
        <f t="shared" si="0"/>
        <v>105</v>
      </c>
      <c r="T10" s="701" t="s">
        <v>14</v>
      </c>
      <c r="U10" s="702">
        <f t="shared" si="1"/>
        <v>105</v>
      </c>
      <c r="V10" s="701" t="s">
        <v>14</v>
      </c>
      <c r="W10" s="702">
        <f t="shared" si="2"/>
        <v>105</v>
      </c>
      <c r="X10" s="703"/>
      <c r="Y10" s="3551"/>
      <c r="Z10" s="52" t="str">
        <f t="shared" si="7"/>
        <v>土地使用年限（年）</v>
      </c>
      <c r="AA10" s="704">
        <f t="shared" si="3"/>
        <v>0.95238095238095233</v>
      </c>
      <c r="AB10" s="704">
        <f t="shared" si="4"/>
        <v>0.95238095238095233</v>
      </c>
      <c r="AC10" s="704">
        <f t="shared" si="5"/>
        <v>0.95238095238095233</v>
      </c>
    </row>
    <row r="11" spans="1:29" ht="15">
      <c r="A11" s="379"/>
      <c r="B11" s="375" t="s">
        <v>1688</v>
      </c>
      <c r="C11" s="380">
        <f>'数据-汇总表'!I4</f>
        <v>1</v>
      </c>
      <c r="D11" s="127">
        <v>100</v>
      </c>
      <c r="E11" s="380">
        <v>1</v>
      </c>
      <c r="F11" s="127">
        <f>LOOKUP(E11,75:75,76:76)-LOOKUP(C11,75:75,76:76)+100</f>
        <v>100</v>
      </c>
      <c r="G11" s="381">
        <v>1.5</v>
      </c>
      <c r="H11" s="127">
        <f>LOOKUP(G11,75:75,76:76)-LOOKUP(C11,75:75,76:76)+100</f>
        <v>95</v>
      </c>
      <c r="I11" s="380">
        <v>1</v>
      </c>
      <c r="J11" s="127">
        <f>LOOKUP(I11,75:75,76:76)-LOOKUP(C11,75:75,76:76)+100</f>
        <v>100</v>
      </c>
      <c r="K11" s="621">
        <v>5</v>
      </c>
      <c r="L11" s="2719"/>
      <c r="M11" s="2714"/>
      <c r="N11" s="2714"/>
      <c r="O11" s="2772"/>
      <c r="P11" s="3676"/>
      <c r="Q11" s="1343" t="str">
        <f t="shared" si="6"/>
        <v>容积率</v>
      </c>
      <c r="R11" s="701" t="s">
        <v>14</v>
      </c>
      <c r="S11" s="702">
        <f t="shared" si="0"/>
        <v>100</v>
      </c>
      <c r="T11" s="701" t="s">
        <v>14</v>
      </c>
      <c r="U11" s="702">
        <f t="shared" si="1"/>
        <v>95</v>
      </c>
      <c r="V11" s="701" t="s">
        <v>14</v>
      </c>
      <c r="W11" s="702">
        <f t="shared" si="2"/>
        <v>100</v>
      </c>
      <c r="X11" s="703"/>
      <c r="Y11" s="3551"/>
      <c r="Z11" s="52" t="str">
        <f t="shared" si="7"/>
        <v>容积率</v>
      </c>
      <c r="AA11" s="704">
        <f t="shared" si="3"/>
        <v>1</v>
      </c>
      <c r="AB11" s="704">
        <f t="shared" si="4"/>
        <v>1.0526315789473684</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0"/>
      <c r="M15" s="2714"/>
      <c r="N15" s="2714"/>
      <c r="O15" s="2772"/>
      <c r="P15" s="3678" t="s">
        <v>1690</v>
      </c>
      <c r="Q15" s="1352" t="str">
        <f t="shared" si="6"/>
        <v>产业集聚程度</v>
      </c>
      <c r="R15" s="705" t="s">
        <v>14</v>
      </c>
      <c r="S15" s="706">
        <f t="shared" si="0"/>
        <v>100</v>
      </c>
      <c r="T15" s="705" t="s">
        <v>14</v>
      </c>
      <c r="U15" s="706">
        <f t="shared" si="1"/>
        <v>100</v>
      </c>
      <c r="V15" s="705" t="s">
        <v>14</v>
      </c>
      <c r="W15" s="706">
        <f t="shared" si="2"/>
        <v>100</v>
      </c>
      <c r="X15" s="1355"/>
      <c r="Y15" s="3678" t="s">
        <v>1690</v>
      </c>
      <c r="Z15" s="1356" t="str">
        <f t="shared" si="7"/>
        <v>产业集聚程度</v>
      </c>
      <c r="AA15" s="1353">
        <f t="shared" si="3"/>
        <v>1</v>
      </c>
      <c r="AB15" s="1353">
        <f t="shared" si="4"/>
        <v>1</v>
      </c>
      <c r="AC15" s="1353">
        <f t="shared" si="5"/>
        <v>1</v>
      </c>
    </row>
    <row r="16" spans="1:29" ht="15">
      <c r="A16" s="379"/>
      <c r="B16" s="578"/>
      <c r="C16" s="398" t="s">
        <v>3424</v>
      </c>
      <c r="D16" s="399"/>
      <c r="E16" s="398" t="s">
        <v>3424</v>
      </c>
      <c r="F16" s="399"/>
      <c r="G16" s="398" t="s">
        <v>3424</v>
      </c>
      <c r="H16" s="401"/>
      <c r="I16" s="398" t="s">
        <v>3424</v>
      </c>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0"/>
      <c r="M17" s="2714"/>
      <c r="N17" s="2714"/>
      <c r="O17" s="277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t="s">
        <v>3425</v>
      </c>
      <c r="D18" s="399"/>
      <c r="E18" s="398" t="s">
        <v>3425</v>
      </c>
      <c r="F18" s="399"/>
      <c r="G18" s="398" t="s">
        <v>3425</v>
      </c>
      <c r="H18" s="399"/>
      <c r="I18" s="398" t="s">
        <v>3425</v>
      </c>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0"/>
      <c r="M19" s="2714"/>
      <c r="N19" s="2714"/>
      <c r="O19" s="2772"/>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t="s">
        <v>3424</v>
      </c>
      <c r="D20" s="399"/>
      <c r="E20" s="398" t="s">
        <v>3424</v>
      </c>
      <c r="F20" s="399"/>
      <c r="G20" s="398" t="s">
        <v>3424</v>
      </c>
      <c r="H20" s="399"/>
      <c r="I20" s="398" t="s">
        <v>3424</v>
      </c>
      <c r="J20" s="399"/>
      <c r="K20" s="740"/>
      <c r="L20" s="2720"/>
      <c r="M20" s="2714"/>
      <c r="N20" s="2714"/>
      <c r="O20" s="2772"/>
      <c r="P20" s="3679"/>
      <c r="Q20" s="1352"/>
      <c r="R20" s="705"/>
      <c r="S20" s="706"/>
      <c r="T20" s="705"/>
      <c r="U20" s="706"/>
      <c r="V20" s="705"/>
      <c r="W20" s="706"/>
      <c r="X20" s="1355"/>
      <c r="Y20" s="367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0"/>
      <c r="M21" s="2714"/>
      <c r="N21" s="2714"/>
      <c r="O21" s="2772"/>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t="s">
        <v>3424</v>
      </c>
      <c r="D22" s="399"/>
      <c r="E22" s="398" t="s">
        <v>3424</v>
      </c>
      <c r="F22" s="399"/>
      <c r="G22" s="398" t="s">
        <v>3424</v>
      </c>
      <c r="H22" s="399"/>
      <c r="I22" s="398" t="s">
        <v>3424</v>
      </c>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5"/>
      <c r="M23" s="2716"/>
      <c r="N23" s="2716"/>
      <c r="O23" s="2770"/>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t="s">
        <v>3425</v>
      </c>
      <c r="D24" s="399"/>
      <c r="E24" s="1978" t="s">
        <v>3425</v>
      </c>
      <c r="F24" s="399"/>
      <c r="G24" s="1978" t="s">
        <v>3425</v>
      </c>
      <c r="H24" s="399"/>
      <c r="I24" s="1978" t="s">
        <v>3425</v>
      </c>
      <c r="J24" s="399"/>
      <c r="K24" s="620"/>
      <c r="L24" s="2715"/>
      <c r="M24" s="2716"/>
      <c r="N24" s="2716"/>
      <c r="O24" s="2770"/>
      <c r="P24" s="3679"/>
      <c r="Q24" s="1343"/>
      <c r="R24" s="701"/>
      <c r="S24" s="702"/>
      <c r="T24" s="701"/>
      <c r="U24" s="702"/>
      <c r="V24" s="701"/>
      <c r="W24" s="702"/>
      <c r="X24" s="703"/>
      <c r="Y24" s="367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5"/>
      <c r="M25" s="2716"/>
      <c r="N25" s="2716"/>
      <c r="O25" s="2770"/>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75" thickBot="1">
      <c r="A26" s="597"/>
      <c r="B26" s="580"/>
      <c r="C26" s="1978" t="s">
        <v>3510</v>
      </c>
      <c r="D26" s="399"/>
      <c r="E26" s="1978" t="s">
        <v>3510</v>
      </c>
      <c r="F26" s="399"/>
      <c r="G26" s="1978" t="s">
        <v>3510</v>
      </c>
      <c r="H26" s="399"/>
      <c r="I26" s="1978" t="s">
        <v>3510</v>
      </c>
      <c r="J26" s="399"/>
      <c r="K26" s="620"/>
      <c r="L26" s="2715"/>
      <c r="M26" s="2716"/>
      <c r="N26" s="2716"/>
      <c r="O26" s="2770"/>
      <c r="P26" s="3679"/>
      <c r="Q26" s="1343"/>
      <c r="R26" s="701"/>
      <c r="S26" s="702"/>
      <c r="T26" s="701"/>
      <c r="U26" s="702"/>
      <c r="V26" s="701"/>
      <c r="W26" s="702"/>
      <c r="X26" s="703"/>
      <c r="Y26" s="3679"/>
      <c r="Z26" s="52"/>
      <c r="AA26" s="704">
        <v>1</v>
      </c>
      <c r="AB26" s="704">
        <v>1</v>
      </c>
      <c r="AC26" s="704">
        <v>1</v>
      </c>
    </row>
    <row r="27" spans="1:29" ht="15" hidden="1">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hidden="1">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0"/>
      <c r="M29" s="2714"/>
      <c r="N29" s="2714"/>
      <c r="O29" s="2772"/>
      <c r="P29" s="3679"/>
      <c r="Q29" s="1352"/>
      <c r="R29" s="705"/>
      <c r="S29" s="706"/>
      <c r="T29" s="705"/>
      <c r="U29" s="706"/>
      <c r="V29" s="705"/>
      <c r="W29" s="706"/>
      <c r="X29" s="1355"/>
      <c r="Y29" s="3679"/>
      <c r="Z29" s="1356"/>
      <c r="AA29" s="1353">
        <v>1</v>
      </c>
      <c r="AB29" s="1353">
        <v>1</v>
      </c>
      <c r="AC29" s="1353">
        <v>1</v>
      </c>
    </row>
    <row r="30" spans="1:29" ht="15" hidden="1">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1695</v>
      </c>
      <c r="Q32" s="1352">
        <f t="shared" si="8"/>
        <v>111</v>
      </c>
      <c r="R32" s="705" t="s">
        <v>14</v>
      </c>
      <c r="S32" s="706">
        <f t="shared" si="10"/>
        <v>100</v>
      </c>
      <c r="T32" s="705" t="s">
        <v>14</v>
      </c>
      <c r="U32" s="706">
        <f t="shared" si="11"/>
        <v>100</v>
      </c>
      <c r="V32" s="705" t="s">
        <v>14</v>
      </c>
      <c r="W32" s="706">
        <f t="shared" si="12"/>
        <v>100</v>
      </c>
      <c r="X32" s="1355"/>
      <c r="Y32" s="3683" t="s">
        <v>1695</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1693</v>
      </c>
      <c r="B34" s="407" t="s">
        <v>1873</v>
      </c>
      <c r="C34" s="627">
        <f>'数据-基础表'!A3</f>
        <v>23652.31</v>
      </c>
      <c r="D34" s="418">
        <v>100</v>
      </c>
      <c r="E34" s="627">
        <f>土地案例!I2</f>
        <v>20000</v>
      </c>
      <c r="F34" s="418">
        <f>LOOKUP(E34,108:108,109:109)-LOOKUP(C34,108:108,109:109)+100</f>
        <v>100</v>
      </c>
      <c r="G34" s="627">
        <f>土地案例!I3</f>
        <v>57488.82</v>
      </c>
      <c r="H34" s="418">
        <f>LOOKUP(G34,108:108,109:109)-LOOKUP(C34,108:108,109:109)+100</f>
        <v>94</v>
      </c>
      <c r="I34" s="479">
        <f>土地案例!I6</f>
        <v>23170.400000000001</v>
      </c>
      <c r="J34" s="418">
        <f>LOOKUP(I34,108:108,109:109)-LOOKUP(C34,108:108,109:109)+100</f>
        <v>100</v>
      </c>
      <c r="K34" s="562"/>
      <c r="L34" s="2720"/>
      <c r="M34" s="2714"/>
      <c r="N34" s="2714"/>
      <c r="O34" s="2772"/>
      <c r="P34" s="3683"/>
      <c r="Q34" s="1352" t="str">
        <f>B34</f>
        <v>宗地面积</v>
      </c>
      <c r="R34" s="705" t="s">
        <v>14</v>
      </c>
      <c r="S34" s="706">
        <f t="shared" si="10"/>
        <v>100</v>
      </c>
      <c r="T34" s="705" t="s">
        <v>14</v>
      </c>
      <c r="U34" s="706">
        <f t="shared" si="11"/>
        <v>94</v>
      </c>
      <c r="V34" s="705" t="s">
        <v>14</v>
      </c>
      <c r="W34" s="706">
        <f t="shared" si="12"/>
        <v>100</v>
      </c>
      <c r="X34" s="1355"/>
      <c r="Y34" s="3683"/>
      <c r="Z34" s="1356" t="str">
        <f t="shared" si="13"/>
        <v>宗地面积</v>
      </c>
      <c r="AA34" s="1353">
        <f t="shared" si="3"/>
        <v>1</v>
      </c>
      <c r="AB34" s="1353">
        <f t="shared" si="4"/>
        <v>1.0638297872340425</v>
      </c>
      <c r="AC34" s="1353">
        <f t="shared" si="5"/>
        <v>1</v>
      </c>
    </row>
    <row r="35" spans="1:31" ht="15">
      <c r="A35" s="423"/>
      <c r="B35" s="375" t="s">
        <v>1874</v>
      </c>
      <c r="C35" s="1906" t="s">
        <v>3513</v>
      </c>
      <c r="D35" s="386">
        <v>100</v>
      </c>
      <c r="E35" s="1906" t="s">
        <v>3513</v>
      </c>
      <c r="F35" s="386">
        <f>SUMIF(110:110,E35,111:111)-SUMIF(110:110,C35,111:111)+100</f>
        <v>100</v>
      </c>
      <c r="G35" s="1906" t="s">
        <v>3513</v>
      </c>
      <c r="H35" s="386">
        <f>SUMIF(110:110,G35,111:111)-SUMIF(110:110,C35,111:111)+100</f>
        <v>100</v>
      </c>
      <c r="I35" s="1906" t="s">
        <v>3513</v>
      </c>
      <c r="J35" s="386">
        <f>SUMIF(110:110,I35,111:111)-SUMIF(110:110,C35,111:111)+100</f>
        <v>100</v>
      </c>
      <c r="K35" s="561">
        <v>1</v>
      </c>
      <c r="L35" s="2720"/>
      <c r="M35" s="2714"/>
      <c r="N35" s="2714"/>
      <c r="O35" s="2772"/>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1876</v>
      </c>
      <c r="C36" s="1980" t="s">
        <v>3510</v>
      </c>
      <c r="D36" s="127">
        <v>100</v>
      </c>
      <c r="E36" s="1980" t="s">
        <v>3518</v>
      </c>
      <c r="F36" s="386">
        <f>SUMIF(112:112,E36,113:113)-SUMIF(112:112,C36,113:113)+100</f>
        <v>97</v>
      </c>
      <c r="G36" s="1980" t="s">
        <v>3518</v>
      </c>
      <c r="H36" s="386">
        <f>SUMIF(112:112,G36,113:113)-SUMIF(112:112,C36,113:113)+100</f>
        <v>97</v>
      </c>
      <c r="I36" s="1980" t="s">
        <v>3518</v>
      </c>
      <c r="J36" s="386">
        <f>SUMIF(112:112,I36,113:113)-SUMIF(112:112,C36,113:113)+100</f>
        <v>97</v>
      </c>
      <c r="K36" s="561">
        <v>1</v>
      </c>
      <c r="L36" s="2715"/>
      <c r="M36" s="2716"/>
      <c r="N36" s="2716"/>
      <c r="O36" s="2770"/>
      <c r="P36" s="3683"/>
      <c r="Q36" s="1352" t="str">
        <f t="shared" si="14"/>
        <v>宗地开发程度</v>
      </c>
      <c r="R36" s="701" t="s">
        <v>14</v>
      </c>
      <c r="S36" s="702">
        <f t="shared" si="10"/>
        <v>97</v>
      </c>
      <c r="T36" s="701" t="s">
        <v>14</v>
      </c>
      <c r="U36" s="702">
        <f t="shared" si="11"/>
        <v>97</v>
      </c>
      <c r="V36" s="701" t="s">
        <v>14</v>
      </c>
      <c r="W36" s="702">
        <f t="shared" si="12"/>
        <v>97</v>
      </c>
      <c r="X36" s="703"/>
      <c r="Y36" s="3683"/>
      <c r="Z36" s="52" t="str">
        <f t="shared" si="13"/>
        <v>宗地开发程度</v>
      </c>
      <c r="AA36" s="704">
        <f t="shared" si="3"/>
        <v>1.0309278350515463</v>
      </c>
      <c r="AB36" s="704">
        <f t="shared" si="4"/>
        <v>1.0309278350515463</v>
      </c>
      <c r="AC36" s="704">
        <f t="shared" si="5"/>
        <v>1.0309278350515463</v>
      </c>
    </row>
    <row r="37" spans="1:31" ht="15.75" thickBot="1">
      <c r="A37" s="423"/>
      <c r="B37" s="375" t="s">
        <v>1877</v>
      </c>
      <c r="C37" s="1906" t="s">
        <v>3424</v>
      </c>
      <c r="D37" s="386">
        <v>100</v>
      </c>
      <c r="E37" s="1906" t="s">
        <v>3424</v>
      </c>
      <c r="F37" s="386">
        <f>SUMIF(114:114,E37,115:115)-SUMIF(114:114,C37,115:115)+100</f>
        <v>100</v>
      </c>
      <c r="G37" s="1906" t="s">
        <v>3424</v>
      </c>
      <c r="H37" s="386">
        <f>SUMIF(114:114,G37,115:115)-SUMIF(114:114,C37,115:115)+100</f>
        <v>100</v>
      </c>
      <c r="I37" s="1906" t="s">
        <v>3424</v>
      </c>
      <c r="J37" s="386">
        <f>SUMIF(114:114,I37,115:115)-SUMIF(114:114,C37,115:115)+100</f>
        <v>100</v>
      </c>
      <c r="K37" s="561">
        <v>1</v>
      </c>
      <c r="L37" s="2720"/>
      <c r="M37" s="2714"/>
      <c r="N37" s="2714"/>
      <c r="O37" s="2772"/>
      <c r="P37" s="3683" t="s">
        <v>1695</v>
      </c>
      <c r="Q37" s="1352" t="str">
        <f t="shared" si="14"/>
        <v>工程地质条件</v>
      </c>
      <c r="R37" s="705" t="s">
        <v>14</v>
      </c>
      <c r="S37" s="706">
        <f t="shared" si="10"/>
        <v>100</v>
      </c>
      <c r="T37" s="705" t="s">
        <v>14</v>
      </c>
      <c r="U37" s="706">
        <f t="shared" si="11"/>
        <v>100</v>
      </c>
      <c r="V37" s="705" t="s">
        <v>14</v>
      </c>
      <c r="W37" s="706">
        <f t="shared" si="12"/>
        <v>100</v>
      </c>
      <c r="X37" s="1355"/>
      <c r="Y37" s="3683" t="s">
        <v>1695</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1843</v>
      </c>
      <c r="B41" s="1982" t="s">
        <v>3511</v>
      </c>
      <c r="C41" s="630" t="s">
        <v>0</v>
      </c>
      <c r="D41" s="432"/>
      <c r="E41" s="433">
        <f>土地案例!N2</f>
        <v>1142</v>
      </c>
      <c r="F41" s="434"/>
      <c r="G41" s="435">
        <f>土地案例!N3</f>
        <v>909</v>
      </c>
      <c r="H41" s="436"/>
      <c r="I41" s="433">
        <v>1136</v>
      </c>
      <c r="J41" s="436"/>
      <c r="K41" s="714"/>
      <c r="L41" s="2722"/>
      <c r="M41" s="2714"/>
      <c r="N41" s="2714"/>
      <c r="O41" s="2723"/>
      <c r="P41" s="3676" t="str">
        <f>A41</f>
        <v>成交单价</v>
      </c>
      <c r="Q41" s="3676"/>
      <c r="R41" s="3707">
        <f>E41</f>
        <v>1142</v>
      </c>
      <c r="S41" s="3707"/>
      <c r="T41" s="3707">
        <f>G41</f>
        <v>909</v>
      </c>
      <c r="U41" s="3707"/>
      <c r="V41" s="3707">
        <f>I41</f>
        <v>1136</v>
      </c>
      <c r="W41" s="3707"/>
      <c r="X41" s="690"/>
      <c r="Y41" s="712"/>
      <c r="Z41" s="690"/>
      <c r="AA41" s="690"/>
      <c r="AB41" s="690"/>
      <c r="AC41" s="690"/>
    </row>
    <row r="42" spans="1:31" ht="15.75" thickBot="1">
      <c r="A42" s="437" t="s">
        <v>1792</v>
      </c>
      <c r="B42" s="631"/>
      <c r="C42" s="440">
        <f>R43</f>
        <v>1108</v>
      </c>
      <c r="D42" s="2317" t="s">
        <v>2136</v>
      </c>
      <c r="E42" s="440">
        <f>R42</f>
        <v>1144</v>
      </c>
      <c r="F42" s="2318"/>
      <c r="G42" s="439">
        <f>T42</f>
        <v>1030</v>
      </c>
      <c r="H42" s="2318"/>
      <c r="I42" s="440">
        <f>V42</f>
        <v>1150</v>
      </c>
      <c r="J42" s="2318"/>
      <c r="K42" s="2320">
        <f>F42+H42+J42</f>
        <v>0</v>
      </c>
      <c r="L42" s="2722"/>
      <c r="M42" s="2714"/>
      <c r="N42" s="2714"/>
      <c r="O42" s="2723"/>
      <c r="P42" s="3676" t="str">
        <f>A42</f>
        <v>比较价值（元/平方米）</v>
      </c>
      <c r="Q42" s="3676"/>
      <c r="R42" s="3736">
        <f>ROUND(PRODUCT(R41,AA7:AA40),0)</f>
        <v>1144</v>
      </c>
      <c r="S42" s="3736"/>
      <c r="T42" s="3736">
        <f>ROUND(PRODUCT(T41,AB7:AB40),0)</f>
        <v>1030</v>
      </c>
      <c r="U42" s="3736"/>
      <c r="V42" s="3736">
        <f>ROUND(PRODUCT(V41,AC7:AC40),0)</f>
        <v>1150</v>
      </c>
      <c r="W42" s="3736"/>
      <c r="X42" s="690"/>
      <c r="Y42" s="690"/>
      <c r="Z42" s="690"/>
      <c r="AA42" s="690"/>
      <c r="AB42" s="690"/>
      <c r="AC42" s="690"/>
    </row>
    <row r="43" spans="1:31" ht="15.75" thickBot="1">
      <c r="A43" s="441" t="s">
        <v>1793</v>
      </c>
      <c r="B43" s="442"/>
      <c r="C43" s="443">
        <f>R43</f>
        <v>1108</v>
      </c>
      <c r="D43" s="443"/>
      <c r="E43" s="443"/>
      <c r="F43" s="443"/>
      <c r="G43" s="443"/>
      <c r="H43" s="443"/>
      <c r="I43" s="443"/>
      <c r="J43" s="443"/>
      <c r="K43" s="715"/>
      <c r="L43" s="2722"/>
      <c r="M43" s="2714"/>
      <c r="N43" s="2714"/>
      <c r="O43" s="2723"/>
      <c r="P43" s="3673" t="str">
        <f>A43</f>
        <v>估价对象XX用房的比较价值（楼面单价，元/平方米）</v>
      </c>
      <c r="Q43" s="3674"/>
      <c r="R43" s="3737">
        <f>ROUND(IF(D42="简单平均",AVERAGE(R42:W42),R42*F42+T42*H42+V42*J42),0)</f>
        <v>1108</v>
      </c>
      <c r="S43" s="3737"/>
      <c r="T43" s="3737"/>
      <c r="U43" s="3737"/>
      <c r="V43" s="3737"/>
      <c r="W43" s="373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f>IF(E41&lt;E42,E42/E41-1,E41/E42-1)</f>
        <v>1.7513134851139256E-3</v>
      </c>
      <c r="F46" s="449" t="str">
        <f>IF(OR(E46&gt;=0.3,E46&lt;=-0.3),"超过30%","")</f>
        <v/>
      </c>
      <c r="G46" s="448">
        <f>IF(G41&lt;G42,G42/G41-1,G41/G42-1)</f>
        <v>0.13311331133113313</v>
      </c>
      <c r="H46" s="449" t="str">
        <f>IF(OR(G46&gt;=0.3,G46&lt;=-0.3),"超过30%","")</f>
        <v/>
      </c>
      <c r="I46" s="448">
        <f>IF(I41&lt;I42,I42/I41-1,I41/I42-1)</f>
        <v>1.2323943661971759E-2</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f>IF(E42&lt;G42,G42/E42-1,E42/G42-1)</f>
        <v>0.11067961165048534</v>
      </c>
      <c r="F47" s="449" t="str">
        <f>IF(OR(E47&gt;=0.2,E47&lt;=-0.2),"超过20%","")</f>
        <v/>
      </c>
      <c r="G47" s="448">
        <f>IF(G42&lt;I42,I42/G42-1,G42/I42-1)</f>
        <v>0.11650485436893199</v>
      </c>
      <c r="H47" s="449" t="str">
        <f>IF(OR(G47&gt;=0.2,G47&lt;=-0.2),"超过20%","")</f>
        <v/>
      </c>
      <c r="I47" s="448">
        <f>IF(I42&lt;E42,E42/I42-1,I42/E42-1)</f>
        <v>5.2447552447552059E-3</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f>IF(E41&lt;G41,G41/E41-1,E41/G41-1)</f>
        <v>0.25632563256325636</v>
      </c>
      <c r="F48" s="449" t="str">
        <f>IF(OR(E48&gt;=0.3,E48&lt;=-0.3),"超过30%","")</f>
        <v/>
      </c>
      <c r="G48" s="448">
        <f>IF(G41&lt;I41,I41/G41-1,G41/I41-1)</f>
        <v>0.24972497249724968</v>
      </c>
      <c r="H48" s="449" t="str">
        <f>IF(OR(G48&gt;=0.3,G48&lt;=-0.3),"超过30%","")</f>
        <v/>
      </c>
      <c r="I48" s="448">
        <f>IF(I41&lt;E41,E41/I41-1,I41/E41-1)</f>
        <v>5.2816901408450079E-3</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1" t="s">
        <v>1886</v>
      </c>
      <c r="H50" s="3738"/>
      <c r="I50" s="1356" t="s">
        <v>1921</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f>C43</f>
        <v>1108</v>
      </c>
      <c r="C51" s="638">
        <v>1</v>
      </c>
      <c r="D51" s="944">
        <v>1</v>
      </c>
      <c r="E51" s="638">
        <f>'数据-汇总表'!E8+'数据-汇总表'!E9</f>
        <v>22663.3</v>
      </c>
      <c r="F51" s="639">
        <f t="shared" ref="F51:F60" si="15">ROUND(B51*E51/10000,0)</f>
        <v>2511</v>
      </c>
      <c r="G51" s="3687"/>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f>ROUND($C$43*C52*D52,0)</f>
        <v>0</v>
      </c>
      <c r="C52" s="171">
        <f t="shared" ref="C52:C60" si="16">IF($C$50="北京市系数",I52,J52)</f>
        <v>0</v>
      </c>
      <c r="D52" s="945">
        <v>0.25</v>
      </c>
      <c r="E52" s="642"/>
      <c r="F52" s="639">
        <f t="shared" si="15"/>
        <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f t="shared" ref="B53:B60" si="17">ROUND($C$43*C53*D53,0)</f>
        <v>0</v>
      </c>
      <c r="C53" s="171">
        <f t="shared" si="16"/>
        <v>0</v>
      </c>
      <c r="D53" s="945">
        <v>0.25</v>
      </c>
      <c r="E53" s="642"/>
      <c r="F53" s="639">
        <f t="shared" si="15"/>
        <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f t="shared" si="17"/>
        <v>0</v>
      </c>
      <c r="C54" s="171">
        <f t="shared" si="16"/>
        <v>0</v>
      </c>
      <c r="D54" s="945">
        <v>0.25</v>
      </c>
      <c r="E54" s="642"/>
      <c r="F54" s="639">
        <f t="shared" si="15"/>
        <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f t="shared" si="17"/>
        <v>0</v>
      </c>
      <c r="C56" s="171">
        <f t="shared" si="16"/>
        <v>0</v>
      </c>
      <c r="D56" s="945">
        <v>0.25</v>
      </c>
      <c r="E56" s="217">
        <f>'数据-汇总表'!E11</f>
        <v>0</v>
      </c>
      <c r="F56" s="639">
        <f t="shared" si="15"/>
        <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f t="shared" si="17"/>
        <v>0</v>
      </c>
      <c r="C58" s="171">
        <f t="shared" si="16"/>
        <v>0</v>
      </c>
      <c r="D58" s="945">
        <v>0.25</v>
      </c>
      <c r="E58" s="217">
        <f>'数据-汇总表'!E13</f>
        <v>7113.3</v>
      </c>
      <c r="F58" s="639">
        <f t="shared" si="15"/>
        <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f t="shared" si="17"/>
        <v>0</v>
      </c>
      <c r="C59" s="171">
        <f t="shared" si="16"/>
        <v>0</v>
      </c>
      <c r="D59" s="945">
        <v>0.25</v>
      </c>
      <c r="E59" s="217">
        <f>'数据-汇总表'!E14</f>
        <v>0</v>
      </c>
      <c r="F59" s="639">
        <f t="shared" si="15"/>
        <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f t="shared" si="17"/>
        <v>0</v>
      </c>
      <c r="C60" s="171">
        <f t="shared" si="16"/>
        <v>0</v>
      </c>
      <c r="D60" s="945">
        <v>0.25</v>
      </c>
      <c r="E60" s="217">
        <f>'数据-汇总表'!E15</f>
        <v>0</v>
      </c>
      <c r="F60" s="639">
        <f t="shared" si="15"/>
        <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29776.6</v>
      </c>
      <c r="F61" s="645">
        <f>IF(B41="楼面地价",SUM(F51:F60),ROUND(C43*E61/10000,0))</f>
        <v>2511</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f>C66-0.5</f>
        <v>99.5</v>
      </c>
      <c r="E66" s="544">
        <f t="shared" ref="E66:M66" si="20">D66-0.5</f>
        <v>99</v>
      </c>
      <c r="F66" s="544">
        <f t="shared" si="20"/>
        <v>98.5</v>
      </c>
      <c r="G66" s="544">
        <f t="shared" si="20"/>
        <v>98</v>
      </c>
      <c r="H66" s="544">
        <f t="shared" si="20"/>
        <v>97.5</v>
      </c>
      <c r="I66" s="544">
        <f t="shared" si="20"/>
        <v>97</v>
      </c>
      <c r="J66" s="544">
        <f t="shared" si="20"/>
        <v>96.5</v>
      </c>
      <c r="K66" s="544">
        <f t="shared" si="20"/>
        <v>96</v>
      </c>
      <c r="L66" s="544">
        <f t="shared" si="20"/>
        <v>95.5</v>
      </c>
      <c r="M66" s="544">
        <f t="shared" si="20"/>
        <v>95</v>
      </c>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3458" t="s">
        <v>3512</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0（含）-1</v>
      </c>
      <c r="D74" s="496" t="str">
        <f t="shared" ref="D74:L74" si="21">D75&amp;"（含）"&amp;"-"&amp;E75</f>
        <v>1（含）-1.5</v>
      </c>
      <c r="E74" s="496" t="str">
        <f t="shared" si="21"/>
        <v>1.5（含）-2</v>
      </c>
      <c r="F74" s="496" t="str">
        <f t="shared" si="21"/>
        <v>2（含）-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1.5</v>
      </c>
      <c r="F75" s="498">
        <v>2</v>
      </c>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95</v>
      </c>
      <c r="E76" s="493">
        <f t="shared" ref="E76:M76" si="22">IF($B$41="单位面积地价",D76+$K11,D76-$K11)</f>
        <v>90</v>
      </c>
      <c r="F76" s="493">
        <f t="shared" si="22"/>
        <v>85</v>
      </c>
      <c r="G76" s="493">
        <f t="shared" si="22"/>
        <v>80</v>
      </c>
      <c r="H76" s="493">
        <f t="shared" si="22"/>
        <v>75</v>
      </c>
      <c r="I76" s="493">
        <f t="shared" si="22"/>
        <v>70</v>
      </c>
      <c r="J76" s="493">
        <f t="shared" si="22"/>
        <v>65</v>
      </c>
      <c r="K76" s="493">
        <f t="shared" si="22"/>
        <v>60</v>
      </c>
      <c r="L76" s="493">
        <f t="shared" si="22"/>
        <v>55</v>
      </c>
      <c r="M76" s="493">
        <f t="shared" si="22"/>
        <v>50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40000(含)-50000</v>
      </c>
      <c r="H107" s="478" t="str">
        <f t="shared" si="26"/>
        <v>50000(含)-60000</v>
      </c>
      <c r="I107" s="478" t="str">
        <f t="shared" si="26"/>
        <v>60000(含)-</v>
      </c>
      <c r="J107" s="478" t="str">
        <f t="shared" si="26"/>
        <v>(含)-</v>
      </c>
      <c r="K107" s="1333" t="str">
        <f t="shared" si="26"/>
        <v>(含)-</v>
      </c>
      <c r="L107" s="1333" t="str">
        <f t="shared" si="26"/>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10000</v>
      </c>
      <c r="E108" s="544">
        <v>20000</v>
      </c>
      <c r="F108" s="544">
        <v>30000</v>
      </c>
      <c r="G108" s="544">
        <v>40000</v>
      </c>
      <c r="H108" s="544">
        <v>50000</v>
      </c>
      <c r="I108" s="544">
        <v>60000</v>
      </c>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96</v>
      </c>
      <c r="D109" s="540">
        <v>98</v>
      </c>
      <c r="E109" s="540">
        <v>100</v>
      </c>
      <c r="F109" s="540">
        <v>98</v>
      </c>
      <c r="G109" s="540">
        <v>96</v>
      </c>
      <c r="H109" s="540">
        <v>94</v>
      </c>
      <c r="I109" s="540">
        <v>96</v>
      </c>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3459" t="s">
        <v>3514</v>
      </c>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3460" t="s">
        <v>3515</v>
      </c>
      <c r="D112" s="3460" t="s">
        <v>3516</v>
      </c>
      <c r="E112" s="3460" t="s">
        <v>3517</v>
      </c>
      <c r="F112" s="3460" t="s">
        <v>3519</v>
      </c>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3460" t="s">
        <v>3520</v>
      </c>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6" t="s">
        <v>2082</v>
      </c>
      <c r="D1" s="3747"/>
      <c r="E1" s="3747"/>
      <c r="F1" s="3747"/>
      <c r="G1" s="3747"/>
      <c r="H1" s="3747"/>
      <c r="I1" s="3747"/>
      <c r="J1" s="3747"/>
      <c r="K1" s="3747"/>
      <c r="L1" s="3747"/>
      <c r="M1" s="3747"/>
      <c r="N1" s="3747"/>
      <c r="O1" s="3747"/>
      <c r="P1" s="3747"/>
      <c r="Q1" s="3747"/>
      <c r="R1" s="3747"/>
      <c r="S1" s="37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f ca="1">SUMIF(B6:B13,"&lt;&gt;#ref!",B6:B13)</f>
        <v>2433</v>
      </c>
      <c r="C2" s="2145" t="s">
        <v>2072</v>
      </c>
      <c r="D2" s="2145" t="s">
        <v>2073</v>
      </c>
      <c r="E2" s="2610">
        <f ca="1">SUMIF(E6:E13,"&lt;&gt;#ref!",E6:E13)</f>
        <v>23601.7</v>
      </c>
      <c r="F2" s="2791"/>
      <c r="G2" s="2791"/>
      <c r="H2" s="2791"/>
      <c r="I2" s="2791"/>
      <c r="J2" s="2791"/>
      <c r="K2" s="2791"/>
      <c r="L2" s="2791"/>
      <c r="M2" s="2791"/>
      <c r="N2" s="2791"/>
      <c r="O2" s="2791"/>
      <c r="P2" s="2791"/>
    </row>
    <row r="3" spans="1:16" ht="15.75">
      <c r="A3" s="2145" t="s">
        <v>2074</v>
      </c>
      <c r="B3" s="2600">
        <f ca="1">ROUND(B2*10000/E2,0)</f>
        <v>1031</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2433</v>
      </c>
      <c r="C6" s="2145" t="s">
        <v>2072</v>
      </c>
      <c r="D6" s="2791"/>
      <c r="E6" s="2610">
        <f ca="1">SUMIF(INDIRECT("'"&amp;A6&amp;"'"&amp;"!C:C"),"建筑面积",INDIRECT("'"&amp;A6&amp;"'"&amp;"!D:D"))</f>
        <v>23601.7</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
  <sheetViews>
    <sheetView zoomScale="85" zoomScaleNormal="85" workbookViewId="0">
      <selection activeCell="M32" sqref="M32"/>
    </sheetView>
  </sheetViews>
  <sheetFormatPr defaultRowHeight="13.5"/>
  <cols>
    <col min="1" max="2" width="20" style="3452" customWidth="1"/>
    <col min="3" max="3" width="7.625" style="3452" customWidth="1"/>
    <col min="4" max="4" width="8.625" style="3452" customWidth="1"/>
    <col min="5" max="5" width="8.25" style="3452" customWidth="1"/>
    <col min="6" max="6" width="6.625" style="3452" customWidth="1"/>
    <col min="7" max="7" width="9.25" style="3452" customWidth="1"/>
    <col min="8" max="8" width="13.5" style="3452" customWidth="1"/>
    <col min="9" max="9" width="12" style="3452" customWidth="1"/>
    <col min="10" max="10" width="11.375" style="3452" customWidth="1"/>
    <col min="11" max="11" width="8.25" style="3452" customWidth="1"/>
    <col min="12" max="12" width="12.25" style="3452" customWidth="1"/>
    <col min="13" max="13" width="10.875" style="3452" customWidth="1"/>
    <col min="14" max="14" width="10.125" style="3452" customWidth="1"/>
    <col min="15" max="15" width="9.375" style="3452" customWidth="1"/>
    <col min="16" max="16" width="13.625" style="3452" customWidth="1"/>
    <col min="17" max="17" width="20" style="3452" customWidth="1"/>
    <col min="18" max="16384" width="9" style="3452"/>
  </cols>
  <sheetData>
    <row r="1" spans="1:16">
      <c r="A1" s="3452" t="s">
        <v>3430</v>
      </c>
      <c r="B1" s="3452" t="s">
        <v>3431</v>
      </c>
      <c r="C1" s="3452" t="s">
        <v>3432</v>
      </c>
      <c r="D1" s="3452" t="s">
        <v>3433</v>
      </c>
      <c r="E1" s="3452" t="s">
        <v>3434</v>
      </c>
      <c r="F1" s="3452" t="s">
        <v>3435</v>
      </c>
      <c r="G1" s="3452" t="s">
        <v>3436</v>
      </c>
      <c r="H1" s="3452" t="s">
        <v>3437</v>
      </c>
      <c r="I1" s="3452" t="s">
        <v>3438</v>
      </c>
      <c r="J1" s="3452" t="s">
        <v>3439</v>
      </c>
      <c r="K1" s="3452" t="s">
        <v>3440</v>
      </c>
      <c r="L1" s="3452" t="s">
        <v>3441</v>
      </c>
      <c r="M1" s="3452" t="s">
        <v>3442</v>
      </c>
      <c r="N1" s="3452" t="s">
        <v>3443</v>
      </c>
      <c r="O1" s="3452" t="s">
        <v>3444</v>
      </c>
      <c r="P1" s="3452" t="s">
        <v>3445</v>
      </c>
    </row>
    <row r="2" spans="1:16" s="3456" customFormat="1">
      <c r="A2" s="3456" t="s">
        <v>3446</v>
      </c>
      <c r="B2" s="3456" t="s">
        <v>3447</v>
      </c>
      <c r="C2" s="3456" t="s">
        <v>3448</v>
      </c>
      <c r="D2" s="3456" t="s">
        <v>2480</v>
      </c>
      <c r="E2" s="3456" t="s">
        <v>3449</v>
      </c>
      <c r="F2" s="3456" t="s">
        <v>3450</v>
      </c>
      <c r="G2" s="3456" t="s">
        <v>3451</v>
      </c>
      <c r="H2" s="3456">
        <v>20000</v>
      </c>
      <c r="I2" s="3456">
        <v>20000</v>
      </c>
      <c r="J2" s="3456" t="s">
        <v>3452</v>
      </c>
      <c r="K2" s="3456">
        <v>2284.42</v>
      </c>
      <c r="L2" s="3457">
        <v>44742.000497685185</v>
      </c>
      <c r="M2" s="3456">
        <v>2284.42</v>
      </c>
      <c r="N2" s="3456">
        <v>1142</v>
      </c>
      <c r="O2" s="3456">
        <v>0</v>
      </c>
      <c r="P2" s="3456" t="s">
        <v>3453</v>
      </c>
    </row>
    <row r="3" spans="1:16" s="3456" customFormat="1">
      <c r="A3" s="3456" t="s">
        <v>3454</v>
      </c>
      <c r="B3" s="3456" t="s">
        <v>3455</v>
      </c>
      <c r="C3" s="3456" t="s">
        <v>3448</v>
      </c>
      <c r="D3" s="3456" t="s">
        <v>2480</v>
      </c>
      <c r="E3" s="3456" t="s">
        <v>3449</v>
      </c>
      <c r="F3" s="3456" t="s">
        <v>3456</v>
      </c>
      <c r="G3" s="3456" t="s">
        <v>3457</v>
      </c>
      <c r="H3" s="3456">
        <v>86233.23</v>
      </c>
      <c r="I3" s="3456">
        <v>57488.82</v>
      </c>
      <c r="J3" s="3456" t="s">
        <v>3458</v>
      </c>
      <c r="K3" s="3456">
        <v>7835.68</v>
      </c>
      <c r="L3" s="3457">
        <v>44480.000497685185</v>
      </c>
      <c r="M3" s="3456">
        <v>7835.68</v>
      </c>
      <c r="N3" s="3456">
        <v>909</v>
      </c>
      <c r="O3" s="3456">
        <v>0</v>
      </c>
      <c r="P3" s="3456" t="s">
        <v>3459</v>
      </c>
    </row>
    <row r="4" spans="1:16" s="3456" customFormat="1">
      <c r="A4" s="3456" t="s">
        <v>3460</v>
      </c>
      <c r="B4" s="3456" t="s">
        <v>3461</v>
      </c>
      <c r="C4" s="3456" t="s">
        <v>3448</v>
      </c>
      <c r="D4" s="3456" t="s">
        <v>2480</v>
      </c>
      <c r="E4" s="3456" t="s">
        <v>3449</v>
      </c>
      <c r="F4" s="3456" t="s">
        <v>3462</v>
      </c>
      <c r="G4" s="3456" t="s">
        <v>3457</v>
      </c>
      <c r="H4" s="3456">
        <v>5937.95</v>
      </c>
      <c r="I4" s="3456">
        <v>7422.43</v>
      </c>
      <c r="J4" s="3456" t="s">
        <v>3458</v>
      </c>
      <c r="K4" s="3456">
        <v>844.63</v>
      </c>
      <c r="L4" s="3457">
        <v>44480.000497685185</v>
      </c>
      <c r="M4" s="3456">
        <v>844.63</v>
      </c>
      <c r="N4" s="3456">
        <v>1422</v>
      </c>
      <c r="O4" s="3456">
        <v>0</v>
      </c>
      <c r="P4" s="3456" t="s">
        <v>3463</v>
      </c>
    </row>
    <row r="5" spans="1:16" s="3454" customFormat="1">
      <c r="A5" s="3454" t="s">
        <v>3464</v>
      </c>
      <c r="B5" s="3454" t="s">
        <v>3465</v>
      </c>
      <c r="C5" s="3454" t="s">
        <v>3448</v>
      </c>
      <c r="D5" s="3454" t="s">
        <v>2480</v>
      </c>
      <c r="E5" s="3454" t="s">
        <v>3449</v>
      </c>
      <c r="F5" s="3454">
        <v>1</v>
      </c>
      <c r="G5" s="3454" t="s">
        <v>3457</v>
      </c>
      <c r="H5" s="3454">
        <v>23652.31</v>
      </c>
      <c r="I5" s="3454">
        <v>23652.31</v>
      </c>
      <c r="J5" s="3454" t="s">
        <v>3458</v>
      </c>
      <c r="K5" s="3454">
        <v>2689.6</v>
      </c>
      <c r="L5" s="3455">
        <v>44480.000497685185</v>
      </c>
      <c r="M5" s="3454">
        <v>2689.6</v>
      </c>
      <c r="N5" s="3454">
        <v>1137</v>
      </c>
      <c r="O5" s="3454">
        <v>0</v>
      </c>
      <c r="P5" s="3454" t="s">
        <v>3466</v>
      </c>
    </row>
    <row r="6" spans="1:16" s="3456" customFormat="1">
      <c r="A6" s="3456" t="s">
        <v>3467</v>
      </c>
      <c r="B6" s="3456" t="s">
        <v>3468</v>
      </c>
      <c r="C6" s="3456" t="s">
        <v>3448</v>
      </c>
      <c r="D6" s="3456" t="s">
        <v>2480</v>
      </c>
      <c r="E6" s="3456" t="s">
        <v>3449</v>
      </c>
      <c r="F6" s="3456">
        <v>1</v>
      </c>
      <c r="G6" s="3456" t="s">
        <v>3457</v>
      </c>
      <c r="H6" s="3456">
        <v>23170.400000000001</v>
      </c>
      <c r="I6" s="3456">
        <v>23170.400000000001</v>
      </c>
      <c r="J6" s="3456" t="s">
        <v>3458</v>
      </c>
      <c r="K6" s="3456">
        <v>2632.78</v>
      </c>
      <c r="L6" s="3457">
        <v>44480.000497685185</v>
      </c>
      <c r="M6" s="3456">
        <v>2632.78</v>
      </c>
      <c r="N6" s="3456">
        <v>1136</v>
      </c>
      <c r="O6" s="3456">
        <v>0</v>
      </c>
      <c r="P6" s="3456" t="s">
        <v>3463</v>
      </c>
    </row>
    <row r="7" spans="1:16">
      <c r="A7" s="3452" t="s">
        <v>3469</v>
      </c>
      <c r="B7" s="3452" t="s">
        <v>3470</v>
      </c>
      <c r="C7" s="3452" t="s">
        <v>3448</v>
      </c>
      <c r="D7" s="3452" t="s">
        <v>2480</v>
      </c>
      <c r="E7" s="3452" t="s">
        <v>3449</v>
      </c>
      <c r="F7" s="3452" t="s">
        <v>3456</v>
      </c>
      <c r="G7" s="3452" t="s">
        <v>3451</v>
      </c>
      <c r="H7" s="3452">
        <v>10174.16</v>
      </c>
      <c r="I7" s="3452">
        <v>6782.77</v>
      </c>
      <c r="J7" s="3452" t="s">
        <v>3471</v>
      </c>
      <c r="K7" s="3452">
        <v>768.15</v>
      </c>
      <c r="L7" s="3453">
        <v>44433.000497685185</v>
      </c>
      <c r="M7" s="3452">
        <v>768.15</v>
      </c>
      <c r="N7" s="3452">
        <v>755</v>
      </c>
      <c r="O7" s="3452">
        <v>0</v>
      </c>
      <c r="P7" s="3452" t="s">
        <v>3472</v>
      </c>
    </row>
    <row r="8" spans="1:16">
      <c r="A8" s="3452" t="s">
        <v>3473</v>
      </c>
      <c r="B8" s="3452" t="s">
        <v>3474</v>
      </c>
      <c r="C8" s="3452" t="s">
        <v>3448</v>
      </c>
      <c r="D8" s="3452" t="s">
        <v>2480</v>
      </c>
      <c r="E8" s="3452" t="s">
        <v>3449</v>
      </c>
      <c r="F8" s="3452" t="s">
        <v>3475</v>
      </c>
      <c r="G8" s="3452" t="s">
        <v>3476</v>
      </c>
      <c r="H8" s="3452">
        <v>53289.96</v>
      </c>
      <c r="I8" s="3452">
        <v>26644.98</v>
      </c>
      <c r="J8" s="3452" t="s">
        <v>3477</v>
      </c>
      <c r="K8" s="3452">
        <v>3744.24</v>
      </c>
      <c r="L8" s="3453">
        <v>44139.000497685185</v>
      </c>
      <c r="M8" s="3452">
        <v>3744.24</v>
      </c>
      <c r="N8" s="3452">
        <v>703</v>
      </c>
      <c r="O8" s="3452">
        <v>0</v>
      </c>
      <c r="P8" s="3452" t="s">
        <v>3478</v>
      </c>
    </row>
    <row r="9" spans="1:16">
      <c r="A9" s="3452" t="s">
        <v>3479</v>
      </c>
      <c r="B9" s="3452" t="s">
        <v>3480</v>
      </c>
      <c r="C9" s="3452" t="s">
        <v>3448</v>
      </c>
      <c r="D9" s="3452" t="s">
        <v>2480</v>
      </c>
      <c r="E9" s="3452" t="s">
        <v>3449</v>
      </c>
      <c r="F9" s="3452" t="s">
        <v>3456</v>
      </c>
      <c r="G9" s="3452" t="s">
        <v>3476</v>
      </c>
      <c r="H9" s="3452">
        <v>101298</v>
      </c>
      <c r="I9" s="3452">
        <v>67532.14</v>
      </c>
      <c r="J9" s="3452" t="s">
        <v>3477</v>
      </c>
      <c r="K9" s="3452">
        <v>7574.07</v>
      </c>
      <c r="L9" s="3453">
        <v>44139.000497685185</v>
      </c>
      <c r="M9" s="3452">
        <v>7574.07</v>
      </c>
      <c r="N9" s="3452">
        <v>748</v>
      </c>
      <c r="O9" s="3452">
        <v>0</v>
      </c>
      <c r="P9" s="3452" t="s">
        <v>3481</v>
      </c>
    </row>
    <row r="10" spans="1:16">
      <c r="A10" s="3452" t="s">
        <v>3482</v>
      </c>
      <c r="B10" s="3452" t="s">
        <v>3483</v>
      </c>
      <c r="C10" s="3452" t="s">
        <v>3448</v>
      </c>
      <c r="D10" s="3452" t="s">
        <v>2480</v>
      </c>
      <c r="E10" s="3452" t="s">
        <v>3449</v>
      </c>
      <c r="F10" s="3452" t="s">
        <v>3475</v>
      </c>
      <c r="G10" s="3452" t="s">
        <v>3484</v>
      </c>
      <c r="H10" s="3452">
        <v>39967.440000000002</v>
      </c>
      <c r="I10" s="3452">
        <v>19983.72</v>
      </c>
      <c r="J10" s="3452" t="s">
        <v>3485</v>
      </c>
      <c r="K10" s="3452">
        <v>2805.96</v>
      </c>
      <c r="L10" s="3453">
        <v>44041.000497685185</v>
      </c>
      <c r="M10" s="3452">
        <v>2805.96</v>
      </c>
      <c r="N10" s="3452">
        <v>702</v>
      </c>
      <c r="O10" s="3452">
        <v>0</v>
      </c>
      <c r="P10" s="3452" t="s">
        <v>3486</v>
      </c>
    </row>
    <row r="11" spans="1:16">
      <c r="A11" s="3452" t="s">
        <v>3487</v>
      </c>
      <c r="B11" s="3452" t="s">
        <v>3488</v>
      </c>
      <c r="C11" s="3452" t="s">
        <v>3448</v>
      </c>
      <c r="D11" s="3452" t="s">
        <v>2480</v>
      </c>
      <c r="E11" s="3452" t="s">
        <v>3449</v>
      </c>
      <c r="F11" s="3452" t="s">
        <v>3475</v>
      </c>
      <c r="G11" s="3452" t="s">
        <v>3476</v>
      </c>
      <c r="H11" s="3452">
        <v>39967.440000000002</v>
      </c>
      <c r="I11" s="3452">
        <v>19983.72</v>
      </c>
      <c r="J11" s="3452" t="s">
        <v>3489</v>
      </c>
      <c r="K11" s="3452">
        <v>2801.12</v>
      </c>
      <c r="L11" s="3453">
        <v>43972.000497685185</v>
      </c>
      <c r="M11" s="3452">
        <v>2801.12</v>
      </c>
      <c r="N11" s="3452">
        <v>701</v>
      </c>
      <c r="O11" s="3452">
        <v>0</v>
      </c>
      <c r="P11" s="3452" t="s">
        <v>3490</v>
      </c>
    </row>
    <row r="12" spans="1:16">
      <c r="A12" s="3452" t="s">
        <v>3491</v>
      </c>
      <c r="B12" s="3452" t="s">
        <v>3492</v>
      </c>
      <c r="C12" s="3452" t="s">
        <v>3448</v>
      </c>
      <c r="D12" s="3452" t="s">
        <v>2480</v>
      </c>
      <c r="E12" s="3452" t="s">
        <v>3449</v>
      </c>
      <c r="F12" s="3452" t="s">
        <v>3456</v>
      </c>
      <c r="G12" s="3452" t="s">
        <v>3493</v>
      </c>
      <c r="H12" s="3452">
        <v>16915</v>
      </c>
      <c r="I12" s="3452">
        <v>11276.71</v>
      </c>
      <c r="J12" s="3452" t="s">
        <v>3494</v>
      </c>
      <c r="K12" s="3452">
        <v>1211.82</v>
      </c>
      <c r="L12" s="3453">
        <v>43927.000497685185</v>
      </c>
      <c r="M12" s="3452">
        <v>1211.82</v>
      </c>
      <c r="N12" s="3452">
        <v>716</v>
      </c>
      <c r="O12" s="3452">
        <v>0</v>
      </c>
      <c r="P12" s="3452" t="s">
        <v>3495</v>
      </c>
    </row>
    <row r="13" spans="1:16">
      <c r="A13" s="3452" t="s">
        <v>3496</v>
      </c>
      <c r="B13" s="3452" t="s">
        <v>3497</v>
      </c>
      <c r="C13" s="3452" t="s">
        <v>3448</v>
      </c>
      <c r="D13" s="3452" t="s">
        <v>2480</v>
      </c>
      <c r="E13" s="3452" t="s">
        <v>3449</v>
      </c>
      <c r="F13" s="3452" t="s">
        <v>3456</v>
      </c>
      <c r="G13" s="3452" t="s">
        <v>3476</v>
      </c>
      <c r="H13" s="3452">
        <v>28440</v>
      </c>
      <c r="I13" s="3452">
        <v>18959.82</v>
      </c>
      <c r="J13" s="3452" t="s">
        <v>3498</v>
      </c>
      <c r="K13" s="3452">
        <v>3118.97</v>
      </c>
      <c r="L13" s="3453">
        <v>43821.000497685185</v>
      </c>
      <c r="M13" s="3452">
        <v>3118.97</v>
      </c>
      <c r="N13" s="3452">
        <v>1097</v>
      </c>
      <c r="O13" s="3452">
        <v>0</v>
      </c>
      <c r="P13" s="3452" t="s">
        <v>3499</v>
      </c>
    </row>
    <row r="14" spans="1:16">
      <c r="A14" s="3452" t="s">
        <v>3500</v>
      </c>
      <c r="B14" s="3452" t="s">
        <v>3501</v>
      </c>
      <c r="C14" s="3452" t="s">
        <v>3448</v>
      </c>
      <c r="D14" s="3452" t="s">
        <v>2480</v>
      </c>
      <c r="E14" s="3452" t="s">
        <v>3449</v>
      </c>
      <c r="F14" s="3452">
        <v>1.5</v>
      </c>
      <c r="G14" s="3452" t="s">
        <v>3493</v>
      </c>
      <c r="H14" s="3452">
        <v>156658</v>
      </c>
      <c r="I14" s="3452">
        <v>104438.5</v>
      </c>
      <c r="J14" s="3452" t="s">
        <v>3502</v>
      </c>
      <c r="K14" s="3452">
        <v>16825.07</v>
      </c>
      <c r="L14" s="3453">
        <v>43482.000497685185</v>
      </c>
      <c r="M14" s="3452">
        <v>16825.07</v>
      </c>
      <c r="N14" s="3452">
        <v>1074</v>
      </c>
      <c r="O14" s="3452">
        <v>0</v>
      </c>
      <c r="P14" s="3452" t="s">
        <v>3503</v>
      </c>
    </row>
    <row r="15" spans="1:16">
      <c r="A15" s="3452" t="s">
        <v>3504</v>
      </c>
      <c r="B15" s="3452" t="s">
        <v>3505</v>
      </c>
      <c r="C15" s="3452" t="s">
        <v>3448</v>
      </c>
      <c r="D15" s="3452" t="s">
        <v>2480</v>
      </c>
      <c r="E15" s="3452" t="s">
        <v>3449</v>
      </c>
      <c r="F15" s="3452">
        <v>1.5</v>
      </c>
      <c r="G15" s="3452" t="s">
        <v>3493</v>
      </c>
      <c r="H15" s="3452">
        <v>135020</v>
      </c>
      <c r="I15" s="3452">
        <v>90013.22</v>
      </c>
      <c r="J15" s="3452" t="s">
        <v>3502</v>
      </c>
      <c r="K15" s="3452">
        <v>13936.73</v>
      </c>
      <c r="L15" s="3453">
        <v>43482.000497685185</v>
      </c>
      <c r="M15" s="3452">
        <v>13936.73</v>
      </c>
      <c r="N15" s="3452">
        <v>1032</v>
      </c>
      <c r="O15" s="3452">
        <v>0</v>
      </c>
      <c r="P15" s="3452" t="s">
        <v>3506</v>
      </c>
    </row>
    <row r="16" spans="1:16">
      <c r="A16" s="3452" t="s">
        <v>3507</v>
      </c>
      <c r="B16" s="3452" t="s">
        <v>3508</v>
      </c>
      <c r="C16" s="3452" t="s">
        <v>3448</v>
      </c>
      <c r="D16" s="3452" t="s">
        <v>2480</v>
      </c>
      <c r="E16" s="3452" t="s">
        <v>3449</v>
      </c>
      <c r="F16" s="3452">
        <v>1</v>
      </c>
      <c r="G16" s="3452" t="s">
        <v>3493</v>
      </c>
      <c r="H16" s="3452">
        <v>18550</v>
      </c>
      <c r="I16" s="3452">
        <v>18550.189999999999</v>
      </c>
      <c r="J16" s="3452" t="s">
        <v>3509</v>
      </c>
      <c r="K16" s="3452">
        <v>2221.27</v>
      </c>
      <c r="L16" s="3453">
        <v>43463.000497685185</v>
      </c>
      <c r="M16" s="3452">
        <v>2221.27</v>
      </c>
      <c r="N16" s="3452">
        <v>1197</v>
      </c>
      <c r="O16" s="3452">
        <v>0</v>
      </c>
      <c r="P16" s="3452" t="s">
        <v>3463</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23601.7</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25.5">
      <c r="A2" s="201" t="s">
        <v>1932</v>
      </c>
      <c r="B2" s="204">
        <f>C30</f>
        <v>2433</v>
      </c>
      <c r="C2" s="1999" t="s">
        <v>1933</v>
      </c>
      <c r="D2" s="2000" t="s">
        <v>1934</v>
      </c>
      <c r="E2" s="3420" t="s">
        <v>3</v>
      </c>
      <c r="F2" s="2000" t="s">
        <v>1935</v>
      </c>
      <c r="G2" s="2001" t="str">
        <f>IF(E2="商业",项目基本情况!B37,IF(E2="办公",项目基本情况!C37,IF(E2="住宅",项目基本情况!D37,IF(E2="工业",项目基本情况!E37,项目基本情况!F37))))</f>
        <v>八级</v>
      </c>
      <c r="H2" s="2000" t="s">
        <v>1936</v>
      </c>
      <c r="I2" s="2001" t="str">
        <f>IF(E2="商业",项目基本情况!B38,IF(E2="办公",项目基本情况!C38,IF(E2="住宅",项目基本情况!D38,IF(E2="工业",项目基本情况!E38,项目基本情况!F38))))</f>
        <v>Ⅷ-生物医药基地</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1589</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1031</v>
      </c>
      <c r="C3" s="1999" t="s">
        <v>1939</v>
      </c>
      <c r="D3" s="2000" t="s">
        <v>1940</v>
      </c>
      <c r="E3" s="3418" t="s">
        <v>2480</v>
      </c>
      <c r="F3" s="2004" t="s">
        <v>3421</v>
      </c>
      <c r="G3" s="752">
        <f>IF(F3="宗地容积率",'数据-汇总表'!I4,IF(F3="估价对象容积率",'数据-汇总表'!I6,'数据-汇总表'!I7))</f>
        <v>1</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1225</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999</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1460</v>
      </c>
      <c r="D5" s="1339">
        <f>ROUND(C6*C17+C20,0)</f>
        <v>1460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848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1380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773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3240</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八级</v>
      </c>
      <c r="Y7" s="1214" t="s">
        <v>1954</v>
      </c>
      <c r="Z7" s="1215">
        <f>G3</f>
        <v>1</v>
      </c>
      <c r="AA7" s="1216"/>
      <c r="AB7" s="1216"/>
      <c r="AC7" s="1217"/>
      <c r="AD7" s="1218"/>
      <c r="AE7" s="1218"/>
      <c r="AF7" s="1218"/>
      <c r="AG7" s="1218"/>
      <c r="AH7" s="1218"/>
      <c r="AI7" s="1218"/>
      <c r="AJ7" s="1219"/>
    </row>
    <row r="8" spans="1:36" ht="15">
      <c r="A8" s="3297"/>
      <c r="B8" s="170" t="s">
        <v>1955</v>
      </c>
      <c r="C8" s="2026"/>
      <c r="D8" s="756" t="s">
        <v>112</v>
      </c>
      <c r="E8" s="757" t="e">
        <f>ROUND(C11/E7,4)</f>
        <v>#DIV/0!</v>
      </c>
      <c r="F8" s="2027" t="s">
        <v>1956</v>
      </c>
      <c r="G8" s="2028"/>
      <c r="H8" s="2028"/>
      <c r="I8" s="2028"/>
      <c r="J8" s="2029"/>
      <c r="K8" s="1119"/>
      <c r="L8" s="2003" t="s">
        <v>1957</v>
      </c>
      <c r="M8" s="864">
        <f>SUMPRODUCT((区片价!B234:B276=I2)*(区片价!C3:G3=E2)*(区片价!C234:G276))</f>
        <v>1380</v>
      </c>
      <c r="N8" s="866">
        <f>SUMPRODUCT((因素修正幅度!B234:B276=I2)*(因素修正幅度!C3:G3=E2)*(因素修正幅度!C234:G276))</f>
        <v>0.05</v>
      </c>
      <c r="O8" s="1119"/>
      <c r="P8" s="1119"/>
      <c r="Q8" s="1119"/>
      <c r="R8" s="1212">
        <v>7</v>
      </c>
      <c r="S8" s="1213"/>
      <c r="T8" s="3359">
        <f t="shared" si="0"/>
        <v>0</v>
      </c>
      <c r="U8" s="1213"/>
      <c r="V8" s="3359">
        <f t="shared" si="1"/>
        <v>0</v>
      </c>
      <c r="W8" s="3753" t="s">
        <v>1958</v>
      </c>
      <c r="X8" s="375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0" t="s">
        <v>3257</v>
      </c>
      <c r="B20" s="167" t="s">
        <v>1992</v>
      </c>
      <c r="C20" s="3323">
        <f>ROUND(IF(F21="与级别开发程度一致",0,(G21-E21)/C21),0)</f>
        <v>80</v>
      </c>
      <c r="D20" s="3339" t="s">
        <v>1996</v>
      </c>
      <c r="E20" s="3340"/>
      <c r="F20" s="3766" t="s">
        <v>1993</v>
      </c>
      <c r="G20" s="3767"/>
      <c r="H20" s="3324" t="s">
        <v>3384</v>
      </c>
      <c r="I20" s="3324" t="s">
        <v>3384</v>
      </c>
      <c r="J20" s="3325" t="s">
        <v>3387</v>
      </c>
      <c r="K20" s="2047" t="s">
        <v>3388</v>
      </c>
      <c r="L20" s="2047" t="s">
        <v>3389</v>
      </c>
      <c r="M20" s="2047" t="s">
        <v>3390</v>
      </c>
      <c r="N20" s="2047" t="s">
        <v>3391</v>
      </c>
      <c r="O20" s="2048" t="s">
        <v>3423</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61"/>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3422</v>
      </c>
      <c r="G21" s="2157">
        <f>SUM(H21:O21)</f>
        <v>265</v>
      </c>
      <c r="H21" s="2165">
        <f>SUMPRODUCT((七通一平=H20)*(修正!B1:M1=G2)*(修正!B8:M16))</f>
        <v>60</v>
      </c>
      <c r="I21" s="2165">
        <f>SUMPRODUCT((七通一平=I20)*(修正!B1:M1=G2)*(修正!B8:M16))</f>
        <v>60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45044</v>
      </c>
      <c r="H23" s="3341" t="s">
        <v>3259</v>
      </c>
      <c r="I23" s="3342" t="str">
        <f>IF(H23="季度增幅（自定义）",SUMIF(N25:N28,E2,O25:O28),"")</f>
        <v/>
      </c>
      <c r="J23" s="3444" t="s">
        <v>3258</v>
      </c>
      <c r="K23" s="1125"/>
      <c r="L23" s="2055" t="s">
        <v>2002</v>
      </c>
      <c r="M23" s="1328">
        <f>ROUND(SUMIF(地价!B2:G2,E2,地价!B16:G16),0)</f>
        <v>318</v>
      </c>
      <c r="N23" s="2056" t="s">
        <v>2003</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0.65169999999999995</v>
      </c>
      <c r="D24" s="2060" t="s">
        <v>2005</v>
      </c>
      <c r="E24" s="1335">
        <f>存贷款利率!E22/100</f>
        <v>4.3499999999999997E-2</v>
      </c>
      <c r="F24" s="2060" t="s">
        <v>1997</v>
      </c>
      <c r="G24" s="768">
        <f>SUMIF(M30:Q30,E2,M33:Q33)</f>
        <v>0.05</v>
      </c>
      <c r="H24" s="2060" t="s">
        <v>2006</v>
      </c>
      <c r="I24" s="769">
        <f>SUMIF('数据-取费表'!C6:C15,E2,'数据-取费表'!F6:F15)/COUNTIF('数据-取费表'!C6:C15,E2)</f>
        <v>18.52</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1</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3260</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1.0264</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2433</v>
      </c>
      <c r="D30" s="2083"/>
      <c r="E30" s="2046"/>
      <c r="F30" s="2084"/>
      <c r="G30" s="2046"/>
      <c r="H30" s="2046"/>
      <c r="I30" s="2046"/>
      <c r="J30" s="2085"/>
      <c r="K30" s="1119"/>
      <c r="L30" s="3349" t="s">
        <v>1934</v>
      </c>
      <c r="M30" s="3350" t="s">
        <v>1988</v>
      </c>
      <c r="N30" s="3350" t="s">
        <v>1989</v>
      </c>
      <c r="O30" s="3350" t="s">
        <v>1990</v>
      </c>
      <c r="P30" s="3350" t="s">
        <v>1991</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1031</v>
      </c>
      <c r="D33" s="2098">
        <f>'数据-汇总表'!F31</f>
        <v>23601.7</v>
      </c>
      <c r="E33" s="773">
        <f>ROUND(C33*D33/10000,0)</f>
        <v>2433</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155</v>
      </c>
      <c r="D34" s="2103"/>
      <c r="E34" s="773">
        <f>ROUND(IF(B25="楼层修正",SUM(V2:V16)*M40,C34*D34/10000),0)</f>
        <v>0</v>
      </c>
      <c r="F34" s="2104" t="s">
        <v>2030</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2034</v>
      </c>
      <c r="C37" s="175">
        <f>ROUND(D5*C22*C23*C24*C28*F37,0)</f>
        <v>515</v>
      </c>
      <c r="D37" s="2098"/>
      <c r="E37" s="171">
        <f>ROUND(C37*D37/10000,0)</f>
        <v>0</v>
      </c>
      <c r="F37" s="171">
        <f>SUMIF(修正!A57:A68,G2,修正!B57:B68)</f>
        <v>0.5</v>
      </c>
      <c r="G37" s="171">
        <f>ROUND(IF(E2="工业",C37*$M$42,C37*$M$41),0)</f>
        <v>77</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2035</v>
      </c>
      <c r="C38" s="175">
        <f>ROUND(D5*C22*C23*C24*C28*F38,0)</f>
        <v>206</v>
      </c>
      <c r="D38" s="2098"/>
      <c r="E38" s="171">
        <f t="shared" ref="E38:E42" si="4">ROUND(C38*D38/10000,0)</f>
        <v>0</v>
      </c>
      <c r="F38" s="171">
        <f>SUMIF(修正!A57:A68,G2,修正!C57:C68)</f>
        <v>0.2</v>
      </c>
      <c r="G38" s="171">
        <f>ROUND(IF(E2="工业",C38*$M$42,C38*$M$41),0)</f>
        <v>31</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5"/>
      <c r="B39" s="2041" t="s">
        <v>3262</v>
      </c>
      <c r="C39" s="175">
        <f>ROUND(D5*C22*C23*C24*C28*F39,0)</f>
        <v>206</v>
      </c>
      <c r="D39" s="2098"/>
      <c r="E39" s="171">
        <f t="shared" si="4"/>
        <v>0</v>
      </c>
      <c r="F39" s="171">
        <f>SUMIF(修正!A57:A68,G2,修正!D57:D68)</f>
        <v>0.2</v>
      </c>
      <c r="G39" s="171">
        <f>ROUND(IF(E2="工业",C39*$M$42,C39*$M$41),0)</f>
        <v>31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206</v>
      </c>
      <c r="D40" s="2098"/>
      <c r="E40" s="171">
        <f t="shared" si="4"/>
        <v>0</v>
      </c>
      <c r="F40" s="175">
        <f>SUMIF(修正!A57:A68,G2,修正!E57:E68)</f>
        <v>0.2</v>
      </c>
      <c r="G40" s="171">
        <f>ROUND(IF(E2="工业",C40*$M$42,C40*$M$41),0)</f>
        <v>31</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1.0264</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t="s">
        <v>3424</v>
      </c>
      <c r="D83" s="1065">
        <f t="shared" ref="D83:D90" si="22">SUMIF($J$82:$N$82,C83,J83:N83)</f>
        <v>6.4999999999999997E-3</v>
      </c>
      <c r="E83" s="744">
        <f>ROUND(SUM(D83:D90),4)</f>
        <v>2.64E-2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t="s">
        <v>3424</v>
      </c>
      <c r="D84" s="1065">
        <f t="shared" si="22"/>
        <v>7.4999999999999997E-3</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3273</v>
      </c>
      <c r="B85" s="2134">
        <f>估价对象房地状况!G17</f>
        <v>0</v>
      </c>
      <c r="C85" s="2044" t="s">
        <v>3424</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2065</v>
      </c>
      <c r="B86" s="2134">
        <f>估价对象房地状况!G22</f>
        <v>0</v>
      </c>
      <c r="C86" s="2044" t="s">
        <v>3424</v>
      </c>
      <c r="D86" s="1065">
        <f t="shared" si="22"/>
        <v>1.1999999999999999E-3</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2057</v>
      </c>
      <c r="B87" s="1326" t="str">
        <f>估价对象房地状况!G19</f>
        <v>估价对象所在区域公共配套设施齐备情况</v>
      </c>
      <c r="C87" s="2044" t="s">
        <v>3425</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2058</v>
      </c>
      <c r="B88" s="1326" t="str">
        <f>估价对象房地状况!G20</f>
        <v>估价对象所在区域基础设施水平</v>
      </c>
      <c r="C88" s="2044" t="s">
        <v>3426</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2055</v>
      </c>
      <c r="B89" s="2136" t="s">
        <v>2069</v>
      </c>
      <c r="C89" s="2044" t="s">
        <v>3424</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2070</v>
      </c>
      <c r="B90" s="2143" t="str">
        <f>估价对象房地状况!G18</f>
        <v>该园区内是否有污染型企业，绿化情况，卫生条件，整体环境状况判断</v>
      </c>
      <c r="C90" s="2044" t="s">
        <v>3424</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62" t="s">
        <v>3297</v>
      </c>
      <c r="B103" s="3762"/>
      <c r="C103" s="3762"/>
      <c r="D103" s="3762"/>
      <c r="E103" s="3762"/>
      <c r="F103" s="3762"/>
      <c r="G103" s="3762"/>
      <c r="H103" s="3762"/>
      <c r="I103" s="3762"/>
      <c r="J103" s="3762"/>
      <c r="K103" s="3388"/>
      <c r="L103" s="3388"/>
      <c r="M103" s="3388"/>
      <c r="N103" s="3388"/>
    </row>
    <row r="104" spans="1:14">
      <c r="A104" s="3763" t="s">
        <v>3298</v>
      </c>
      <c r="B104" s="3763" t="s">
        <v>3299</v>
      </c>
      <c r="C104" s="3389" t="s">
        <v>3300</v>
      </c>
      <c r="D104" s="3390"/>
      <c r="E104" s="3390"/>
      <c r="F104" s="3390"/>
      <c r="G104" s="3390"/>
      <c r="H104" s="3390"/>
      <c r="I104" s="3390"/>
      <c r="J104" s="3391"/>
      <c r="K104" s="3392"/>
      <c r="L104" s="3392"/>
      <c r="M104" s="3392"/>
      <c r="N104" s="3392"/>
    </row>
    <row r="105" spans="1:14">
      <c r="A105" s="3763"/>
      <c r="B105" s="376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3271</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52" t="s">
        <v>3314</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1</v>
      </c>
      <c r="C116" s="3398" t="s">
        <v>3316</v>
      </c>
      <c r="D116" s="3399">
        <f>SUMPRODUCT((A118:A122=F116)*(B117:M117=H116)*B118:M122)</f>
        <v>0.57150000000000001</v>
      </c>
      <c r="E116" s="2000" t="s">
        <v>3317</v>
      </c>
      <c r="F116" s="3400" t="str">
        <f>E2</f>
        <v>工业</v>
      </c>
      <c r="G116" s="2000" t="s">
        <v>3318</v>
      </c>
      <c r="H116" s="3400" t="str">
        <f>G2</f>
        <v>八级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3332</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3333</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3334</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2613</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7" t="s">
        <v>2608</v>
      </c>
      <c r="B20" s="3772" t="s">
        <v>2629</v>
      </c>
      <c r="C20" s="3101" t="s">
        <v>2440</v>
      </c>
      <c r="D20" s="3102"/>
      <c r="E20" s="3103">
        <v>1</v>
      </c>
      <c r="F20" s="3104" t="s">
        <v>2441</v>
      </c>
      <c r="G20" s="3104"/>
    </row>
    <row r="21" spans="1:13" ht="19.5" customHeight="1">
      <c r="A21" s="3778"/>
      <c r="B21" s="3771"/>
      <c r="C21" s="3105" t="s">
        <v>2442</v>
      </c>
      <c r="D21" s="3106"/>
      <c r="E21" s="3107">
        <v>1</v>
      </c>
      <c r="F21" s="3104" t="s">
        <v>2443</v>
      </c>
      <c r="G21" s="3104"/>
    </row>
    <row r="22" spans="1:13" ht="19.5" customHeight="1">
      <c r="A22" s="3778"/>
      <c r="B22" s="3771"/>
      <c r="C22" s="3105" t="s">
        <v>2444</v>
      </c>
      <c r="D22" s="3106"/>
      <c r="E22" s="3107">
        <v>0.9</v>
      </c>
      <c r="F22" s="3104" t="s">
        <v>2445</v>
      </c>
      <c r="G22" s="3104"/>
    </row>
    <row r="23" spans="1:13" ht="19.5" customHeight="1">
      <c r="A23" s="3778"/>
      <c r="B23" s="3771"/>
      <c r="C23" s="3105" t="s">
        <v>2446</v>
      </c>
      <c r="D23" s="3106"/>
      <c r="E23" s="3107">
        <v>0.9</v>
      </c>
      <c r="F23" s="3104" t="s">
        <v>2447</v>
      </c>
      <c r="G23" s="3104"/>
    </row>
    <row r="24" spans="1:13" ht="19.5" customHeight="1">
      <c r="A24" s="3778"/>
      <c r="B24" s="3771"/>
      <c r="C24" s="3105" t="s">
        <v>2448</v>
      </c>
      <c r="D24" s="3106"/>
      <c r="E24" s="3107">
        <v>0.8</v>
      </c>
      <c r="F24" s="3104" t="s">
        <v>2449</v>
      </c>
      <c r="G24" s="3104"/>
    </row>
    <row r="25" spans="1:13" ht="19.5" customHeight="1" thickBot="1">
      <c r="A25" s="3779"/>
      <c r="B25" s="3773"/>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4" t="s">
        <v>2632</v>
      </c>
      <c r="B27" s="3772" t="s">
        <v>2613</v>
      </c>
      <c r="C27" s="3101" t="s">
        <v>2453</v>
      </c>
      <c r="D27" s="3102"/>
      <c r="E27" s="3103">
        <v>1</v>
      </c>
      <c r="F27" s="3104" t="s">
        <v>2454</v>
      </c>
      <c r="G27" s="3104"/>
    </row>
    <row r="28" spans="1:13" ht="19.5" customHeight="1">
      <c r="A28" s="3775"/>
      <c r="B28" s="3771"/>
      <c r="C28" s="3105" t="s">
        <v>2455</v>
      </c>
      <c r="D28" s="3106"/>
      <c r="E28" s="3107">
        <v>1</v>
      </c>
      <c r="F28" s="3104" t="s">
        <v>2456</v>
      </c>
      <c r="G28" s="3104"/>
    </row>
    <row r="29" spans="1:13" ht="19.5" customHeight="1">
      <c r="A29" s="3775"/>
      <c r="B29" s="3771"/>
      <c r="C29" s="3105" t="s">
        <v>2457</v>
      </c>
      <c r="D29" s="3106"/>
      <c r="E29" s="3107">
        <v>0.8</v>
      </c>
      <c r="F29" s="3104" t="s">
        <v>2458</v>
      </c>
      <c r="G29" s="3104"/>
    </row>
    <row r="30" spans="1:13" ht="19.5" customHeight="1">
      <c r="A30" s="3775"/>
      <c r="B30" s="3771"/>
      <c r="C30" s="3105" t="s">
        <v>2459</v>
      </c>
      <c r="D30" s="3106"/>
      <c r="E30" s="3107">
        <v>0.8</v>
      </c>
      <c r="F30" s="3104" t="s">
        <v>2460</v>
      </c>
      <c r="G30" s="3104"/>
    </row>
    <row r="31" spans="1:13" ht="19.5" customHeight="1">
      <c r="A31" s="3775"/>
      <c r="B31" s="3771"/>
      <c r="C31" s="3105" t="s">
        <v>2461</v>
      </c>
      <c r="D31" s="3106"/>
      <c r="E31" s="3107">
        <v>0.8</v>
      </c>
      <c r="F31" s="3104" t="s">
        <v>2462</v>
      </c>
      <c r="G31" s="3104"/>
    </row>
    <row r="32" spans="1:13" ht="19.5" customHeight="1">
      <c r="A32" s="3775"/>
      <c r="B32" s="3771"/>
      <c r="C32" s="3105" t="s">
        <v>2463</v>
      </c>
      <c r="D32" s="3106"/>
      <c r="E32" s="3107">
        <v>0.7</v>
      </c>
      <c r="F32" s="3104" t="s">
        <v>2464</v>
      </c>
      <c r="G32" s="3104"/>
    </row>
    <row r="33" spans="1:7" ht="19.5" customHeight="1">
      <c r="A33" s="3775"/>
      <c r="B33" s="3771"/>
      <c r="C33" s="3105" t="s">
        <v>2465</v>
      </c>
      <c r="D33" s="3106"/>
      <c r="E33" s="3107">
        <v>0.8</v>
      </c>
      <c r="F33" s="3104" t="s">
        <v>2466</v>
      </c>
      <c r="G33" s="3104"/>
    </row>
    <row r="34" spans="1:7" ht="19.5" customHeight="1">
      <c r="A34" s="3775"/>
      <c r="B34" s="3771"/>
      <c r="C34" s="3105" t="s">
        <v>2467</v>
      </c>
      <c r="D34" s="3106"/>
      <c r="E34" s="3107">
        <v>0.6</v>
      </c>
      <c r="F34" s="3104" t="s">
        <v>2468</v>
      </c>
      <c r="G34" s="3104"/>
    </row>
    <row r="35" spans="1:7" ht="19.5" customHeight="1">
      <c r="A35" s="3775"/>
      <c r="B35" s="3771"/>
      <c r="C35" s="3105" t="s">
        <v>2469</v>
      </c>
      <c r="D35" s="3106"/>
      <c r="E35" s="3107">
        <v>0.2</v>
      </c>
      <c r="F35" s="3104" t="s">
        <v>2470</v>
      </c>
      <c r="G35" s="3104"/>
    </row>
    <row r="36" spans="1:7" ht="19.5" customHeight="1">
      <c r="A36" s="3775"/>
      <c r="B36" s="3771"/>
      <c r="C36" s="3105" t="s">
        <v>2471</v>
      </c>
      <c r="D36" s="3106"/>
      <c r="E36" s="3107">
        <v>0.2</v>
      </c>
      <c r="F36" s="3104" t="s">
        <v>2472</v>
      </c>
      <c r="G36" s="3104"/>
    </row>
    <row r="37" spans="1:7" ht="19.5" customHeight="1">
      <c r="A37" s="3775"/>
      <c r="B37" s="3769" t="s">
        <v>2633</v>
      </c>
      <c r="C37" s="3105" t="s">
        <v>2473</v>
      </c>
      <c r="D37" s="3106"/>
      <c r="E37" s="3107">
        <v>0.6</v>
      </c>
      <c r="F37" s="3104" t="s">
        <v>2474</v>
      </c>
      <c r="G37" s="3104"/>
    </row>
    <row r="38" spans="1:7" ht="19.5" customHeight="1">
      <c r="A38" s="3775"/>
      <c r="B38" s="3771"/>
      <c r="C38" s="3105" t="s">
        <v>2475</v>
      </c>
      <c r="D38" s="3106"/>
      <c r="E38" s="3107">
        <v>0.6</v>
      </c>
      <c r="F38" s="3104" t="s">
        <v>2476</v>
      </c>
      <c r="G38" s="3104"/>
    </row>
    <row r="39" spans="1:7" ht="19.5" customHeight="1" thickBot="1">
      <c r="A39" s="3776"/>
      <c r="B39" s="3773"/>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7" t="s">
        <v>2611</v>
      </c>
      <c r="B41" s="3772" t="s">
        <v>2635</v>
      </c>
      <c r="C41" s="3101" t="s">
        <v>2480</v>
      </c>
      <c r="D41" s="3102"/>
      <c r="E41" s="3103">
        <v>1</v>
      </c>
      <c r="F41" s="3104" t="s">
        <v>2481</v>
      </c>
      <c r="G41" s="3104"/>
    </row>
    <row r="42" spans="1:7" ht="19.5" customHeight="1">
      <c r="A42" s="3778"/>
      <c r="B42" s="3771"/>
      <c r="C42" s="3105" t="s">
        <v>2482</v>
      </c>
      <c r="D42" s="3106"/>
      <c r="E42" s="3107">
        <v>1</v>
      </c>
      <c r="F42" s="3104" t="s">
        <v>2483</v>
      </c>
      <c r="G42" s="3104"/>
    </row>
    <row r="43" spans="1:7" ht="19.5" customHeight="1">
      <c r="A43" s="3778"/>
      <c r="B43" s="3770"/>
      <c r="C43" s="3105" t="s">
        <v>2484</v>
      </c>
      <c r="D43" s="3106"/>
      <c r="E43" s="3107">
        <v>1.5</v>
      </c>
      <c r="F43" s="3104" t="s">
        <v>2485</v>
      </c>
      <c r="G43" s="3104"/>
    </row>
    <row r="44" spans="1:7" ht="19.5" customHeight="1">
      <c r="A44" s="3778"/>
      <c r="B44" s="3116" t="s">
        <v>2636</v>
      </c>
      <c r="C44" s="3105" t="s">
        <v>2637</v>
      </c>
      <c r="D44" s="3106"/>
      <c r="E44" s="3107">
        <v>2</v>
      </c>
      <c r="F44" s="3104" t="s">
        <v>2486</v>
      </c>
      <c r="G44" s="3104"/>
    </row>
    <row r="45" spans="1:7" ht="19.5" customHeight="1">
      <c r="A45" s="3778"/>
      <c r="B45" s="3769" t="s">
        <v>2638</v>
      </c>
      <c r="C45" s="3105" t="s">
        <v>2487</v>
      </c>
      <c r="D45" s="3106"/>
      <c r="E45" s="3107">
        <v>1</v>
      </c>
      <c r="F45" s="3104" t="s">
        <v>2488</v>
      </c>
      <c r="G45" s="3104"/>
    </row>
    <row r="46" spans="1:7" ht="19.5" customHeight="1">
      <c r="A46" s="3778"/>
      <c r="B46" s="3771"/>
      <c r="C46" s="3105" t="s">
        <v>2489</v>
      </c>
      <c r="D46" s="3106"/>
      <c r="E46" s="3107">
        <v>1</v>
      </c>
      <c r="F46" s="3104" t="s">
        <v>2490</v>
      </c>
      <c r="G46" s="3104"/>
    </row>
    <row r="47" spans="1:7" ht="19.5" customHeight="1">
      <c r="A47" s="3778"/>
      <c r="B47" s="3771"/>
      <c r="C47" s="3105" t="s">
        <v>2491</v>
      </c>
      <c r="D47" s="3106"/>
      <c r="E47" s="3107">
        <v>1</v>
      </c>
      <c r="F47" s="3104" t="s">
        <v>2492</v>
      </c>
      <c r="G47" s="3104"/>
    </row>
    <row r="48" spans="1:7" ht="19.5" customHeight="1">
      <c r="A48" s="3778"/>
      <c r="B48" s="3771"/>
      <c r="C48" s="3105" t="s">
        <v>2493</v>
      </c>
      <c r="D48" s="3106"/>
      <c r="E48" s="3107">
        <v>1</v>
      </c>
      <c r="F48" s="3104" t="s">
        <v>2494</v>
      </c>
      <c r="G48" s="3104"/>
    </row>
    <row r="49" spans="1:7" ht="19.5" customHeight="1">
      <c r="A49" s="3778"/>
      <c r="B49" s="3771"/>
      <c r="C49" s="3105" t="s">
        <v>2495</v>
      </c>
      <c r="D49" s="3106"/>
      <c r="E49" s="3107">
        <v>1</v>
      </c>
      <c r="F49" s="3104" t="s">
        <v>2496</v>
      </c>
      <c r="G49" s="3104"/>
    </row>
    <row r="50" spans="1:7" ht="19.5" customHeight="1">
      <c r="A50" s="3778"/>
      <c r="B50" s="3771"/>
      <c r="C50" s="3105" t="s">
        <v>2497</v>
      </c>
      <c r="D50" s="3106"/>
      <c r="E50" s="3107">
        <v>1</v>
      </c>
      <c r="F50" s="3104" t="s">
        <v>2498</v>
      </c>
      <c r="G50" s="3104"/>
    </row>
    <row r="51" spans="1:7" ht="19.5" customHeight="1" thickBot="1">
      <c r="A51" s="3779"/>
      <c r="B51" s="3773"/>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69" t="s">
        <v>2652</v>
      </c>
      <c r="C73" s="3090" t="s">
        <v>2653</v>
      </c>
      <c r="D73" s="3090" t="s">
        <v>2654</v>
      </c>
      <c r="E73" s="3116">
        <v>0.2</v>
      </c>
      <c r="F73" s="3116">
        <v>25</v>
      </c>
    </row>
    <row r="74" spans="1:7" ht="24">
      <c r="A74" s="3116">
        <v>2</v>
      </c>
      <c r="B74" s="3771"/>
      <c r="C74" s="3090" t="s">
        <v>2655</v>
      </c>
      <c r="D74" s="3090" t="s">
        <v>2656</v>
      </c>
      <c r="E74" s="3116">
        <v>0.2</v>
      </c>
      <c r="F74" s="3116">
        <v>25</v>
      </c>
    </row>
    <row r="75" spans="1:7" ht="24">
      <c r="A75" s="3116">
        <v>3</v>
      </c>
      <c r="B75" s="3771"/>
      <c r="C75" s="3090" t="s">
        <v>2657</v>
      </c>
      <c r="D75" s="3090" t="s">
        <v>2658</v>
      </c>
      <c r="E75" s="3116">
        <v>0.2</v>
      </c>
      <c r="F75" s="3116">
        <v>25</v>
      </c>
    </row>
    <row r="76" spans="1:7" ht="13.5">
      <c r="A76" s="3116">
        <v>4</v>
      </c>
      <c r="B76" s="3771"/>
      <c r="C76" s="3090" t="s">
        <v>2659</v>
      </c>
      <c r="D76" s="3090" t="s">
        <v>2660</v>
      </c>
      <c r="E76" s="3116">
        <v>0.15</v>
      </c>
      <c r="F76" s="3116">
        <v>20</v>
      </c>
    </row>
    <row r="77" spans="1:7" ht="24">
      <c r="A77" s="3116">
        <v>5</v>
      </c>
      <c r="B77" s="3771"/>
      <c r="C77" s="3090" t="s">
        <v>2661</v>
      </c>
      <c r="D77" s="3090" t="s">
        <v>2662</v>
      </c>
      <c r="E77" s="3116">
        <v>0.15</v>
      </c>
      <c r="F77" s="3116">
        <v>20</v>
      </c>
    </row>
    <row r="78" spans="1:7" ht="24">
      <c r="A78" s="3116">
        <v>6</v>
      </c>
      <c r="B78" s="3771"/>
      <c r="C78" s="3090" t="s">
        <v>2663</v>
      </c>
      <c r="D78" s="3090" t="s">
        <v>2664</v>
      </c>
      <c r="E78" s="3116">
        <v>0.15</v>
      </c>
      <c r="F78" s="3116">
        <v>20</v>
      </c>
    </row>
    <row r="79" spans="1:7" ht="24">
      <c r="A79" s="3116">
        <v>7</v>
      </c>
      <c r="B79" s="3771"/>
      <c r="C79" s="3090" t="s">
        <v>2665</v>
      </c>
      <c r="D79" s="3090" t="s">
        <v>2666</v>
      </c>
      <c r="E79" s="3116">
        <v>0.15</v>
      </c>
      <c r="F79" s="3116">
        <v>20</v>
      </c>
    </row>
    <row r="80" spans="1:7" ht="24">
      <c r="A80" s="3116">
        <v>8</v>
      </c>
      <c r="B80" s="3771"/>
      <c r="C80" s="3090" t="s">
        <v>2667</v>
      </c>
      <c r="D80" s="3090" t="s">
        <v>2668</v>
      </c>
      <c r="E80" s="3116">
        <v>0.1</v>
      </c>
      <c r="F80" s="3116">
        <v>15</v>
      </c>
    </row>
    <row r="81" spans="1:6" ht="24">
      <c r="A81" s="3116">
        <v>9</v>
      </c>
      <c r="B81" s="3771"/>
      <c r="C81" s="3090" t="s">
        <v>2669</v>
      </c>
      <c r="D81" s="3090" t="s">
        <v>2670</v>
      </c>
      <c r="E81" s="3116">
        <v>0.1</v>
      </c>
      <c r="F81" s="3116">
        <v>15</v>
      </c>
    </row>
    <row r="82" spans="1:6" ht="24">
      <c r="A82" s="3116">
        <v>10</v>
      </c>
      <c r="B82" s="3771"/>
      <c r="C82" s="3090" t="s">
        <v>2671</v>
      </c>
      <c r="D82" s="3090" t="s">
        <v>2672</v>
      </c>
      <c r="E82" s="3116">
        <v>0.1</v>
      </c>
      <c r="F82" s="3116">
        <v>15</v>
      </c>
    </row>
    <row r="83" spans="1:6" ht="24">
      <c r="A83" s="3116">
        <v>11</v>
      </c>
      <c r="B83" s="3771"/>
      <c r="C83" s="3090" t="s">
        <v>2673</v>
      </c>
      <c r="D83" s="3090" t="s">
        <v>2674</v>
      </c>
      <c r="E83" s="3116">
        <v>0.1</v>
      </c>
      <c r="F83" s="3116">
        <v>15</v>
      </c>
    </row>
    <row r="84" spans="1:6" ht="24">
      <c r="A84" s="3116">
        <v>12</v>
      </c>
      <c r="B84" s="3771"/>
      <c r="C84" s="3090" t="s">
        <v>2675</v>
      </c>
      <c r="D84" s="3090" t="s">
        <v>2676</v>
      </c>
      <c r="E84" s="3116">
        <v>0.1</v>
      </c>
      <c r="F84" s="3116">
        <v>15</v>
      </c>
    </row>
    <row r="85" spans="1:6" ht="13.5">
      <c r="A85" s="3116">
        <v>13</v>
      </c>
      <c r="B85" s="3771"/>
      <c r="C85" s="3090" t="s">
        <v>2677</v>
      </c>
      <c r="D85" s="3090" t="s">
        <v>2678</v>
      </c>
      <c r="E85" s="3116">
        <v>0.1</v>
      </c>
      <c r="F85" s="3116">
        <v>15</v>
      </c>
    </row>
    <row r="86" spans="1:6" ht="13.5">
      <c r="A86" s="3116">
        <v>14</v>
      </c>
      <c r="B86" s="3771"/>
      <c r="C86" s="3090" t="s">
        <v>2679</v>
      </c>
      <c r="D86" s="3090" t="s">
        <v>2680</v>
      </c>
      <c r="E86" s="3116">
        <v>0.1</v>
      </c>
      <c r="F86" s="3116">
        <v>15</v>
      </c>
    </row>
    <row r="87" spans="1:6" ht="13.5">
      <c r="A87" s="3116">
        <v>15</v>
      </c>
      <c r="B87" s="3771"/>
      <c r="C87" s="3090" t="s">
        <v>2681</v>
      </c>
      <c r="D87" s="3090" t="s">
        <v>2682</v>
      </c>
      <c r="E87" s="3116">
        <v>0.1</v>
      </c>
      <c r="F87" s="3116">
        <v>15</v>
      </c>
    </row>
    <row r="88" spans="1:6" ht="24">
      <c r="A88" s="3116">
        <v>16</v>
      </c>
      <c r="B88" s="3771"/>
      <c r="C88" s="3090" t="s">
        <v>2683</v>
      </c>
      <c r="D88" s="3090" t="s">
        <v>2684</v>
      </c>
      <c r="E88" s="3116">
        <v>0.1</v>
      </c>
      <c r="F88" s="3116">
        <v>15</v>
      </c>
    </row>
    <row r="89" spans="1:6" ht="24">
      <c r="A89" s="3116">
        <v>17</v>
      </c>
      <c r="B89" s="3770"/>
      <c r="C89" s="3090" t="s">
        <v>2685</v>
      </c>
      <c r="D89" s="3090" t="s">
        <v>2686</v>
      </c>
      <c r="E89" s="3116">
        <v>0.1</v>
      </c>
      <c r="F89" s="3116">
        <v>15</v>
      </c>
    </row>
    <row r="90" spans="1:6" ht="13.5">
      <c r="A90" s="3116">
        <v>18</v>
      </c>
      <c r="B90" s="3769" t="s">
        <v>2687</v>
      </c>
      <c r="C90" s="3090" t="s">
        <v>2688</v>
      </c>
      <c r="D90" s="3090" t="s">
        <v>2689</v>
      </c>
      <c r="E90" s="3116">
        <v>0.2</v>
      </c>
      <c r="F90" s="3116">
        <v>25</v>
      </c>
    </row>
    <row r="91" spans="1:6" ht="24">
      <c r="A91" s="3116">
        <v>19</v>
      </c>
      <c r="B91" s="3771"/>
      <c r="C91" s="3090" t="s">
        <v>2690</v>
      </c>
      <c r="D91" s="3090" t="s">
        <v>2691</v>
      </c>
      <c r="E91" s="3116">
        <v>0.2</v>
      </c>
      <c r="F91" s="3116">
        <v>25</v>
      </c>
    </row>
    <row r="92" spans="1:6" ht="13.5">
      <c r="A92" s="3116">
        <v>20</v>
      </c>
      <c r="B92" s="3771"/>
      <c r="C92" s="3090" t="s">
        <v>2692</v>
      </c>
      <c r="D92" s="3090" t="s">
        <v>2693</v>
      </c>
      <c r="E92" s="3116">
        <v>0.15</v>
      </c>
      <c r="F92" s="3116">
        <v>20</v>
      </c>
    </row>
    <row r="93" spans="1:6" ht="13.5">
      <c r="A93" s="3116">
        <v>21</v>
      </c>
      <c r="B93" s="3771"/>
      <c r="C93" s="3090" t="s">
        <v>2694</v>
      </c>
      <c r="D93" s="3090" t="s">
        <v>2695</v>
      </c>
      <c r="E93" s="3116">
        <v>0.15</v>
      </c>
      <c r="F93" s="3116">
        <v>20</v>
      </c>
    </row>
    <row r="94" spans="1:6" ht="13.5">
      <c r="A94" s="3116">
        <v>22</v>
      </c>
      <c r="B94" s="3771"/>
      <c r="C94" s="3090" t="s">
        <v>2696</v>
      </c>
      <c r="D94" s="3090" t="s">
        <v>2697</v>
      </c>
      <c r="E94" s="3116">
        <v>0.15</v>
      </c>
      <c r="F94" s="3116">
        <v>20</v>
      </c>
    </row>
    <row r="95" spans="1:6" ht="36">
      <c r="A95" s="3116">
        <v>23</v>
      </c>
      <c r="B95" s="3771"/>
      <c r="C95" s="3090" t="s">
        <v>2698</v>
      </c>
      <c r="D95" s="3090" t="s">
        <v>2699</v>
      </c>
      <c r="E95" s="3116">
        <v>0.15</v>
      </c>
      <c r="F95" s="3116">
        <v>20</v>
      </c>
    </row>
    <row r="96" spans="1:6" ht="13.5">
      <c r="A96" s="3116">
        <v>24</v>
      </c>
      <c r="B96" s="3771"/>
      <c r="C96" s="3090" t="s">
        <v>2700</v>
      </c>
      <c r="D96" s="3090" t="s">
        <v>2701</v>
      </c>
      <c r="E96" s="3116">
        <v>0.1</v>
      </c>
      <c r="F96" s="3116">
        <v>15</v>
      </c>
    </row>
    <row r="97" spans="1:6" ht="13.5">
      <c r="A97" s="3116">
        <v>25</v>
      </c>
      <c r="B97" s="3771"/>
      <c r="C97" s="3090" t="s">
        <v>2702</v>
      </c>
      <c r="D97" s="3090" t="s">
        <v>2703</v>
      </c>
      <c r="E97" s="3116">
        <v>0.1</v>
      </c>
      <c r="F97" s="3116">
        <v>15</v>
      </c>
    </row>
    <row r="98" spans="1:6" ht="24">
      <c r="A98" s="3116">
        <v>26</v>
      </c>
      <c r="B98" s="3771"/>
      <c r="C98" s="3090" t="s">
        <v>2704</v>
      </c>
      <c r="D98" s="3090" t="s">
        <v>2705</v>
      </c>
      <c r="E98" s="3116">
        <v>0.1</v>
      </c>
      <c r="F98" s="3116">
        <v>15</v>
      </c>
    </row>
    <row r="99" spans="1:6" ht="24">
      <c r="A99" s="3116">
        <v>27</v>
      </c>
      <c r="B99" s="3771"/>
      <c r="C99" s="3090" t="s">
        <v>2706</v>
      </c>
      <c r="D99" s="3090" t="s">
        <v>2707</v>
      </c>
      <c r="E99" s="3116">
        <v>0.1</v>
      </c>
      <c r="F99" s="3116">
        <v>15</v>
      </c>
    </row>
    <row r="100" spans="1:6" ht="13.5">
      <c r="A100" s="3116">
        <v>28</v>
      </c>
      <c r="B100" s="3771"/>
      <c r="C100" s="3090" t="s">
        <v>2708</v>
      </c>
      <c r="D100" s="3090" t="s">
        <v>2709</v>
      </c>
      <c r="E100" s="3116">
        <v>0.1</v>
      </c>
      <c r="F100" s="3116">
        <v>15</v>
      </c>
    </row>
    <row r="101" spans="1:6" ht="13.5">
      <c r="A101" s="3116">
        <v>29</v>
      </c>
      <c r="B101" s="3771"/>
      <c r="C101" s="3090" t="s">
        <v>2710</v>
      </c>
      <c r="D101" s="3090" t="s">
        <v>2711</v>
      </c>
      <c r="E101" s="3116">
        <v>0.1</v>
      </c>
      <c r="F101" s="3116">
        <v>15</v>
      </c>
    </row>
    <row r="102" spans="1:6" ht="13.5">
      <c r="A102" s="3116">
        <v>30</v>
      </c>
      <c r="B102" s="3771"/>
      <c r="C102" s="3090" t="s">
        <v>2712</v>
      </c>
      <c r="D102" s="3090" t="s">
        <v>2713</v>
      </c>
      <c r="E102" s="3116">
        <v>0.1</v>
      </c>
      <c r="F102" s="3116">
        <v>15</v>
      </c>
    </row>
    <row r="103" spans="1:6" ht="24">
      <c r="A103" s="3116">
        <v>31</v>
      </c>
      <c r="B103" s="3771"/>
      <c r="C103" s="3090" t="s">
        <v>2714</v>
      </c>
      <c r="D103" s="3090" t="s">
        <v>2715</v>
      </c>
      <c r="E103" s="3116">
        <v>0.1</v>
      </c>
      <c r="F103" s="3116">
        <v>15</v>
      </c>
    </row>
    <row r="104" spans="1:6" ht="24">
      <c r="A104" s="3116">
        <v>32</v>
      </c>
      <c r="B104" s="3771"/>
      <c r="C104" s="3090" t="s">
        <v>2716</v>
      </c>
      <c r="D104" s="3090" t="s">
        <v>2717</v>
      </c>
      <c r="E104" s="3116">
        <v>0.1</v>
      </c>
      <c r="F104" s="3116">
        <v>15</v>
      </c>
    </row>
    <row r="105" spans="1:6" ht="24">
      <c r="A105" s="3116">
        <v>33</v>
      </c>
      <c r="B105" s="3771"/>
      <c r="C105" s="3090" t="s">
        <v>2718</v>
      </c>
      <c r="D105" s="3090" t="s">
        <v>2719</v>
      </c>
      <c r="E105" s="3116">
        <v>0.1</v>
      </c>
      <c r="F105" s="3116">
        <v>15</v>
      </c>
    </row>
    <row r="106" spans="1:6" ht="24">
      <c r="A106" s="3116">
        <v>34</v>
      </c>
      <c r="B106" s="3770"/>
      <c r="C106" s="3090" t="s">
        <v>2720</v>
      </c>
      <c r="D106" s="3090" t="s">
        <v>2721</v>
      </c>
      <c r="E106" s="3116">
        <v>0.1</v>
      </c>
      <c r="F106" s="3116">
        <v>15</v>
      </c>
    </row>
    <row r="107" spans="1:6" ht="24">
      <c r="A107" s="3116">
        <v>35</v>
      </c>
      <c r="B107" s="3769" t="s">
        <v>2722</v>
      </c>
      <c r="C107" s="3116" t="s">
        <v>2723</v>
      </c>
      <c r="D107" s="3090" t="s">
        <v>2724</v>
      </c>
      <c r="E107" s="3116">
        <v>0.15</v>
      </c>
      <c r="F107" s="3116">
        <v>20</v>
      </c>
    </row>
    <row r="108" spans="1:6" ht="13.5">
      <c r="A108" s="3116">
        <v>36</v>
      </c>
      <c r="B108" s="3771"/>
      <c r="C108" s="3116" t="s">
        <v>2725</v>
      </c>
      <c r="D108" s="3090" t="s">
        <v>2726</v>
      </c>
      <c r="E108" s="3116">
        <v>0.15</v>
      </c>
      <c r="F108" s="3116">
        <v>20</v>
      </c>
    </row>
    <row r="109" spans="1:6" ht="13.5">
      <c r="A109" s="3116">
        <v>37</v>
      </c>
      <c r="B109" s="3771"/>
      <c r="C109" s="3116" t="s">
        <v>2727</v>
      </c>
      <c r="D109" s="3090" t="s">
        <v>2728</v>
      </c>
      <c r="E109" s="3116">
        <v>0.15</v>
      </c>
      <c r="F109" s="3116">
        <v>20</v>
      </c>
    </row>
    <row r="110" spans="1:6" ht="13.5">
      <c r="A110" s="3116">
        <v>38</v>
      </c>
      <c r="B110" s="3771"/>
      <c r="C110" s="3116" t="s">
        <v>2729</v>
      </c>
      <c r="D110" s="3090" t="s">
        <v>2730</v>
      </c>
      <c r="E110" s="3116">
        <v>0.1</v>
      </c>
      <c r="F110" s="3116">
        <v>15</v>
      </c>
    </row>
    <row r="111" spans="1:6" ht="24">
      <c r="A111" s="3116">
        <v>39</v>
      </c>
      <c r="B111" s="3771"/>
      <c r="C111" s="3116" t="s">
        <v>2731</v>
      </c>
      <c r="D111" s="3090" t="s">
        <v>2732</v>
      </c>
      <c r="E111" s="3116">
        <v>0.1</v>
      </c>
      <c r="F111" s="3116">
        <v>15</v>
      </c>
    </row>
    <row r="112" spans="1:6" ht="24">
      <c r="A112" s="3116">
        <v>40</v>
      </c>
      <c r="B112" s="3770"/>
      <c r="C112" s="3116" t="s">
        <v>2733</v>
      </c>
      <c r="D112" s="3090" t="s">
        <v>2734</v>
      </c>
      <c r="E112" s="3116">
        <v>0.1</v>
      </c>
      <c r="F112" s="3116">
        <v>15</v>
      </c>
    </row>
    <row r="113" spans="1:6" ht="13.5">
      <c r="A113" s="3116">
        <v>41</v>
      </c>
      <c r="B113" s="3768" t="s">
        <v>2735</v>
      </c>
      <c r="C113" s="3116" t="s">
        <v>2736</v>
      </c>
      <c r="D113" s="3090" t="s">
        <v>2737</v>
      </c>
      <c r="E113" s="3116">
        <v>0.1</v>
      </c>
      <c r="F113" s="3116">
        <v>15</v>
      </c>
    </row>
    <row r="114" spans="1:6" ht="13.5">
      <c r="A114" s="3116">
        <v>42</v>
      </c>
      <c r="B114" s="3768"/>
      <c r="C114" s="3116" t="s">
        <v>2738</v>
      </c>
      <c r="D114" s="3090" t="s">
        <v>2739</v>
      </c>
      <c r="E114" s="3116">
        <v>0.1</v>
      </c>
      <c r="F114" s="3116">
        <v>15</v>
      </c>
    </row>
    <row r="115" spans="1:6" ht="24">
      <c r="A115" s="3116">
        <v>43</v>
      </c>
      <c r="B115" s="3768"/>
      <c r="C115" s="3116" t="s">
        <v>2740</v>
      </c>
      <c r="D115" s="3090" t="s">
        <v>2741</v>
      </c>
      <c r="E115" s="3116">
        <v>0.1</v>
      </c>
      <c r="F115" s="3116">
        <v>15</v>
      </c>
    </row>
    <row r="116" spans="1:6" ht="13.5">
      <c r="A116" s="3116">
        <v>44</v>
      </c>
      <c r="B116" s="3769" t="s">
        <v>2742</v>
      </c>
      <c r="C116" s="3116" t="s">
        <v>2743</v>
      </c>
      <c r="D116" s="3090" t="s">
        <v>2744</v>
      </c>
      <c r="E116" s="3116">
        <v>0.1</v>
      </c>
      <c r="F116" s="3116">
        <v>15</v>
      </c>
    </row>
    <row r="117" spans="1:6" ht="24">
      <c r="A117" s="3116">
        <v>45</v>
      </c>
      <c r="B117" s="3770"/>
      <c r="C117" s="3090" t="s">
        <v>2745</v>
      </c>
      <c r="D117" s="3090" t="s">
        <v>2746</v>
      </c>
      <c r="E117" s="3116">
        <v>0.1</v>
      </c>
      <c r="F117" s="3116">
        <v>15</v>
      </c>
    </row>
    <row r="118" spans="1:6" ht="24">
      <c r="A118" s="3116">
        <v>46</v>
      </c>
      <c r="B118" s="3769" t="s">
        <v>2747</v>
      </c>
      <c r="C118" s="3116" t="s">
        <v>2748</v>
      </c>
      <c r="D118" s="3090" t="s">
        <v>2749</v>
      </c>
      <c r="E118" s="3116">
        <v>0.1</v>
      </c>
      <c r="F118" s="3116">
        <v>15</v>
      </c>
    </row>
    <row r="119" spans="1:6" ht="24">
      <c r="A119" s="3116">
        <v>47</v>
      </c>
      <c r="B119" s="3770"/>
      <c r="C119" s="3116" t="s">
        <v>2750</v>
      </c>
      <c r="D119" s="3090" t="s">
        <v>2751</v>
      </c>
      <c r="E119" s="3116">
        <v>0.1</v>
      </c>
      <c r="F119" s="3116">
        <v>15</v>
      </c>
    </row>
    <row r="120" spans="1:6" ht="13.5">
      <c r="A120" s="3116">
        <v>48</v>
      </c>
      <c r="B120" s="3769" t="s">
        <v>2752</v>
      </c>
      <c r="C120" s="3116" t="s">
        <v>2753</v>
      </c>
      <c r="D120" s="3090" t="s">
        <v>2754</v>
      </c>
      <c r="E120" s="3116">
        <v>0.1</v>
      </c>
      <c r="F120" s="3116">
        <v>15</v>
      </c>
    </row>
    <row r="121" spans="1:6" ht="13.5">
      <c r="A121" s="3116">
        <v>49</v>
      </c>
      <c r="B121" s="3770"/>
      <c r="C121" s="3116" t="s">
        <v>2755</v>
      </c>
      <c r="D121" s="3090" t="s">
        <v>2756</v>
      </c>
      <c r="E121" s="3116">
        <v>0.1</v>
      </c>
      <c r="F121" s="3116">
        <v>15</v>
      </c>
    </row>
    <row r="122" spans="1:6" ht="24">
      <c r="A122" s="3116">
        <v>50</v>
      </c>
      <c r="B122" s="3768" t="s">
        <v>2757</v>
      </c>
      <c r="C122" s="3116" t="s">
        <v>2758</v>
      </c>
      <c r="D122" s="3090" t="s">
        <v>2759</v>
      </c>
      <c r="E122" s="3116">
        <v>0.1</v>
      </c>
      <c r="F122" s="3116">
        <v>15</v>
      </c>
    </row>
    <row r="123" spans="1:6" ht="24">
      <c r="A123" s="3116">
        <v>51</v>
      </c>
      <c r="B123" s="3768"/>
      <c r="C123" s="3116" t="s">
        <v>2760</v>
      </c>
      <c r="D123" s="3090" t="s">
        <v>2761</v>
      </c>
      <c r="E123" s="3116">
        <v>0.1</v>
      </c>
      <c r="F123" s="3116">
        <v>15</v>
      </c>
    </row>
    <row r="124" spans="1:6" ht="24">
      <c r="A124" s="3116">
        <v>52</v>
      </c>
      <c r="B124" s="3768" t="s">
        <v>2762</v>
      </c>
      <c r="C124" s="3116" t="s">
        <v>2763</v>
      </c>
      <c r="D124" s="3090" t="s">
        <v>2764</v>
      </c>
      <c r="E124" s="3116">
        <v>0.1</v>
      </c>
      <c r="F124" s="3116">
        <v>15</v>
      </c>
    </row>
    <row r="125" spans="1:6" ht="24">
      <c r="A125" s="3116">
        <v>53</v>
      </c>
      <c r="B125" s="3768"/>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8" t="s">
        <v>2770</v>
      </c>
      <c r="C127" s="3116" t="s">
        <v>2771</v>
      </c>
      <c r="D127" s="3090" t="s">
        <v>2772</v>
      </c>
      <c r="E127" s="3116">
        <v>0.1</v>
      </c>
      <c r="F127" s="3116">
        <v>15</v>
      </c>
    </row>
    <row r="128" spans="1:6" ht="13.5">
      <c r="A128" s="3116">
        <v>56</v>
      </c>
      <c r="B128" s="3768"/>
      <c r="C128" s="3116" t="s">
        <v>2773</v>
      </c>
      <c r="D128" s="3090" t="s">
        <v>2774</v>
      </c>
      <c r="E128" s="3116">
        <v>0.1</v>
      </c>
      <c r="F128" s="3116">
        <v>15</v>
      </c>
    </row>
    <row r="129" spans="1:6" ht="24">
      <c r="A129" s="3116">
        <v>57</v>
      </c>
      <c r="B129" s="3768"/>
      <c r="C129" s="3116" t="s">
        <v>2775</v>
      </c>
      <c r="D129" s="3090" t="s">
        <v>2776</v>
      </c>
      <c r="E129" s="3116">
        <v>0.1</v>
      </c>
      <c r="F129" s="3116">
        <v>15</v>
      </c>
    </row>
    <row r="130" spans="1:6" ht="24">
      <c r="A130" s="3116">
        <v>58</v>
      </c>
      <c r="B130" s="3768" t="s">
        <v>2777</v>
      </c>
      <c r="C130" s="3116" t="s">
        <v>2778</v>
      </c>
      <c r="D130" s="3090" t="s">
        <v>2779</v>
      </c>
      <c r="E130" s="3116">
        <v>0.1</v>
      </c>
      <c r="F130" s="3116">
        <v>15</v>
      </c>
    </row>
    <row r="131" spans="1:6" ht="13.5">
      <c r="A131" s="3116">
        <v>59</v>
      </c>
      <c r="B131" s="3768"/>
      <c r="C131" s="3116" t="s">
        <v>2780</v>
      </c>
      <c r="D131" s="3090" t="s">
        <v>2781</v>
      </c>
      <c r="E131" s="3116">
        <v>0.1</v>
      </c>
      <c r="F131" s="3116">
        <v>15</v>
      </c>
    </row>
    <row r="132" spans="1:6" ht="13.5">
      <c r="A132" s="3116">
        <v>60</v>
      </c>
      <c r="B132" s="3769" t="s">
        <v>2782</v>
      </c>
      <c r="C132" s="3116" t="s">
        <v>2783</v>
      </c>
      <c r="D132" s="3090" t="s">
        <v>2784</v>
      </c>
      <c r="E132" s="3116">
        <v>0.1</v>
      </c>
      <c r="F132" s="3116">
        <v>15</v>
      </c>
    </row>
    <row r="133" spans="1:6" ht="13.5">
      <c r="A133" s="3116">
        <v>61</v>
      </c>
      <c r="B133" s="3770"/>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8" t="s">
        <v>2790</v>
      </c>
      <c r="C135" s="3116" t="s">
        <v>2791</v>
      </c>
      <c r="D135" s="3090" t="s">
        <v>2792</v>
      </c>
      <c r="E135" s="3116">
        <v>0.1</v>
      </c>
      <c r="F135" s="3116">
        <v>15</v>
      </c>
    </row>
    <row r="136" spans="1:6" ht="13.5">
      <c r="A136" s="3116">
        <v>64</v>
      </c>
      <c r="B136" s="3768"/>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1.2302</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1.1198999999999999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13149</v>
      </c>
      <c r="E5" s="1491"/>
    </row>
    <row r="6" spans="1:5" ht="15.75">
      <c r="A6" s="1491"/>
      <c r="B6" s="3463"/>
      <c r="C6" s="1494" t="s">
        <v>911</v>
      </c>
      <c r="D6" s="850" t="str">
        <f ca="1">NUMBERSTRING(INT(D5*10000),2)&amp;"元整"</f>
        <v>壹亿叁仟壹佰肆拾玖万元整</v>
      </c>
      <c r="E6" s="1491"/>
    </row>
    <row r="7" spans="1:5" ht="15.75">
      <c r="A7" s="1491"/>
      <c r="B7" s="3468"/>
      <c r="C7" s="1495" t="s">
        <v>912</v>
      </c>
      <c r="D7" s="851">
        <f ca="1">结果表!H102</f>
        <v>3791</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13149</v>
      </c>
      <c r="E13" s="1491"/>
    </row>
    <row r="14" spans="1:5" ht="15.75">
      <c r="A14" s="1491"/>
      <c r="B14" s="3463"/>
      <c r="C14" s="1494" t="s">
        <v>911</v>
      </c>
      <c r="D14" s="850" t="str">
        <f ca="1">NUMBERSTRING(INT(D13*10000),2)&amp;"元整"</f>
        <v>壹亿叁仟壹佰肆拾玖万元整</v>
      </c>
      <c r="E14" s="1491"/>
    </row>
    <row r="15" spans="1:5" ht="15">
      <c r="A15" s="1491"/>
      <c r="B15" s="3468"/>
      <c r="C15" s="1495" t="s">
        <v>921</v>
      </c>
      <c r="D15" s="859">
        <f ca="1">结果表!H108</f>
        <v>3791</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37300</v>
      </c>
      <c r="C2" s="2" t="s">
        <v>106</v>
      </c>
      <c r="D2" s="199"/>
      <c r="E2" s="199"/>
      <c r="F2" s="199"/>
      <c r="G2" s="199"/>
    </row>
    <row r="3" spans="1:7" s="200" customFormat="1" ht="18" customHeight="1" thickBot="1">
      <c r="A3" s="203" t="s">
        <v>58</v>
      </c>
      <c r="B3" s="204">
        <f ca="1">ROUND(B2*10000/'数据-汇总表'!E3,0)</f>
        <v>10753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694</v>
      </c>
      <c r="D10" s="845">
        <f>'数据-汇总表'!E6</f>
        <v>34689.100000000006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694</v>
      </c>
      <c r="D19" s="849">
        <f>'数据-汇总表'!E3</f>
        <v>34689.100000000006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985</v>
      </c>
      <c r="D22" s="235">
        <f ca="1">C26</f>
        <v>5.0000000000000001E-4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32</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1793</v>
      </c>
      <c r="D27" s="235">
        <f>C29</f>
        <v>1.6999999999999999E-3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1793</v>
      </c>
      <c r="D28" s="235"/>
      <c r="E28" s="236"/>
      <c r="F28" s="246"/>
      <c r="G28" s="247"/>
    </row>
    <row r="29" spans="1:7" s="214" customFormat="1" ht="13.5" customHeight="1">
      <c r="A29" s="780" t="s">
        <v>347</v>
      </c>
      <c r="B29" s="248" t="s">
        <v>425</v>
      </c>
      <c r="C29" s="238">
        <f>ROUND(C21*F27*'数据-取费表'!B21/'数据-取费表'!B20,4)</f>
        <v>1.6999999999999999E-3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26483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7632</v>
      </c>
      <c r="D34" s="217"/>
      <c r="E34" s="220"/>
      <c r="F34" s="257">
        <f>IF('数据-取费表'!B24=0,1,'数据-取费表'!N16)</f>
        <v>0.55000000000000004</v>
      </c>
      <c r="G34" s="219" t="s">
        <v>89</v>
      </c>
    </row>
    <row r="35" spans="1:7" ht="13.5" customHeight="1">
      <c r="A35" s="780" t="s">
        <v>351</v>
      </c>
      <c r="B35" s="215" t="s">
        <v>33</v>
      </c>
      <c r="C35" s="220">
        <f>ROUND(C34*F35,0)</f>
        <v>229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382</v>
      </c>
      <c r="D37" s="217">
        <f>'数据-汇总表'!E3</f>
        <v>34689.100000000006</v>
      </c>
      <c r="E37" s="249">
        <f>'数据-取费表'!B35</f>
        <v>200</v>
      </c>
      <c r="F37" s="259"/>
      <c r="G37" s="261" t="s">
        <v>92</v>
      </c>
    </row>
    <row r="38" spans="1:7" ht="13.5" customHeight="1">
      <c r="A38" s="780" t="s">
        <v>354</v>
      </c>
      <c r="B38" s="215" t="s">
        <v>36</v>
      </c>
      <c r="C38" s="220">
        <f>ROUND(C34*F38,0)</f>
        <v>114</v>
      </c>
      <c r="D38" s="220"/>
      <c r="E38" s="220"/>
      <c r="F38" s="259">
        <f>'数据-取费表'!B36</f>
        <v>1.4999999999999999E-2</v>
      </c>
      <c r="G38" s="219" t="s">
        <v>90</v>
      </c>
    </row>
    <row r="39" spans="1:7" s="214" customFormat="1" ht="13.5" customHeight="1">
      <c r="A39" s="777" t="s">
        <v>338</v>
      </c>
      <c r="B39" s="210" t="s">
        <v>77</v>
      </c>
      <c r="C39" s="232">
        <f>ROUND(C33*F20,0)</f>
        <v>167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189</v>
      </c>
      <c r="D42" s="238"/>
      <c r="E42" s="238"/>
      <c r="F42" s="239"/>
      <c r="G42" s="3644" t="s">
        <v>94</v>
      </c>
    </row>
    <row r="43" spans="1:7" ht="13.5" customHeight="1">
      <c r="A43" s="780" t="s">
        <v>347</v>
      </c>
      <c r="B43" s="215" t="s">
        <v>426</v>
      </c>
      <c r="C43" s="238">
        <f ca="1">ROUND(IF('数据-取费表'!B22&lt;=1,C39*F22*'数据-取费表'!B21/2,C39*(POWER((1+F22),'数据-取费表'!B21/2)-1)),0)</f>
        <v>4</v>
      </c>
      <c r="D43" s="238"/>
      <c r="E43" s="238"/>
      <c r="F43" s="239"/>
      <c r="G43" s="3645"/>
    </row>
    <row r="44" spans="1:7" ht="13.5" customHeight="1">
      <c r="A44" s="780" t="s">
        <v>348</v>
      </c>
      <c r="B44" s="215" t="s">
        <v>428</v>
      </c>
      <c r="C44" s="238">
        <f ca="1">ROUND(IF('数据-取费表'!B22&lt;=1,C40*F22*'数据-取费表'!B21/2,C40*(POWER((1+F22),'数据-取费表'!B21/2)-1)),4)</f>
        <v>5.0000000000000001E-4</v>
      </c>
      <c r="D44" s="238"/>
      <c r="E44" s="238"/>
      <c r="F44" s="239"/>
      <c r="G44" s="3646"/>
    </row>
    <row r="45" spans="1:7" s="214" customFormat="1" ht="13.5" customHeight="1">
      <c r="A45" s="777" t="s">
        <v>341</v>
      </c>
      <c r="B45" s="244" t="s">
        <v>85</v>
      </c>
      <c r="C45" s="245">
        <f>C46</f>
        <v>1279</v>
      </c>
      <c r="D45" s="235">
        <f>C47</f>
        <v>3.0000000000000001E-3</v>
      </c>
      <c r="E45" s="236" t="s">
        <v>102</v>
      </c>
      <c r="F45" s="246"/>
      <c r="G45" s="247" t="s">
        <v>434</v>
      </c>
    </row>
    <row r="46" spans="1:7" s="214" customFormat="1" ht="13.5" customHeight="1">
      <c r="A46" s="780" t="s">
        <v>349</v>
      </c>
      <c r="B46" s="248" t="s">
        <v>427</v>
      </c>
      <c r="C46" s="249">
        <f>ROUND((C33+C39)*F27,0)</f>
        <v>1279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10817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10817</v>
      </c>
      <c r="D51" s="232"/>
      <c r="E51" s="232"/>
      <c r="F51" s="264"/>
      <c r="G51" s="234" t="s">
        <v>37</v>
      </c>
    </row>
    <row r="52" spans="1:7" s="208" customFormat="1" ht="16.5" thickBot="1">
      <c r="A52" s="265" t="s">
        <v>38</v>
      </c>
      <c r="B52" s="266"/>
      <c r="C52" s="267">
        <f ca="1">C31+C51</f>
        <v>37300</v>
      </c>
      <c r="D52" s="266"/>
      <c r="E52" s="266"/>
      <c r="F52" s="266"/>
      <c r="G52" s="268"/>
    </row>
    <row r="55" spans="1:7" ht="15">
      <c r="B55" s="270" t="s">
        <v>39</v>
      </c>
      <c r="C55" s="271"/>
    </row>
    <row r="56" spans="1:7">
      <c r="B56" s="273" t="s">
        <v>40</v>
      </c>
      <c r="C56" s="274">
        <f ca="1">ROUND(C51/C52,3)</f>
        <v>0.28999999999999998</v>
      </c>
    </row>
    <row r="57" spans="1:7">
      <c r="B57" s="273" t="s">
        <v>41</v>
      </c>
      <c r="C57" s="275">
        <f ca="1">1-C56</f>
        <v>0.71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2842</v>
      </c>
      <c r="B1" s="3782"/>
      <c r="C1" s="3782"/>
      <c r="D1" s="3782"/>
      <c r="E1" s="3782"/>
      <c r="F1" s="3782"/>
      <c r="G1" s="378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0"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3184</v>
      </c>
      <c r="B1" s="3784"/>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3235</v>
      </c>
      <c r="B1" s="3785"/>
      <c r="C1" s="3785"/>
      <c r="D1" s="3785"/>
      <c r="E1" s="3785"/>
      <c r="F1" s="378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19">
        <f>基准地价修正!G23</f>
        <v>45044</v>
      </c>
      <c r="B1" s="3208" t="s">
        <v>2841</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87" t="s">
        <v>2829</v>
      </c>
      <c r="S21" s="3788"/>
      <c r="T21" s="3788"/>
      <c r="U21" s="3788"/>
      <c r="V21" s="3788"/>
      <c r="W21" s="3788"/>
      <c r="X21" s="3163"/>
      <c r="Y21" s="3787" t="s">
        <v>2830</v>
      </c>
      <c r="Z21" s="3788"/>
      <c r="AA21" s="3788"/>
      <c r="AB21" s="3788"/>
      <c r="AC21" s="3788"/>
      <c r="AD21" s="3788"/>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30">
      <c r="A4" s="1505" t="str">
        <f>项目基本情况!S2</f>
        <v>北京市出让国有建设用地使用权及在建建筑物房地产</v>
      </c>
      <c r="B4" s="854">
        <f>项目基本情况!C17</f>
        <v>34689.100000000006</v>
      </c>
      <c r="C4" s="854">
        <f>项目基本情况!C18</f>
        <v>23254.45</v>
      </c>
      <c r="D4" s="854">
        <f ca="1">结果表!D118</f>
        <v>3603</v>
      </c>
      <c r="E4" s="854">
        <f ca="1">结果表!E118</f>
        <v>1039</v>
      </c>
      <c r="F4" s="854">
        <f ca="1">结果表!F118</f>
        <v>9546</v>
      </c>
      <c r="G4" s="854">
        <f ca="1">结果表!G118</f>
        <v>2752</v>
      </c>
      <c r="H4" s="854">
        <f ca="1">结果表!H118</f>
        <v>13149</v>
      </c>
      <c r="I4" s="854">
        <f ca="1">结果表!I118</f>
        <v>3791</v>
      </c>
    </row>
    <row r="5" spans="1:9" ht="30" customHeight="1">
      <c r="A5" s="3475" t="s">
        <v>927</v>
      </c>
      <c r="B5" s="3475"/>
      <c r="C5" s="3475"/>
      <c r="D5" s="3475" t="str">
        <f ca="1">结果表!D119</f>
        <v>叁仟陆佰零叁万元整</v>
      </c>
      <c r="E5" s="3475"/>
      <c r="F5" s="3475" t="str">
        <f ca="1">结果表!F119</f>
        <v>玖仟伍佰肆拾陆万元整</v>
      </c>
      <c r="G5" s="3475"/>
      <c r="H5" s="3475" t="str">
        <f ca="1">结果表!H119</f>
        <v>壹亿叁仟壹佰肆拾玖万元整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13149</v>
      </c>
      <c r="E8" s="3474"/>
      <c r="F8" s="3474"/>
      <c r="G8" s="3474"/>
      <c r="H8" s="3474"/>
      <c r="I8" s="3474"/>
    </row>
    <row r="9" spans="1:9" ht="15">
      <c r="A9" s="3475" t="s">
        <v>927</v>
      </c>
      <c r="B9" s="3475"/>
      <c r="C9" s="3475"/>
      <c r="D9" s="3475" t="str">
        <f ca="1">结果表!D123</f>
        <v>壹亿叁仟壹佰肆拾玖万元整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45054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2158</v>
      </c>
      <c r="B17" s="3498"/>
      <c r="C17" s="3498"/>
      <c r="D17" s="3498"/>
      <c r="E17" s="3498"/>
      <c r="F17" s="3498"/>
      <c r="G17" s="3498"/>
      <c r="H17" s="3498"/>
    </row>
    <row r="18" spans="1:8" ht="24" customHeight="1">
      <c r="A18" s="3499" t="s">
        <v>2159</v>
      </c>
      <c r="B18" s="3499"/>
      <c r="C18" s="3499"/>
      <c r="D18" s="2343"/>
      <c r="E18" s="3500" t="s">
        <v>2160</v>
      </c>
      <c r="F18" s="3499"/>
      <c r="G18" s="349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2023-05-08T09:17:29Z</dcterms:modified>
</cp:coreProperties>
</file>